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15" windowWidth="15480" windowHeight="5160" tabRatio="865"/>
  </bookViews>
  <sheets>
    <sheet name="README" sheetId="91" r:id="rId1"/>
    <sheet name="- 3 -" sheetId="5" r:id="rId2"/>
    <sheet name="- 4 -" sheetId="6" r:id="rId3"/>
    <sheet name="- 6 -" sheetId="14" r:id="rId4"/>
    <sheet name="- 7 -" sheetId="15" r:id="rId5"/>
    <sheet name="- 8 -" sheetId="16" r:id="rId6"/>
    <sheet name="- 9 -" sheetId="17" r:id="rId7"/>
    <sheet name="- 10 -" sheetId="21" r:id="rId8"/>
    <sheet name="- 12 -" sheetId="22" r:id="rId9"/>
    <sheet name="- 13 -" sheetId="23" r:id="rId10"/>
    <sheet name="- 15 -" sheetId="18" r:id="rId11"/>
    <sheet name="- 16 -" sheetId="19" r:id="rId12"/>
    <sheet name="- 17 -" sheetId="20" r:id="rId13"/>
    <sheet name="- 18 -" sheetId="8" r:id="rId14"/>
    <sheet name="- 19 -" sheetId="9" r:id="rId15"/>
    <sheet name="- 20 -" sheetId="7" r:id="rId16"/>
    <sheet name="- 21 -" sheetId="10" r:id="rId17"/>
    <sheet name="- 22 -" sheetId="11" r:id="rId18"/>
    <sheet name="- 23 -" sheetId="86" r:id="rId19"/>
    <sheet name="- 24 -" sheetId="82" r:id="rId20"/>
    <sheet name="- 25 -" sheetId="25" r:id="rId21"/>
    <sheet name="- 26 -" sheetId="26" r:id="rId22"/>
    <sheet name="- 27 -" sheetId="27" r:id="rId23"/>
    <sheet name="- 28 -" sheetId="28" r:id="rId24"/>
    <sheet name="- 29 -" sheetId="29" r:id="rId25"/>
    <sheet name="- 30 -" sheetId="34" r:id="rId26"/>
    <sheet name="- 31 -" sheetId="35" r:id="rId27"/>
    <sheet name="- 32 -" sheetId="36" r:id="rId28"/>
    <sheet name="- 33 -" sheetId="37" r:id="rId29"/>
    <sheet name="- 34 -" sheetId="38" r:id="rId30"/>
    <sheet name="- 35 -" sheetId="39" r:id="rId31"/>
    <sheet name="- 36 -" sheetId="40" r:id="rId32"/>
    <sheet name="- 37 -" sheetId="41" r:id="rId33"/>
    <sheet name="- 38 -" sheetId="54" r:id="rId34"/>
    <sheet name="- 39 -" sheetId="76" r:id="rId35"/>
    <sheet name="- 41 -" sheetId="42" r:id="rId36"/>
    <sheet name="- 42 -" sheetId="43" r:id="rId37"/>
    <sheet name="- 43 -" sheetId="44" r:id="rId38"/>
    <sheet name="- 44 -" sheetId="45" r:id="rId39"/>
    <sheet name="- 45 -" sheetId="33" r:id="rId40"/>
    <sheet name="- 46 -" sheetId="48" r:id="rId41"/>
    <sheet name="- 48 -" sheetId="49" r:id="rId42"/>
    <sheet name="- 49 - " sheetId="88" r:id="rId43"/>
    <sheet name="- 51 -" sheetId="50" r:id="rId44"/>
    <sheet name="- 52 -" sheetId="51" r:id="rId45"/>
    <sheet name="- 53 -" sheetId="81" r:id="rId46"/>
    <sheet name="- 54 -" sheetId="47" r:id="rId47"/>
    <sheet name="- 55 -" sheetId="46" r:id="rId48"/>
    <sheet name="- 56 -" sheetId="52" r:id="rId49"/>
    <sheet name="- 57 -" sheetId="84" r:id="rId50"/>
    <sheet name="- 58 -" sheetId="85" r:id="rId51"/>
    <sheet name="- 59 -" sheetId="89" r:id="rId52"/>
    <sheet name="- 60 -" sheetId="90" r:id="rId53"/>
    <sheet name="- 61 -" sheetId="78" r:id="rId54"/>
  </sheets>
  <externalReferences>
    <externalReference r:id="rId55"/>
    <externalReference r:id="rId56"/>
    <externalReference r:id="rId57"/>
    <externalReference r:id="rId58"/>
  </externalReferences>
  <definedNames>
    <definedName name="_Fill" localSheetId="51" hidden="1">#REF!</definedName>
    <definedName name="_Fill" localSheetId="0" hidden="1">#REF!</definedName>
    <definedName name="_Fill" hidden="1">#REF!</definedName>
    <definedName name="_Order1" hidden="1">0</definedName>
    <definedName name="capyear" localSheetId="0">#REF!</definedName>
    <definedName name="capyear">#REF!</definedName>
    <definedName name="DATE_ENTRY" localSheetId="0">#REF!</definedName>
    <definedName name="DATE_ENTRY">#REF!</definedName>
    <definedName name="DIV">[1]Data!$A$9:$A$696</definedName>
    <definedName name="DIVNUM">[2]DATA!$B$1</definedName>
    <definedName name="HTML_CodePage" hidden="1">1252</definedName>
    <definedName name="HTML_Control" localSheetId="18" hidden="1">{"'- 4 -'!$A$1:$G$76","'-3 -'!$A$1:$G$77"}</definedName>
    <definedName name="HTML_Control" localSheetId="19" hidden="1">{"'- 4 -'!$A$1:$G$76","'-3 -'!$A$1:$G$77"}</definedName>
    <definedName name="HTML_Control" localSheetId="42" hidden="1">{"'- 4 -'!$A$1:$G$76","'-3 -'!$A$1:$G$77"}</definedName>
    <definedName name="HTML_Control" localSheetId="45" hidden="1">{"'- 4 -'!$A$1:$G$76","'-3 -'!$A$1:$G$77"}</definedName>
    <definedName name="HTML_Control" localSheetId="49" hidden="1">{"'- 4 -'!$A$1:$G$76","'-3 -'!$A$1:$G$77"}</definedName>
    <definedName name="HTML_Control" localSheetId="50" hidden="1">{"'- 4 -'!$A$1:$G$76","'-3 -'!$A$1:$G$77"}</definedName>
    <definedName name="HTML_Control" localSheetId="53"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LIST">[2]DATA!$D$1:$D$39</definedName>
    <definedName name="LOADED1" localSheetId="0">#REF!</definedName>
    <definedName name="LOADED1">#REF!</definedName>
    <definedName name="LOADED2" localSheetId="0">#REF!</definedName>
    <definedName name="LOADED2">#REF!</definedName>
    <definedName name="LOADED3" localSheetId="0">#REF!</definedName>
    <definedName name="LOADED3">#REF!</definedName>
    <definedName name="NOW" localSheetId="0">#REF!</definedName>
    <definedName name="NOW">#REF!</definedName>
    <definedName name="OD_FINISH" localSheetId="0">#REF!</definedName>
    <definedName name="OD_FINISH">#REF!</definedName>
    <definedName name="OD_FIRST" localSheetId="0">#REF!</definedName>
    <definedName name="OD_FIRST">#REF!</definedName>
    <definedName name="OD_LAST" localSheetId="0">#REF!</definedName>
    <definedName name="OD_LAST">#REF!</definedName>
    <definedName name="OD_START" localSheetId="0">#REF!</definedName>
    <definedName name="OD_START">#REF!</definedName>
    <definedName name="ONE_AM" localSheetId="0">#REF!</definedName>
    <definedName name="ONE_AM">#REF!</definedName>
    <definedName name="ONE_PM" localSheetId="0">#REF!</definedName>
    <definedName name="ONE_PM">#REF!</definedName>
    <definedName name="OPYEAR" localSheetId="0">'[3]- 3 -'!$A$3</definedName>
    <definedName name="OPYEAR">'- 3 -'!$A$3</definedName>
    <definedName name="_xlnm.Print_Area" localSheetId="7">'- 10 -'!$A$1:$L$34</definedName>
    <definedName name="_xlnm.Print_Area" localSheetId="8">'- 12 -'!$A$2:$L$53</definedName>
    <definedName name="_xlnm.Print_Area" localSheetId="9">'- 13 -'!$A$2:$L$55</definedName>
    <definedName name="_xlnm.Print_Area" localSheetId="10">'- 15 -'!$A$1:$I$59</definedName>
    <definedName name="_xlnm.Print_Area" localSheetId="11">'- 16 -'!$A$1:$I$59</definedName>
    <definedName name="_xlnm.Print_Area" localSheetId="12">'- 17 -'!$A$1:$J$59</definedName>
    <definedName name="_xlnm.Print_Area" localSheetId="13">'- 18 -'!$A$1:$G$59</definedName>
    <definedName name="_xlnm.Print_Area" localSheetId="14">'- 19 -'!$A$1:$J$59</definedName>
    <definedName name="_xlnm.Print_Area" localSheetId="15">'- 20 -'!$A$1:$I$59</definedName>
    <definedName name="_xlnm.Print_Area" localSheetId="16">'- 21 -'!$A$1:$J$59</definedName>
    <definedName name="_xlnm.Print_Area" localSheetId="17">'- 22 -'!$A$1:$I$58</definedName>
    <definedName name="_xlnm.Print_Area" localSheetId="18">'- 23 -'!$A$1:$E$59</definedName>
    <definedName name="_xlnm.Print_Area" localSheetId="19">'- 24 -'!$A$1:$F$59</definedName>
    <definedName name="_xlnm.Print_Area" localSheetId="20">'- 25 -'!$A$1:$I$59</definedName>
    <definedName name="_xlnm.Print_Area" localSheetId="21">'- 26 -'!$A$1:$J$59</definedName>
    <definedName name="_xlnm.Print_Area" localSheetId="22">'- 27 -'!$A$1:$E$59</definedName>
    <definedName name="_xlnm.Print_Area" localSheetId="23">'- 28 -'!$A$1:$J$59</definedName>
    <definedName name="_xlnm.Print_Area" localSheetId="24">'- 29 -'!$A$1:$G$59</definedName>
    <definedName name="_xlnm.Print_Area" localSheetId="1">'- 3 -'!$A$1:$F$59</definedName>
    <definedName name="_xlnm.Print_Area" localSheetId="25">'- 30 -'!$A$1:$G$59</definedName>
    <definedName name="_xlnm.Print_Area" localSheetId="26">'- 31 -'!$A$1:$F$59</definedName>
    <definedName name="_xlnm.Print_Area" localSheetId="27">'- 32 -'!$A$1:$G$59</definedName>
    <definedName name="_xlnm.Print_Area" localSheetId="28">'- 33 -'!$A$1:$F$59</definedName>
    <definedName name="_xlnm.Print_Area" localSheetId="29">'- 34 -'!$A$1:$F$59</definedName>
    <definedName name="_xlnm.Print_Area" localSheetId="30">'- 35 -'!$A$1:$H$59</definedName>
    <definedName name="_xlnm.Print_Area" localSheetId="31">'- 36 -'!$A$1:$E$59</definedName>
    <definedName name="_xlnm.Print_Area" localSheetId="32">'- 37 -'!$A$1:$G$59</definedName>
    <definedName name="_xlnm.Print_Area" localSheetId="33">'- 38 -'!$A$1:$J$59</definedName>
    <definedName name="_xlnm.Print_Area" localSheetId="34">'- 39 -'!$A$1:$H$58</definedName>
    <definedName name="_xlnm.Print_Area" localSheetId="2">'- 4 -'!$A$1:$E$59</definedName>
    <definedName name="_xlnm.Print_Area" localSheetId="35">'- 41 -'!$A$1:$H$59</definedName>
    <definedName name="_xlnm.Print_Area" localSheetId="36">'- 42 -'!$A$1:$I$61</definedName>
    <definedName name="_xlnm.Print_Area" localSheetId="37">'- 43 -'!$A$1:$I$59</definedName>
    <definedName name="_xlnm.Print_Area" localSheetId="38">'- 44 -'!$A$1:$I$59</definedName>
    <definedName name="_xlnm.Print_Area" localSheetId="39">'- 45 -'!$A$1:$C$60</definedName>
    <definedName name="_xlnm.Print_Area" localSheetId="40">'- 46 -'!$A$1:$D$58</definedName>
    <definedName name="_xlnm.Print_Area" localSheetId="41">'- 48 -'!$A$1:$G$57</definedName>
    <definedName name="_xlnm.Print_Area" localSheetId="42">'- 49 - '!$A$1:$F$52</definedName>
    <definedName name="_xlnm.Print_Area" localSheetId="43">'- 51 -'!$A$1:$F$57</definedName>
    <definedName name="_xlnm.Print_Area" localSheetId="44">'- 52 -'!$A$1:$G$59</definedName>
    <definedName name="_xlnm.Print_Area" localSheetId="45">'- 53 -'!$A$1:$G$59</definedName>
    <definedName name="_xlnm.Print_Area" localSheetId="46">'- 54 -'!$A$1:$F$57</definedName>
    <definedName name="_xlnm.Print_Area" localSheetId="47">'- 55 -'!$A$1:$F$59</definedName>
    <definedName name="_xlnm.Print_Area" localSheetId="48">'- 56 -'!$A$1:$F$59</definedName>
    <definedName name="_xlnm.Print_Area" localSheetId="49">'- 57 -'!$A$2:$G$64</definedName>
    <definedName name="_xlnm.Print_Area" localSheetId="50">'- 58 -'!$A$1:$G$56</definedName>
    <definedName name="_xlnm.Print_Area" localSheetId="51">'- 59 -'!$A$1:$I$56</definedName>
    <definedName name="_xlnm.Print_Area" localSheetId="3">'- 6 -'!$A$1:$H$59</definedName>
    <definedName name="_xlnm.Print_Area" localSheetId="52">'- 60 -'!$A$2:$G$52</definedName>
    <definedName name="_xlnm.Print_Area" localSheetId="53">'- 61 -'!$A$1:$I$55</definedName>
    <definedName name="_xlnm.Print_Area" localSheetId="4">'- 7 -'!$A$1:$G$59</definedName>
    <definedName name="_xlnm.Print_Area" localSheetId="5">'- 8 -'!$A$1:$G$59</definedName>
    <definedName name="_xlnm.Print_Area" localSheetId="6">'- 9 -'!$A$1:$D$58</definedName>
    <definedName name="_xlnm.Print_Area" localSheetId="0">README!$B$3:$B$15</definedName>
    <definedName name="REVYEAR" localSheetId="0">'[3]- 42 -'!$B$1</definedName>
    <definedName name="REVYEAR">'- 42 -'!$B$1</definedName>
    <definedName name="STAMP" localSheetId="0">#REF!</definedName>
    <definedName name="STAMP">#REF!</definedName>
    <definedName name="STATDATE" localSheetId="0">'[3]- 6 -'!$B$3</definedName>
    <definedName name="STATDATE">'- 6 -'!$B$3</definedName>
    <definedName name="TAXYEAR" localSheetId="42">'[4]- 46 -'!$B$3</definedName>
    <definedName name="TAXYEAR" localSheetId="0">'[3]- 46 -'!$B$3</definedName>
    <definedName name="TAXYEAR">'- 46 -'!$B$3</definedName>
    <definedName name="TOTAL1" localSheetId="0">#REF!</definedName>
    <definedName name="TOTAL1">#REF!</definedName>
    <definedName name="TOTAL2" localSheetId="0">#REF!</definedName>
    <definedName name="TOTAL2">#REF!</definedName>
    <definedName name="TOTAL3" localSheetId="0">#REF!</definedName>
    <definedName name="TOTAL3">#REF!</definedName>
    <definedName name="TWO" localSheetId="0">#REF!</definedName>
    <definedName name="TWO">#REF!</definedName>
    <definedName name="YEAR" localSheetId="0">#REF!</definedName>
    <definedName name="YEAR">#REF!</definedName>
  </definedNames>
  <calcPr calcId="125725"/>
</workbook>
</file>

<file path=xl/calcChain.xml><?xml version="1.0" encoding="utf-8"?>
<calcChain xmlns="http://schemas.openxmlformats.org/spreadsheetml/2006/main">
  <c r="F52" i="23"/>
  <c r="I23" i="21" s="1"/>
  <c r="D46" i="23"/>
  <c r="F22" i="21" s="1"/>
  <c r="J29" i="23"/>
  <c r="F40"/>
  <c r="E23" i="21" s="1"/>
  <c r="B40" i="23"/>
  <c r="E21" i="21" s="1"/>
  <c r="D21"/>
  <c r="D22" i="23"/>
  <c r="C22" i="21" s="1"/>
  <c r="F22" i="23"/>
  <c r="C23" i="21" s="1"/>
  <c r="B22" i="23"/>
  <c r="C21" i="21" s="1"/>
  <c r="H46" i="22"/>
  <c r="D46"/>
  <c r="F16" i="21" s="1"/>
  <c r="F46" i="22"/>
  <c r="F17" i="21" s="1"/>
  <c r="F40" i="22"/>
  <c r="E17" i="21" s="1"/>
  <c r="D15"/>
  <c r="J14" i="23"/>
  <c r="H49"/>
  <c r="I15" i="49"/>
  <c r="I16"/>
  <c r="I17"/>
  <c r="I18"/>
  <c r="I19"/>
  <c r="I20"/>
  <c r="I21"/>
  <c r="I22"/>
  <c r="I23"/>
  <c r="I24"/>
  <c r="I25"/>
  <c r="I26"/>
  <c r="I27"/>
  <c r="I28"/>
  <c r="I29"/>
  <c r="I30"/>
  <c r="I31"/>
  <c r="I32"/>
  <c r="I33"/>
  <c r="I34"/>
  <c r="I35"/>
  <c r="I36"/>
  <c r="I37"/>
  <c r="I38"/>
  <c r="I39"/>
  <c r="I40"/>
  <c r="I41"/>
  <c r="I42"/>
  <c r="I43"/>
  <c r="I44"/>
  <c r="I45"/>
  <c r="A3" i="90"/>
  <c r="D9" i="78"/>
  <c r="I14"/>
  <c r="B9" i="90"/>
  <c r="D9"/>
  <c r="F9"/>
  <c r="G9"/>
  <c r="C48" i="89"/>
  <c r="J16" i="85"/>
  <c r="J20"/>
  <c r="I15" i="84"/>
  <c r="I19"/>
  <c r="I52"/>
  <c r="B3" i="50"/>
  <c r="G11" i="78"/>
  <c r="G12"/>
  <c r="F13" i="49"/>
  <c r="G13" i="78"/>
  <c r="F14" i="49"/>
  <c r="K14" s="1"/>
  <c r="G14" i="78"/>
  <c r="F15" i="49"/>
  <c r="G15" i="78"/>
  <c r="F16" i="49"/>
  <c r="G16" i="78"/>
  <c r="F17" i="49"/>
  <c r="G17" i="78"/>
  <c r="F18" i="49"/>
  <c r="G18" i="78"/>
  <c r="F19" i="49"/>
  <c r="G19" i="78"/>
  <c r="F20" i="49"/>
  <c r="G20" i="78"/>
  <c r="F21" i="49"/>
  <c r="G21" i="78"/>
  <c r="F22" i="49"/>
  <c r="G22" i="78"/>
  <c r="F23" i="49"/>
  <c r="G23" s="1"/>
  <c r="G23" i="78"/>
  <c r="F24" i="49"/>
  <c r="G24" i="78"/>
  <c r="F25" i="49"/>
  <c r="G25" i="78"/>
  <c r="F26" i="49"/>
  <c r="K26" s="1"/>
  <c r="G26" i="78"/>
  <c r="F27" i="49"/>
  <c r="G27" i="78"/>
  <c r="G28"/>
  <c r="F29" i="49"/>
  <c r="G29" s="1"/>
  <c r="G29" i="78"/>
  <c r="G30"/>
  <c r="F31" i="49"/>
  <c r="G31" i="78"/>
  <c r="F32" i="49"/>
  <c r="G32" i="78"/>
  <c r="F33" i="49"/>
  <c r="G33" s="1"/>
  <c r="G33" i="78"/>
  <c r="F34" i="49"/>
  <c r="G34" i="78"/>
  <c r="F35" i="49"/>
  <c r="G35" i="78"/>
  <c r="G36"/>
  <c r="F37" i="49"/>
  <c r="G37" i="78"/>
  <c r="F38" i="49"/>
  <c r="G38" i="78"/>
  <c r="G39"/>
  <c r="F40" i="49"/>
  <c r="G40" i="78"/>
  <c r="F41" i="49"/>
  <c r="G41" i="78"/>
  <c r="F42" i="49"/>
  <c r="G42" s="1"/>
  <c r="G42" i="78"/>
  <c r="G43"/>
  <c r="G44"/>
  <c r="F45" i="49"/>
  <c r="G45" i="78"/>
  <c r="F46" i="49"/>
  <c r="G46" i="78"/>
  <c r="G48"/>
  <c r="I11" i="49"/>
  <c r="I12"/>
  <c r="I13"/>
  <c r="I14"/>
  <c r="K23"/>
  <c r="F30"/>
  <c r="K47"/>
  <c r="B48"/>
  <c r="C48"/>
  <c r="D48"/>
  <c r="E48"/>
  <c r="B53"/>
  <c r="C53"/>
  <c r="D53"/>
  <c r="E53"/>
  <c r="A5" i="48"/>
  <c r="B11"/>
  <c r="C11" s="1"/>
  <c r="B11" i="50" s="1"/>
  <c r="B12" i="48"/>
  <c r="C12" s="1"/>
  <c r="B12" i="50" s="1"/>
  <c r="B13" i="48"/>
  <c r="C13" s="1"/>
  <c r="B14"/>
  <c r="C14" s="1"/>
  <c r="B14" i="50" s="1"/>
  <c r="D14" s="1"/>
  <c r="B15" i="48"/>
  <c r="C15" s="1"/>
  <c r="B15" i="50" s="1"/>
  <c r="B16" i="48"/>
  <c r="C16" s="1"/>
  <c r="B16" i="50" s="1"/>
  <c r="D16" s="1"/>
  <c r="B17" i="48"/>
  <c r="C17" s="1"/>
  <c r="B17" i="50" s="1"/>
  <c r="B18" i="48"/>
  <c r="C18" s="1"/>
  <c r="B18" i="50" s="1"/>
  <c r="D18" s="1"/>
  <c r="B19" i="48"/>
  <c r="C19" s="1"/>
  <c r="B19" i="50" s="1"/>
  <c r="B20" i="48"/>
  <c r="C20" s="1"/>
  <c r="B20" i="50" s="1"/>
  <c r="D20" s="1"/>
  <c r="B21" i="48"/>
  <c r="C21" s="1"/>
  <c r="B21" i="50" s="1"/>
  <c r="D21" s="1"/>
  <c r="B22" i="48"/>
  <c r="C22" s="1"/>
  <c r="B22" i="50" s="1"/>
  <c r="B23" i="48"/>
  <c r="C23" s="1"/>
  <c r="B23" i="50" s="1"/>
  <c r="B24" i="48"/>
  <c r="C24" s="1"/>
  <c r="B24" i="50" s="1"/>
  <c r="B25" i="48"/>
  <c r="C25" s="1"/>
  <c r="B25" i="50" s="1"/>
  <c r="B26" i="48"/>
  <c r="C26" s="1"/>
  <c r="B26" i="50" s="1"/>
  <c r="D26" s="1"/>
  <c r="B27" i="48"/>
  <c r="C27" s="1"/>
  <c r="B27" i="50" s="1"/>
  <c r="B28" i="48"/>
  <c r="C28" s="1"/>
  <c r="B28" i="50" s="1"/>
  <c r="B29" i="48"/>
  <c r="C29" s="1"/>
  <c r="B29" i="50" s="1"/>
  <c r="B30" i="48"/>
  <c r="C30" s="1"/>
  <c r="B30" i="50" s="1"/>
  <c r="D30" s="1"/>
  <c r="B31" i="48"/>
  <c r="C31" s="1"/>
  <c r="B31" i="50" s="1"/>
  <c r="B32" i="48"/>
  <c r="C32" s="1"/>
  <c r="B32" i="50" s="1"/>
  <c r="D32" s="1"/>
  <c r="B33" i="48"/>
  <c r="C33" s="1"/>
  <c r="B33" i="50" s="1"/>
  <c r="B34" i="48"/>
  <c r="C34" s="1"/>
  <c r="B34" i="50" s="1"/>
  <c r="D34" s="1"/>
  <c r="B35" i="48"/>
  <c r="C35" s="1"/>
  <c r="B35" i="50" s="1"/>
  <c r="B36" i="48"/>
  <c r="C36" s="1"/>
  <c r="B36" i="50" s="1"/>
  <c r="B37" i="48"/>
  <c r="C37" s="1"/>
  <c r="B37" i="50" s="1"/>
  <c r="B38" i="48"/>
  <c r="C38" s="1"/>
  <c r="B38" i="50" s="1"/>
  <c r="D38" s="1"/>
  <c r="B39" i="48"/>
  <c r="C39" s="1"/>
  <c r="B39" i="50" s="1"/>
  <c r="B40" i="48"/>
  <c r="C40" s="1"/>
  <c r="B40" i="50" s="1"/>
  <c r="B41" i="48"/>
  <c r="C41" s="1"/>
  <c r="B41" i="50" s="1"/>
  <c r="B42" i="48"/>
  <c r="C42" s="1"/>
  <c r="B42" i="50" s="1"/>
  <c r="B43" i="48"/>
  <c r="C43" s="1"/>
  <c r="B43" i="50" s="1"/>
  <c r="B44" i="48"/>
  <c r="C44" s="1"/>
  <c r="B44" i="50" s="1"/>
  <c r="B45" i="48"/>
  <c r="C45" s="1"/>
  <c r="B45" i="50" s="1"/>
  <c r="B46" i="48"/>
  <c r="C46" s="1"/>
  <c r="B46" i="50" s="1"/>
  <c r="B50" i="48"/>
  <c r="B51"/>
  <c r="C51" s="1"/>
  <c r="B2" i="52"/>
  <c r="K11" i="41"/>
  <c r="K12"/>
  <c r="K13"/>
  <c r="K14"/>
  <c r="K15"/>
  <c r="K16"/>
  <c r="K17"/>
  <c r="K18"/>
  <c r="K19"/>
  <c r="K20"/>
  <c r="K21"/>
  <c r="K22"/>
  <c r="K23"/>
  <c r="K24"/>
  <c r="K25"/>
  <c r="K26"/>
  <c r="K27"/>
  <c r="K28"/>
  <c r="K29"/>
  <c r="K30"/>
  <c r="K31"/>
  <c r="K32"/>
  <c r="K33"/>
  <c r="K34"/>
  <c r="K35"/>
  <c r="K36"/>
  <c r="K37"/>
  <c r="K38"/>
  <c r="K39"/>
  <c r="K40"/>
  <c r="K41"/>
  <c r="K42"/>
  <c r="K43"/>
  <c r="K44"/>
  <c r="K45"/>
  <c r="K46"/>
  <c r="I48"/>
  <c r="K48" s="1"/>
  <c r="K50"/>
  <c r="D14" i="40"/>
  <c r="D27"/>
  <c r="D50"/>
  <c r="D27" i="39"/>
  <c r="F27"/>
  <c r="H27"/>
  <c r="D50"/>
  <c r="F50"/>
  <c r="H50"/>
  <c r="J11" i="34"/>
  <c r="J12"/>
  <c r="J13"/>
  <c r="J14"/>
  <c r="J15"/>
  <c r="J16"/>
  <c r="J17"/>
  <c r="J18"/>
  <c r="J19"/>
  <c r="J20"/>
  <c r="J21"/>
  <c r="J22"/>
  <c r="J23"/>
  <c r="J24"/>
  <c r="J25"/>
  <c r="J26"/>
  <c r="J27"/>
  <c r="J28"/>
  <c r="J29"/>
  <c r="J30"/>
  <c r="J31"/>
  <c r="J32"/>
  <c r="J33"/>
  <c r="J34"/>
  <c r="J35"/>
  <c r="J36"/>
  <c r="J37"/>
  <c r="J38"/>
  <c r="J39"/>
  <c r="J40"/>
  <c r="J41"/>
  <c r="J42"/>
  <c r="J43"/>
  <c r="J44"/>
  <c r="J45"/>
  <c r="J46"/>
  <c r="J47"/>
  <c r="J48"/>
  <c r="D23" i="21"/>
  <c r="J58" i="23"/>
  <c r="D16" i="21"/>
  <c r="I17"/>
  <c r="D17"/>
  <c r="D18"/>
  <c r="D19"/>
  <c r="H50" i="23"/>
  <c r="J50" s="1"/>
  <c r="H51"/>
  <c r="J51" s="1"/>
  <c r="B48" i="16"/>
  <c r="C48"/>
  <c r="D48"/>
  <c r="F48"/>
  <c r="G48"/>
  <c r="D51"/>
  <c r="B3" i="76"/>
  <c r="J49" i="22"/>
  <c r="J22"/>
  <c r="C19" i="21" s="1"/>
  <c r="J40" i="22"/>
  <c r="E19" i="21" s="1"/>
  <c r="G27"/>
  <c r="J38" i="23"/>
  <c r="B3" i="19"/>
  <c r="B3" i="8"/>
  <c r="B3" i="9"/>
  <c r="B3" i="7"/>
  <c r="B3" i="10"/>
  <c r="B3" i="11"/>
  <c r="B3" i="82"/>
  <c r="B3" i="28"/>
  <c r="B3" i="35"/>
  <c r="B3" i="36"/>
  <c r="B3" i="38"/>
  <c r="B3" i="54"/>
  <c r="D35" i="50"/>
  <c r="D31"/>
  <c r="D27"/>
  <c r="D23"/>
  <c r="D15"/>
  <c r="B2" i="81"/>
  <c r="B2" i="47"/>
  <c r="B3" i="15"/>
  <c r="J37" i="23"/>
  <c r="J35"/>
  <c r="D40"/>
  <c r="E22" i="21" s="1"/>
  <c r="B3" i="20"/>
  <c r="B3" i="86"/>
  <c r="B3" i="25"/>
  <c r="B3" i="26"/>
  <c r="B3" i="27"/>
  <c r="B3" i="29"/>
  <c r="B3" i="34"/>
  <c r="B3" i="37"/>
  <c r="B3" i="39"/>
  <c r="B3" i="40"/>
  <c r="A3" i="41"/>
  <c r="B2" i="51"/>
  <c r="B2" i="46"/>
  <c r="H27" i="21"/>
  <c r="B46" i="23"/>
  <c r="F21" i="21" s="1"/>
  <c r="F49" i="22"/>
  <c r="D22" i="21"/>
  <c r="J19" i="23"/>
  <c r="C49" i="84"/>
  <c r="D40" i="22"/>
  <c r="E16" i="21" s="1"/>
  <c r="H22" i="22"/>
  <c r="C18" i="21" s="1"/>
  <c r="J46" i="22"/>
  <c r="F19" i="21" s="1"/>
  <c r="J33" i="23"/>
  <c r="J32"/>
  <c r="J15"/>
  <c r="F46"/>
  <c r="F23" i="21" s="1"/>
  <c r="B40" i="22"/>
  <c r="E15" i="21" s="1"/>
  <c r="J48" i="23"/>
  <c r="J43"/>
  <c r="J36"/>
  <c r="J21"/>
  <c r="G25" i="84"/>
  <c r="F26" i="85" s="1"/>
  <c r="C50"/>
  <c r="G12" i="84"/>
  <c r="I12" s="1"/>
  <c r="K33" i="49"/>
  <c r="K42"/>
  <c r="D11" i="50" l="1"/>
  <c r="A2" i="42"/>
  <c r="B48" i="48"/>
  <c r="D39" i="50"/>
  <c r="G47" i="84"/>
  <c r="I47" s="1"/>
  <c r="G35"/>
  <c r="I35" s="1"/>
  <c r="G18"/>
  <c r="I18" s="1"/>
  <c r="H49"/>
  <c r="B49"/>
  <c r="I51" i="89"/>
  <c r="I50"/>
  <c r="J16" i="23"/>
  <c r="J17"/>
  <c r="J18"/>
  <c r="J23"/>
  <c r="J26"/>
  <c r="J28"/>
  <c r="J31"/>
  <c r="J34"/>
  <c r="J39"/>
  <c r="J42"/>
  <c r="J44"/>
  <c r="J45"/>
  <c r="J32" i="49"/>
  <c r="I33" i="78"/>
  <c r="K32" i="49"/>
  <c r="G32"/>
  <c r="J31" s="1"/>
  <c r="F36" i="85"/>
  <c r="F18" i="21"/>
  <c r="J25" i="23"/>
  <c r="D19" i="50"/>
  <c r="D17"/>
  <c r="K24" i="21"/>
  <c r="D22" i="22"/>
  <c r="C16" i="21" s="1"/>
  <c r="K16" s="1"/>
  <c r="B22" i="22"/>
  <c r="C15" i="21" s="1"/>
  <c r="J20" i="23"/>
  <c r="H40" i="22"/>
  <c r="E18" i="21" s="1"/>
  <c r="K18" s="1"/>
  <c r="J27" i="23"/>
  <c r="F13" i="85"/>
  <c r="I25" i="84"/>
  <c r="D54" i="23"/>
  <c r="K21" i="21"/>
  <c r="D41" i="50"/>
  <c r="F39" i="49"/>
  <c r="G39" s="1"/>
  <c r="G48" i="89"/>
  <c r="I23" i="78"/>
  <c r="J22" i="49"/>
  <c r="K18"/>
  <c r="G18"/>
  <c r="K25"/>
  <c r="G25"/>
  <c r="K22"/>
  <c r="G22"/>
  <c r="K20"/>
  <c r="G20"/>
  <c r="J19" s="1"/>
  <c r="G16"/>
  <c r="J15" s="1"/>
  <c r="K16"/>
  <c r="E48" i="89"/>
  <c r="D46" i="50"/>
  <c r="D33"/>
  <c r="D25"/>
  <c r="D22"/>
  <c r="G36" i="84"/>
  <c r="B54" i="23"/>
  <c r="F19" i="85"/>
  <c r="G45" i="84"/>
  <c r="G39"/>
  <c r="I39" s="1"/>
  <c r="G37"/>
  <c r="G32"/>
  <c r="G24"/>
  <c r="F25" i="85" s="1"/>
  <c r="G23" i="84"/>
  <c r="G22"/>
  <c r="K22" i="21"/>
  <c r="B46" i="22"/>
  <c r="I42" i="78"/>
  <c r="J41" i="49"/>
  <c r="E27" i="21"/>
  <c r="J49" i="23"/>
  <c r="J52" s="1"/>
  <c r="H52"/>
  <c r="H54" s="1"/>
  <c r="G30" i="49"/>
  <c r="J29" s="1"/>
  <c r="K30"/>
  <c r="G17"/>
  <c r="K17"/>
  <c r="F44"/>
  <c r="D44" i="50"/>
  <c r="F43" i="49"/>
  <c r="K43" s="1"/>
  <c r="D43" i="50"/>
  <c r="F36" i="49"/>
  <c r="D36" i="50"/>
  <c r="F28" i="49"/>
  <c r="D28" i="50"/>
  <c r="G27" i="49"/>
  <c r="K27"/>
  <c r="G24"/>
  <c r="I24" i="78" s="1"/>
  <c r="K24" i="49"/>
  <c r="G21"/>
  <c r="K21"/>
  <c r="G19"/>
  <c r="J18" s="1"/>
  <c r="K19"/>
  <c r="F12"/>
  <c r="G12" s="1"/>
  <c r="D12" i="50"/>
  <c r="F11" i="49"/>
  <c r="C48" i="50"/>
  <c r="F54" i="23"/>
  <c r="J40"/>
  <c r="G26" i="49"/>
  <c r="J51" i="22"/>
  <c r="F48" i="85"/>
  <c r="D24" i="50"/>
  <c r="D40"/>
  <c r="I12" i="89"/>
  <c r="B48"/>
  <c r="I46"/>
  <c r="I44"/>
  <c r="I42"/>
  <c r="I40"/>
  <c r="I38"/>
  <c r="I36"/>
  <c r="I34"/>
  <c r="I32"/>
  <c r="I30"/>
  <c r="I28"/>
  <c r="I26"/>
  <c r="I24"/>
  <c r="I22"/>
  <c r="I20"/>
  <c r="I18"/>
  <c r="I16"/>
  <c r="I14"/>
  <c r="H48"/>
  <c r="F48"/>
  <c r="D48"/>
  <c r="M48" i="22"/>
  <c r="I19" i="21"/>
  <c r="I27" s="1"/>
  <c r="I45" i="89"/>
  <c r="I43"/>
  <c r="I41"/>
  <c r="I39"/>
  <c r="I37"/>
  <c r="I35"/>
  <c r="I33"/>
  <c r="I31"/>
  <c r="I29"/>
  <c r="I27"/>
  <c r="I25"/>
  <c r="I23"/>
  <c r="I21"/>
  <c r="I19"/>
  <c r="I17"/>
  <c r="I15"/>
  <c r="I13"/>
  <c r="I11"/>
  <c r="J30" i="23"/>
  <c r="D45" i="50"/>
  <c r="D42"/>
  <c r="D37"/>
  <c r="D29"/>
  <c r="G38" i="84"/>
  <c r="G33"/>
  <c r="G31"/>
  <c r="B53" i="48"/>
  <c r="G16" i="84"/>
  <c r="G51"/>
  <c r="F52" i="85" s="1"/>
  <c r="G17" i="84"/>
  <c r="G13"/>
  <c r="G45" i="49"/>
  <c r="J44" s="1"/>
  <c r="K45"/>
  <c r="G40" i="84"/>
  <c r="I40" s="1"/>
  <c r="G30"/>
  <c r="J23" i="49"/>
  <c r="K34"/>
  <c r="G34"/>
  <c r="I30" i="78"/>
  <c r="G43" i="49"/>
  <c r="G41"/>
  <c r="K41"/>
  <c r="G37"/>
  <c r="K37"/>
  <c r="J28"/>
  <c r="I29" i="78"/>
  <c r="K12" i="49"/>
  <c r="G43" i="84"/>
  <c r="E49"/>
  <c r="I50" i="85"/>
  <c r="G46" i="84"/>
  <c r="I46" s="1"/>
  <c r="G41"/>
  <c r="I41" s="1"/>
  <c r="G27"/>
  <c r="I27" s="1"/>
  <c r="G14"/>
  <c r="G28"/>
  <c r="F29" i="85" s="1"/>
  <c r="G26" i="84"/>
  <c r="I26" s="1"/>
  <c r="G20"/>
  <c r="D49"/>
  <c r="D50" i="85"/>
  <c r="G44" i="84"/>
  <c r="F45" i="85" s="1"/>
  <c r="G42" i="84"/>
  <c r="G34"/>
  <c r="G29"/>
  <c r="F30" i="85" s="1"/>
  <c r="I19" i="78"/>
  <c r="G46" i="49"/>
  <c r="K46"/>
  <c r="G38"/>
  <c r="K38"/>
  <c r="K35"/>
  <c r="G35"/>
  <c r="F27" i="85"/>
  <c r="D27" i="21"/>
  <c r="K23"/>
  <c r="G40" i="49"/>
  <c r="K40"/>
  <c r="K31"/>
  <c r="G31"/>
  <c r="G15"/>
  <c r="K15"/>
  <c r="G13"/>
  <c r="K13"/>
  <c r="F28" i="85"/>
  <c r="I32" i="78"/>
  <c r="F22" i="22"/>
  <c r="G21" i="84"/>
  <c r="B13" i="50"/>
  <c r="C48" i="48"/>
  <c r="C53" s="1"/>
  <c r="D51" i="22" l="1"/>
  <c r="F49" i="84"/>
  <c r="F42" i="85"/>
  <c r="H51" i="22"/>
  <c r="F41" i="85"/>
  <c r="F48" i="49"/>
  <c r="K48" s="1"/>
  <c r="K39"/>
  <c r="I16" i="78"/>
  <c r="F40" i="85"/>
  <c r="I33" i="84"/>
  <c r="F34" i="85"/>
  <c r="I45" i="84"/>
  <c r="F46" i="85"/>
  <c r="I20" i="78"/>
  <c r="I24" i="84"/>
  <c r="J38" i="49"/>
  <c r="I39" i="78"/>
  <c r="F37" i="85"/>
  <c r="I36" i="84"/>
  <c r="J21" i="49"/>
  <c r="I22" i="78"/>
  <c r="I25"/>
  <c r="J24" i="49"/>
  <c r="J17"/>
  <c r="I18" i="78"/>
  <c r="I23" i="84"/>
  <c r="F24" i="85"/>
  <c r="I37" i="84"/>
  <c r="F38" i="85"/>
  <c r="F23"/>
  <c r="I22" i="84"/>
  <c r="F15" i="21"/>
  <c r="B51" i="22"/>
  <c r="J46" i="23"/>
  <c r="I31" i="84"/>
  <c r="F32" i="85"/>
  <c r="F14"/>
  <c r="I13" i="84"/>
  <c r="J25" i="49"/>
  <c r="I26" i="78"/>
  <c r="G11" i="49"/>
  <c r="K11"/>
  <c r="J20"/>
  <c r="I21" i="78"/>
  <c r="I27"/>
  <c r="J26" i="49"/>
  <c r="G28"/>
  <c r="K28"/>
  <c r="K36"/>
  <c r="G36"/>
  <c r="K44"/>
  <c r="G44"/>
  <c r="I17" i="78"/>
  <c r="J16" i="49"/>
  <c r="F47" i="85"/>
  <c r="I48" i="89"/>
  <c r="K19" i="21"/>
  <c r="I44" i="84"/>
  <c r="I29"/>
  <c r="I28"/>
  <c r="I45" i="78"/>
  <c r="F31" i="85"/>
  <c r="I30" i="84"/>
  <c r="I34"/>
  <c r="F35" i="85"/>
  <c r="I42" i="84"/>
  <c r="F43" i="85"/>
  <c r="I14" i="84"/>
  <c r="F15" i="85"/>
  <c r="F21"/>
  <c r="I20" i="84"/>
  <c r="I38"/>
  <c r="F39" i="85"/>
  <c r="J12" i="49"/>
  <c r="I12" i="78"/>
  <c r="I37"/>
  <c r="J36" i="49"/>
  <c r="J40"/>
  <c r="I41" i="78"/>
  <c r="I17" i="84"/>
  <c r="F18" i="85"/>
  <c r="F33"/>
  <c r="I32" i="84"/>
  <c r="F44" i="85"/>
  <c r="I43" i="84"/>
  <c r="J42" i="49"/>
  <c r="I43" i="78"/>
  <c r="J33" i="49"/>
  <c r="I34" i="78"/>
  <c r="F22" i="85"/>
  <c r="I21" i="84"/>
  <c r="I16"/>
  <c r="F17" i="85"/>
  <c r="J13" i="49"/>
  <c r="I13" i="78"/>
  <c r="I15"/>
  <c r="J14" i="49"/>
  <c r="J39"/>
  <c r="I40" i="78"/>
  <c r="J34" i="49"/>
  <c r="I35" i="78"/>
  <c r="G49" i="84"/>
  <c r="I49" s="1"/>
  <c r="C17" i="21"/>
  <c r="F51" i="22"/>
  <c r="J22" i="23"/>
  <c r="J30" i="49"/>
  <c r="I31" i="78"/>
  <c r="G48" i="49"/>
  <c r="I48" i="78" s="1"/>
  <c r="J37" i="49"/>
  <c r="I38" i="78"/>
  <c r="J45" i="49"/>
  <c r="I46" i="78"/>
  <c r="D13" i="50"/>
  <c r="D48" s="1"/>
  <c r="B48"/>
  <c r="J54" i="23" l="1"/>
  <c r="C30" i="22" s="1"/>
  <c r="F50" i="85"/>
  <c r="F27" i="21"/>
  <c r="K15"/>
  <c r="J43" i="49"/>
  <c r="I44" i="78"/>
  <c r="J35" i="49"/>
  <c r="I36" i="78"/>
  <c r="J27" i="49"/>
  <c r="I28" i="78"/>
  <c r="I11"/>
  <c r="J11" i="49"/>
  <c r="E18" i="22"/>
  <c r="I23"/>
  <c r="C35" i="23"/>
  <c r="E33"/>
  <c r="E28" i="22"/>
  <c r="G46"/>
  <c r="G17"/>
  <c r="K32"/>
  <c r="I43"/>
  <c r="K19" i="23"/>
  <c r="G36"/>
  <c r="G18" i="22"/>
  <c r="E45" i="23"/>
  <c r="K38"/>
  <c r="K26"/>
  <c r="E15" i="22"/>
  <c r="G44"/>
  <c r="E45"/>
  <c r="C28" i="23"/>
  <c r="E16"/>
  <c r="C40" i="22"/>
  <c r="G34" i="23"/>
  <c r="I31" i="22"/>
  <c r="E17" i="23"/>
  <c r="G29" i="22"/>
  <c r="G54" i="23"/>
  <c r="N31" s="1"/>
  <c r="I15" i="22"/>
  <c r="C37" i="23"/>
  <c r="C33" i="22"/>
  <c r="E31"/>
  <c r="E46" i="23"/>
  <c r="C19" i="22"/>
  <c r="K23" i="23"/>
  <c r="N14" s="1"/>
  <c r="C29" i="22"/>
  <c r="E23" i="23"/>
  <c r="G45"/>
  <c r="E21"/>
  <c r="K34"/>
  <c r="G22"/>
  <c r="E35" i="22"/>
  <c r="C45"/>
  <c r="G25"/>
  <c r="G44" i="23"/>
  <c r="K42" i="22"/>
  <c r="K46"/>
  <c r="I26"/>
  <c r="K46" i="23"/>
  <c r="N16" s="1"/>
  <c r="G32"/>
  <c r="K17" i="22"/>
  <c r="C19" i="23"/>
  <c r="E39" i="22"/>
  <c r="E32" i="23"/>
  <c r="G40"/>
  <c r="C30"/>
  <c r="G15" i="22"/>
  <c r="K28" i="23"/>
  <c r="I32" i="22"/>
  <c r="C38" i="23"/>
  <c r="C39"/>
  <c r="G35" i="22"/>
  <c r="I25"/>
  <c r="E16"/>
  <c r="I29"/>
  <c r="G25" i="23"/>
  <c r="G21"/>
  <c r="I39" i="22"/>
  <c r="E54" i="23"/>
  <c r="N30" s="1"/>
  <c r="I17" i="22"/>
  <c r="I38"/>
  <c r="K52" i="23"/>
  <c r="K17" i="21"/>
  <c r="K27" s="1"/>
  <c r="C27"/>
  <c r="G51" i="22" l="1"/>
  <c r="N26" i="23" s="1"/>
  <c r="K34" i="22"/>
  <c r="C42" i="23"/>
  <c r="K38" i="22"/>
  <c r="K16" i="23"/>
  <c r="G42"/>
  <c r="I37" i="22"/>
  <c r="I30"/>
  <c r="E40"/>
  <c r="E28" i="23"/>
  <c r="C38" i="22"/>
  <c r="K19"/>
  <c r="G16" i="23"/>
  <c r="G33" i="22"/>
  <c r="C51"/>
  <c r="N24" i="23" s="1"/>
  <c r="K21" i="22"/>
  <c r="I36"/>
  <c r="K15"/>
  <c r="K43" i="23"/>
  <c r="I42" i="22"/>
  <c r="E29" i="23"/>
  <c r="G19"/>
  <c r="E39"/>
  <c r="K40" i="22"/>
  <c r="K23"/>
  <c r="K42" i="23"/>
  <c r="G27"/>
  <c r="C40"/>
  <c r="I45" i="22"/>
  <c r="G27"/>
  <c r="G42"/>
  <c r="I33"/>
  <c r="K39" i="23"/>
  <c r="E19" i="22"/>
  <c r="K35" i="23"/>
  <c r="G30"/>
  <c r="G17"/>
  <c r="I51" i="22"/>
  <c r="N27" i="23" s="1"/>
  <c r="E30"/>
  <c r="E43"/>
  <c r="E29" i="22"/>
  <c r="C28"/>
  <c r="E26"/>
  <c r="K45"/>
  <c r="G32"/>
  <c r="E22"/>
  <c r="E44"/>
  <c r="E17"/>
  <c r="K28"/>
  <c r="C39"/>
  <c r="C23"/>
  <c r="I51" i="23"/>
  <c r="E38"/>
  <c r="C16"/>
  <c r="G31"/>
  <c r="E40"/>
  <c r="K30" i="22"/>
  <c r="C32"/>
  <c r="K14" i="23"/>
  <c r="G26" i="22"/>
  <c r="I19"/>
  <c r="C16"/>
  <c r="E37"/>
  <c r="G18" i="23"/>
  <c r="C17"/>
  <c r="K20"/>
  <c r="E33" i="22"/>
  <c r="C17"/>
  <c r="E43"/>
  <c r="G43" i="23"/>
  <c r="K22"/>
  <c r="N13" s="1"/>
  <c r="G22" i="22"/>
  <c r="E27"/>
  <c r="K33" i="23"/>
  <c r="K22" i="22"/>
  <c r="G19"/>
  <c r="C36"/>
  <c r="G34"/>
  <c r="K40" i="23"/>
  <c r="N15" s="1"/>
  <c r="C36"/>
  <c r="C23"/>
  <c r="E27"/>
  <c r="G43" i="22"/>
  <c r="K37" i="23"/>
  <c r="C46"/>
  <c r="C15" i="22"/>
  <c r="K36" i="23"/>
  <c r="G16" i="22"/>
  <c r="E18" i="23"/>
  <c r="C34"/>
  <c r="I35" i="22"/>
  <c r="I18"/>
  <c r="C43" i="23"/>
  <c r="K33" i="22"/>
  <c r="E15" i="23"/>
  <c r="K51"/>
  <c r="I46" i="22"/>
  <c r="K37"/>
  <c r="E51"/>
  <c r="N25" i="23" s="1"/>
  <c r="K44"/>
  <c r="G28"/>
  <c r="C54"/>
  <c r="N29" s="1"/>
  <c r="G37" i="22"/>
  <c r="K54" i="23"/>
  <c r="E25"/>
  <c r="I49"/>
  <c r="G29"/>
  <c r="K15"/>
  <c r="C25"/>
  <c r="C26"/>
  <c r="G38" i="22"/>
  <c r="I27"/>
  <c r="K32" i="23"/>
  <c r="E20" i="22"/>
  <c r="I40"/>
  <c r="E42" i="23"/>
  <c r="I28" i="22"/>
  <c r="G40"/>
  <c r="K39"/>
  <c r="C21" i="23"/>
  <c r="C44" i="22"/>
  <c r="C22"/>
  <c r="K45" i="23"/>
  <c r="K31" i="22"/>
  <c r="I52" i="23"/>
  <c r="C46" i="22"/>
  <c r="E22" i="23"/>
  <c r="C42" i="22"/>
  <c r="C21"/>
  <c r="K35"/>
  <c r="E21"/>
  <c r="K25"/>
  <c r="K18" i="23"/>
  <c r="K27" i="22"/>
  <c r="K31" i="23"/>
  <c r="K17"/>
  <c r="G35"/>
  <c r="C26" i="22"/>
  <c r="E36"/>
  <c r="I16"/>
  <c r="G23" i="23"/>
  <c r="C35" i="22"/>
  <c r="C27" i="23"/>
  <c r="K49"/>
  <c r="N17" s="1"/>
  <c r="I54"/>
  <c r="N32" s="1"/>
  <c r="K51" i="22"/>
  <c r="N28" i="23" s="1"/>
  <c r="G21" i="22"/>
  <c r="G30"/>
  <c r="C27"/>
  <c r="E46"/>
  <c r="C18"/>
  <c r="K30" i="23"/>
  <c r="C22"/>
  <c r="E30" i="22"/>
  <c r="E26" i="23"/>
  <c r="C29"/>
  <c r="I44" i="22"/>
  <c r="K29" i="23"/>
  <c r="E32" i="22"/>
  <c r="G33" i="23"/>
  <c r="K29" i="22"/>
  <c r="E44" i="23"/>
  <c r="K26" i="22"/>
  <c r="G28"/>
  <c r="K16"/>
  <c r="G36"/>
  <c r="C33" i="23"/>
  <c r="G23" i="22"/>
  <c r="E31" i="23"/>
  <c r="K21"/>
  <c r="K25"/>
  <c r="G26"/>
  <c r="C44"/>
  <c r="G15"/>
  <c r="K36" i="22"/>
  <c r="K43"/>
  <c r="K18"/>
  <c r="C43"/>
  <c r="C18" i="23"/>
  <c r="E35"/>
  <c r="C37" i="22"/>
  <c r="G31"/>
  <c r="I34"/>
  <c r="C45" i="23"/>
  <c r="G37"/>
  <c r="K27"/>
  <c r="E36"/>
  <c r="C25" i="22"/>
  <c r="E42"/>
  <c r="E25"/>
  <c r="C32" i="23"/>
  <c r="G38"/>
  <c r="E37"/>
  <c r="E19"/>
  <c r="G39" i="22"/>
  <c r="E38"/>
  <c r="K44"/>
  <c r="C31" i="23"/>
  <c r="I21" i="22"/>
  <c r="G46" i="23"/>
  <c r="C31" i="22"/>
  <c r="G45"/>
  <c r="E34" i="23"/>
  <c r="E34" i="22"/>
  <c r="C34"/>
  <c r="G39" i="23"/>
  <c r="I22" i="22"/>
  <c r="E23"/>
  <c r="C15" i="23"/>
  <c r="N18"/>
  <c r="N34" l="1"/>
  <c r="N20"/>
  <c r="H51" i="39" l="1"/>
  <c r="F51"/>
  <c r="D51" i="40"/>
  <c r="D51" i="39"/>
  <c r="J51" i="9"/>
  <c r="G51"/>
  <c r="G50" i="8"/>
  <c r="J50" i="9"/>
  <c r="G50"/>
  <c r="G46"/>
  <c r="J45"/>
  <c r="G45"/>
  <c r="G44" i="8"/>
  <c r="J44" i="9"/>
  <c r="G43" i="8"/>
  <c r="J43" i="9"/>
  <c r="G43"/>
  <c r="J42"/>
  <c r="G42"/>
  <c r="C42" i="15"/>
  <c r="F42" s="1"/>
  <c r="G41" i="8"/>
  <c r="E41" i="7"/>
  <c r="J41" i="9"/>
  <c r="G41"/>
  <c r="J39"/>
  <c r="G39"/>
  <c r="G38"/>
  <c r="C38" i="15"/>
  <c r="G37" i="8"/>
  <c r="E37" i="7"/>
  <c r="G37" i="9"/>
  <c r="J36"/>
  <c r="G36"/>
  <c r="G35"/>
  <c r="E34" i="7"/>
  <c r="G34" i="9"/>
  <c r="J33"/>
  <c r="G33"/>
  <c r="C33" i="15"/>
  <c r="F33" s="1"/>
  <c r="E32" i="7"/>
  <c r="G32" i="9"/>
  <c r="J31"/>
  <c r="G31"/>
  <c r="G30" i="8"/>
  <c r="J30" i="9"/>
  <c r="G30"/>
  <c r="G29" i="8"/>
  <c r="G29" i="9"/>
  <c r="G40"/>
  <c r="G28" i="8"/>
  <c r="J28" i="9"/>
  <c r="G28"/>
  <c r="J27"/>
  <c r="G27"/>
  <c r="F27" i="46"/>
  <c r="G25" i="9"/>
  <c r="G24"/>
  <c r="J23"/>
  <c r="G23"/>
  <c r="J17"/>
  <c r="G17"/>
  <c r="F17" i="46"/>
  <c r="G17" i="81"/>
  <c r="G22" i="8"/>
  <c r="E22" i="7"/>
  <c r="J22" i="9"/>
  <c r="G22"/>
  <c r="G21" i="8"/>
  <c r="E21" i="7"/>
  <c r="J21" i="9"/>
  <c r="G21"/>
  <c r="J20"/>
  <c r="G20"/>
  <c r="C20" i="15"/>
  <c r="F20" s="1"/>
  <c r="E19" i="7"/>
  <c r="J19" i="9"/>
  <c r="G19"/>
  <c r="F19" i="46"/>
  <c r="G18" i="8"/>
  <c r="J18" i="9"/>
  <c r="G18"/>
  <c r="C18" i="15"/>
  <c r="G18" i="81"/>
  <c r="E16" i="7"/>
  <c r="J16" i="9"/>
  <c r="G16"/>
  <c r="G15" i="8"/>
  <c r="J15" i="9"/>
  <c r="G15"/>
  <c r="G14" i="8"/>
  <c r="J14" i="9"/>
  <c r="G13"/>
  <c r="J12"/>
  <c r="G12"/>
  <c r="C48" i="40"/>
  <c r="G48" i="14"/>
  <c r="D48" i="43"/>
  <c r="D48" i="52"/>
  <c r="B48"/>
  <c r="C48" i="46"/>
  <c r="D48" i="47"/>
  <c r="E48" i="81"/>
  <c r="C48"/>
  <c r="G48" i="51"/>
  <c r="E48"/>
  <c r="C48"/>
  <c r="B48" i="33"/>
  <c r="F29" i="46"/>
  <c r="F51"/>
  <c r="D48" i="51" l="1"/>
  <c r="F48"/>
  <c r="B48" i="81"/>
  <c r="D48"/>
  <c r="F48"/>
  <c r="E48" i="47"/>
  <c r="B48" i="46"/>
  <c r="D48"/>
  <c r="C48" i="52"/>
  <c r="C48" i="43"/>
  <c r="A53" i="44" s="1"/>
  <c r="F48" i="14"/>
  <c r="H48"/>
  <c r="C12" i="15"/>
  <c r="F12" s="1"/>
  <c r="E13" i="7"/>
  <c r="F13" s="1"/>
  <c r="G14" i="81"/>
  <c r="E23" i="7"/>
  <c r="F23" s="1"/>
  <c r="G26" i="81"/>
  <c r="E27" i="7"/>
  <c r="I27" s="1"/>
  <c r="G28" i="81"/>
  <c r="C40" i="15"/>
  <c r="F40" s="1"/>
  <c r="G40" i="26" s="1"/>
  <c r="E29" i="7"/>
  <c r="G45" i="81"/>
  <c r="C46" i="15"/>
  <c r="E50" i="7"/>
  <c r="G50" s="1"/>
  <c r="G51" i="81"/>
  <c r="F51" i="52" s="1"/>
  <c r="B51" i="43" s="1"/>
  <c r="C17" i="15"/>
  <c r="F17" s="1"/>
  <c r="G17" i="28" s="1"/>
  <c r="C14" i="15"/>
  <c r="F14" s="1"/>
  <c r="C24"/>
  <c r="C28"/>
  <c r="F28" s="1"/>
  <c r="G15" i="81"/>
  <c r="E15" i="7"/>
  <c r="C16" i="15"/>
  <c r="C30"/>
  <c r="E31" i="7"/>
  <c r="H31" s="1"/>
  <c r="E35"/>
  <c r="C36" i="15"/>
  <c r="D36" i="28" s="1"/>
  <c r="G12" i="81"/>
  <c r="G13"/>
  <c r="C25" i="15"/>
  <c r="F25" s="1"/>
  <c r="G27" i="81"/>
  <c r="E40" i="7"/>
  <c r="C35" i="15"/>
  <c r="F35" s="1"/>
  <c r="G35" i="28" s="1"/>
  <c r="G36" i="81"/>
  <c r="E43" i="7"/>
  <c r="G43" s="1"/>
  <c r="C44" i="15"/>
  <c r="C45"/>
  <c r="F45" s="1"/>
  <c r="D45" i="10" s="1"/>
  <c r="E51" i="7"/>
  <c r="F27" i="52"/>
  <c r="B27" i="43" s="1"/>
  <c r="F27" s="1"/>
  <c r="H27" s="1"/>
  <c r="G19" i="81"/>
  <c r="C19" i="15"/>
  <c r="F19" s="1"/>
  <c r="J19" i="10" s="1"/>
  <c r="C21" i="15"/>
  <c r="F21" s="1"/>
  <c r="C32"/>
  <c r="F32" s="1"/>
  <c r="J32" i="26" s="1"/>
  <c r="C37" i="15"/>
  <c r="F37" s="1"/>
  <c r="E39" i="7"/>
  <c r="D39" s="1"/>
  <c r="D20" i="8"/>
  <c r="G20" i="10"/>
  <c r="G33"/>
  <c r="G17"/>
  <c r="G14"/>
  <c r="J42"/>
  <c r="H23" i="18"/>
  <c r="G45" i="28"/>
  <c r="G37"/>
  <c r="D42" i="8"/>
  <c r="H28" i="18"/>
  <c r="D36" i="19"/>
  <c r="G28" i="26"/>
  <c r="B18" i="76"/>
  <c r="G42" i="28"/>
  <c r="B23" i="40"/>
  <c r="D23" s="1"/>
  <c r="B38" i="76"/>
  <c r="B24"/>
  <c r="B34"/>
  <c r="B32"/>
  <c r="B21" i="19"/>
  <c r="B22"/>
  <c r="H25" i="18"/>
  <c r="H32"/>
  <c r="H40"/>
  <c r="B41" i="19"/>
  <c r="B50" i="76"/>
  <c r="J21" i="10"/>
  <c r="H22" i="18"/>
  <c r="H24"/>
  <c r="B27" i="19"/>
  <c r="H30" i="18"/>
  <c r="B34" i="19"/>
  <c r="B35"/>
  <c r="H37" i="18"/>
  <c r="B38" i="19"/>
  <c r="B42"/>
  <c r="H46" i="18"/>
  <c r="B43" i="39"/>
  <c r="F43" s="1"/>
  <c r="B21" i="40"/>
  <c r="D21" s="1"/>
  <c r="B25"/>
  <c r="D25" s="1"/>
  <c r="B27"/>
  <c r="B13" i="76"/>
  <c r="B17"/>
  <c r="B21"/>
  <c r="D21" i="27"/>
  <c r="D21" i="76" s="1"/>
  <c r="B27"/>
  <c r="J12" i="26"/>
  <c r="J20"/>
  <c r="J25"/>
  <c r="J40"/>
  <c r="G17"/>
  <c r="G21"/>
  <c r="G33"/>
  <c r="G37"/>
  <c r="D17" i="19"/>
  <c r="D17" i="26"/>
  <c r="D21" i="19"/>
  <c r="D21" i="26"/>
  <c r="D25" i="19"/>
  <c r="D25" i="26"/>
  <c r="D27" i="19"/>
  <c r="D29"/>
  <c r="D32"/>
  <c r="D37"/>
  <c r="D37" i="26"/>
  <c r="D41" i="19"/>
  <c r="D45"/>
  <c r="D17" i="9"/>
  <c r="D21"/>
  <c r="D25"/>
  <c r="D29"/>
  <c r="D35"/>
  <c r="D43"/>
  <c r="D50"/>
  <c r="J37" i="10"/>
  <c r="G28"/>
  <c r="G25"/>
  <c r="B12" i="76"/>
  <c r="D12" i="27"/>
  <c r="D12" i="76" s="1"/>
  <c r="F33" i="11"/>
  <c r="J28" i="10"/>
  <c r="F25" i="11"/>
  <c r="B41" i="39"/>
  <c r="B33"/>
  <c r="H33" s="1"/>
  <c r="F37" i="45"/>
  <c r="B50" i="18"/>
  <c r="H35"/>
  <c r="J17" i="10"/>
  <c r="B25" i="39"/>
  <c r="F50" i="45"/>
  <c r="B26" i="19"/>
  <c r="B43"/>
  <c r="F27" i="45"/>
  <c r="J35" i="10"/>
  <c r="B37" i="76"/>
  <c r="D37" i="27"/>
  <c r="D37" i="76" s="1"/>
  <c r="B45"/>
  <c r="D45" i="27"/>
  <c r="D45" i="76" s="1"/>
  <c r="F36" i="45"/>
  <c r="B22" i="39"/>
  <c r="B38"/>
  <c r="F38" s="1"/>
  <c r="D51" i="9"/>
  <c r="F39" i="45"/>
  <c r="B20" i="39"/>
  <c r="D21" i="8"/>
  <c r="B30" i="18"/>
  <c r="D30" i="8"/>
  <c r="B24" i="39"/>
  <c r="H24" s="1"/>
  <c r="F29" i="45"/>
  <c r="B21" i="39"/>
  <c r="F21" s="1"/>
  <c r="B27" i="20"/>
  <c r="B12" i="39"/>
  <c r="H12" s="1"/>
  <c r="B16"/>
  <c r="F16" s="1"/>
  <c r="G32" i="26"/>
  <c r="D11" i="9"/>
  <c r="D30"/>
  <c r="B48" i="47"/>
  <c r="F11" i="46"/>
  <c r="G11" i="9"/>
  <c r="C48" i="14"/>
  <c r="E48"/>
  <c r="E11" i="7"/>
  <c r="G11" i="8"/>
  <c r="B48" i="15"/>
  <c r="G48" i="39"/>
  <c r="E12" i="41"/>
  <c r="E12" i="16"/>
  <c r="I13" i="7"/>
  <c r="H13"/>
  <c r="E14" i="41"/>
  <c r="E14" i="16"/>
  <c r="H15" i="7"/>
  <c r="I15"/>
  <c r="F15"/>
  <c r="D15"/>
  <c r="G15"/>
  <c r="F16" i="15"/>
  <c r="E19" i="16"/>
  <c r="E20"/>
  <c r="E20" i="41"/>
  <c r="F21" i="7"/>
  <c r="G21"/>
  <c r="I21"/>
  <c r="H21"/>
  <c r="H23"/>
  <c r="G23"/>
  <c r="E25" i="41"/>
  <c r="E25" i="16"/>
  <c r="C26" i="15"/>
  <c r="F26" s="1"/>
  <c r="J26" i="54" s="1"/>
  <c r="G26" i="9"/>
  <c r="E40" i="16"/>
  <c r="G29" i="7"/>
  <c r="F29"/>
  <c r="I29"/>
  <c r="D29"/>
  <c r="H29"/>
  <c r="D30" i="28"/>
  <c r="F30" i="15"/>
  <c r="J30" i="26" s="1"/>
  <c r="F31" i="7"/>
  <c r="I31"/>
  <c r="E32" i="16"/>
  <c r="G35" i="7"/>
  <c r="F35"/>
  <c r="H35"/>
  <c r="I35"/>
  <c r="E37" i="16"/>
  <c r="E37" i="41"/>
  <c r="F39" i="7"/>
  <c r="G39"/>
  <c r="H39"/>
  <c r="I41"/>
  <c r="F41"/>
  <c r="H41"/>
  <c r="G41"/>
  <c r="E45" i="41"/>
  <c r="F50" i="7"/>
  <c r="I50"/>
  <c r="D48" i="38"/>
  <c r="F48" i="47"/>
  <c r="D12" i="39"/>
  <c r="G13" i="8"/>
  <c r="F15" i="46"/>
  <c r="G16" i="81"/>
  <c r="D16" i="39"/>
  <c r="E18" i="7"/>
  <c r="F20" i="46"/>
  <c r="D20" i="39"/>
  <c r="F20"/>
  <c r="G22" i="81"/>
  <c r="C22" i="15"/>
  <c r="F22" s="1"/>
  <c r="J22" i="26" s="1"/>
  <c r="D22" i="39"/>
  <c r="F22"/>
  <c r="E17" i="7"/>
  <c r="G23" i="81"/>
  <c r="F24" i="46"/>
  <c r="E24" i="7"/>
  <c r="G25" i="81"/>
  <c r="D25" i="39"/>
  <c r="F25"/>
  <c r="F26" i="46"/>
  <c r="F26" i="52" s="1"/>
  <c r="B26" i="43" s="1"/>
  <c r="E26" i="7"/>
  <c r="C27" i="15"/>
  <c r="F27" s="1"/>
  <c r="D27" i="26" s="1"/>
  <c r="F28" i="46"/>
  <c r="E28" i="7"/>
  <c r="G40" i="81"/>
  <c r="J40" i="9"/>
  <c r="G30" i="81"/>
  <c r="F31" i="46"/>
  <c r="G31" i="8"/>
  <c r="G32" i="81"/>
  <c r="J32" i="9"/>
  <c r="F33" i="46"/>
  <c r="E33" i="7"/>
  <c r="G34" i="81"/>
  <c r="C34" i="15"/>
  <c r="F35" i="46"/>
  <c r="E36" i="7"/>
  <c r="G37" i="81"/>
  <c r="F38" i="46"/>
  <c r="E38" i="7"/>
  <c r="H38" i="39"/>
  <c r="F39" i="46"/>
  <c r="F41"/>
  <c r="H41" i="39"/>
  <c r="G42" i="81"/>
  <c r="E42" i="7"/>
  <c r="G43" i="81"/>
  <c r="C43" i="15"/>
  <c r="F43" s="1"/>
  <c r="F43" i="11" s="1"/>
  <c r="D43" i="39"/>
  <c r="F44" i="46"/>
  <c r="G44" i="9"/>
  <c r="E44" i="7"/>
  <c r="F46" i="46"/>
  <c r="E46" i="7"/>
  <c r="F50" i="46"/>
  <c r="C51" i="15"/>
  <c r="F51" s="1"/>
  <c r="G40" i="10"/>
  <c r="G37"/>
  <c r="D37"/>
  <c r="D25"/>
  <c r="G42"/>
  <c r="G16"/>
  <c r="G12"/>
  <c r="J20"/>
  <c r="F28" i="11"/>
  <c r="H26" i="18"/>
  <c r="H12"/>
  <c r="H20"/>
  <c r="D20" i="26"/>
  <c r="J42"/>
  <c r="B42" i="76"/>
  <c r="D42" i="27"/>
  <c r="D42" i="76" s="1"/>
  <c r="B40"/>
  <c r="D40" i="27"/>
  <c r="D40" i="76" s="1"/>
  <c r="H44" i="18"/>
  <c r="B30" i="76"/>
  <c r="B28"/>
  <c r="D28" i="27"/>
  <c r="D28" i="76" s="1"/>
  <c r="B46"/>
  <c r="B36"/>
  <c r="B19" i="19"/>
  <c r="H42" i="18"/>
  <c r="H45"/>
  <c r="H50"/>
  <c r="G19" i="10"/>
  <c r="B40" i="39"/>
  <c r="F40" s="1"/>
  <c r="B29" i="40"/>
  <c r="D29" s="1"/>
  <c r="B38"/>
  <c r="D38" s="1"/>
  <c r="B46"/>
  <c r="D46" s="1"/>
  <c r="B15" i="76"/>
  <c r="B19"/>
  <c r="B25"/>
  <c r="D25" i="27"/>
  <c r="D25" i="76" s="1"/>
  <c r="B29"/>
  <c r="J14" i="26"/>
  <c r="J17"/>
  <c r="J21"/>
  <c r="J28"/>
  <c r="J35"/>
  <c r="J37"/>
  <c r="G19"/>
  <c r="G25"/>
  <c r="G35"/>
  <c r="G43"/>
  <c r="D12"/>
  <c r="D14"/>
  <c r="D16"/>
  <c r="D19" i="19"/>
  <c r="D19" i="26"/>
  <c r="D22"/>
  <c r="D26"/>
  <c r="D28" i="19"/>
  <c r="D28" i="26"/>
  <c r="D33" i="19"/>
  <c r="D33" i="26"/>
  <c r="D35"/>
  <c r="D40" i="19"/>
  <c r="D40" i="26"/>
  <c r="D42"/>
  <c r="J26" i="9"/>
  <c r="J34"/>
  <c r="J38"/>
  <c r="J46"/>
  <c r="D19"/>
  <c r="D27"/>
  <c r="D33"/>
  <c r="D37"/>
  <c r="D41"/>
  <c r="D45"/>
  <c r="J51" i="26"/>
  <c r="G43" i="28"/>
  <c r="J43" i="10"/>
  <c r="G26"/>
  <c r="J25"/>
  <c r="B11" i="76"/>
  <c r="B50" i="39"/>
  <c r="B37" i="19"/>
  <c r="B37" i="39"/>
  <c r="F37" s="1"/>
  <c r="F37" i="11"/>
  <c r="J27" i="10"/>
  <c r="B35" i="39"/>
  <c r="F35" s="1"/>
  <c r="B29"/>
  <c r="D29" s="1"/>
  <c r="B20" i="19"/>
  <c r="B23" i="39"/>
  <c r="F23" s="1"/>
  <c r="B27"/>
  <c r="F38" i="45"/>
  <c r="B44" i="19"/>
  <c r="F33" i="45"/>
  <c r="J33" i="10"/>
  <c r="B46" i="19"/>
  <c r="B45" i="39"/>
  <c r="H45" s="1"/>
  <c r="B33" i="76"/>
  <c r="D33" i="27"/>
  <c r="D33" i="76" s="1"/>
  <c r="B41"/>
  <c r="F17" i="52"/>
  <c r="B17" i="43" s="1"/>
  <c r="F17" s="1"/>
  <c r="G19" i="28"/>
  <c r="D14"/>
  <c r="B30" i="39"/>
  <c r="H30" s="1"/>
  <c r="B46"/>
  <c r="H46" s="1"/>
  <c r="F34" i="45"/>
  <c r="F44"/>
  <c r="B32" i="39"/>
  <c r="F32" s="1"/>
  <c r="D35" i="8"/>
  <c r="F42" i="11"/>
  <c r="F24" i="45"/>
  <c r="F43"/>
  <c r="F35"/>
  <c r="H17" i="18"/>
  <c r="F40" i="45"/>
  <c r="F12" i="11"/>
  <c r="B39" i="39"/>
  <c r="D39" s="1"/>
  <c r="F30" i="45"/>
  <c r="B21" i="20"/>
  <c r="B25"/>
  <c r="B29"/>
  <c r="B38"/>
  <c r="B46"/>
  <c r="B14" i="39"/>
  <c r="D14" s="1"/>
  <c r="G26" i="26"/>
  <c r="D22" i="9"/>
  <c r="D38"/>
  <c r="B48" i="51"/>
  <c r="G11" i="81"/>
  <c r="B48" i="14"/>
  <c r="C11" i="15"/>
  <c r="J11" i="9"/>
  <c r="D48" i="14"/>
  <c r="C48" i="39"/>
  <c r="E48"/>
  <c r="D15" i="9"/>
  <c r="C15" i="15"/>
  <c r="F15" s="1"/>
  <c r="H16" i="7"/>
  <c r="D16"/>
  <c r="I16"/>
  <c r="F16"/>
  <c r="G16"/>
  <c r="F18" i="15"/>
  <c r="D18" i="27" s="1"/>
  <c r="D18" i="76" s="1"/>
  <c r="G19" i="7"/>
  <c r="D19"/>
  <c r="F19"/>
  <c r="H19"/>
  <c r="I19"/>
  <c r="E21" i="16"/>
  <c r="E21" i="41"/>
  <c r="F22" i="7"/>
  <c r="G22"/>
  <c r="I22"/>
  <c r="H22"/>
  <c r="D22"/>
  <c r="E17" i="41"/>
  <c r="F23" i="45"/>
  <c r="D23" i="9"/>
  <c r="C23" i="15"/>
  <c r="F23" s="1"/>
  <c r="J23" i="26" s="1"/>
  <c r="F24" i="15"/>
  <c r="J24" i="26" s="1"/>
  <c r="G27" i="7"/>
  <c r="H27"/>
  <c r="E28" i="16"/>
  <c r="E28" i="41"/>
  <c r="I40" i="7"/>
  <c r="G40"/>
  <c r="H40"/>
  <c r="D40"/>
  <c r="F40"/>
  <c r="D31" i="9"/>
  <c r="C31" i="15"/>
  <c r="F31" s="1"/>
  <c r="G31" i="26" s="1"/>
  <c r="H32" i="7"/>
  <c r="D32"/>
  <c r="I32"/>
  <c r="F32"/>
  <c r="G32"/>
  <c r="J33" i="26"/>
  <c r="E33" i="41"/>
  <c r="E33" i="16"/>
  <c r="F34" i="7"/>
  <c r="I34"/>
  <c r="H34"/>
  <c r="D34"/>
  <c r="G34"/>
  <c r="E35" i="16"/>
  <c r="F36" i="15"/>
  <c r="G37" i="7"/>
  <c r="I37"/>
  <c r="F37"/>
  <c r="H37"/>
  <c r="F38" i="15"/>
  <c r="G38" i="28" s="1"/>
  <c r="D39" i="9"/>
  <c r="C39" i="15"/>
  <c r="F39" s="1"/>
  <c r="E42" i="41"/>
  <c r="E42" i="16"/>
  <c r="D43" i="7"/>
  <c r="F43"/>
  <c r="H43"/>
  <c r="D44" i="8"/>
  <c r="F44" i="15"/>
  <c r="F44" i="11" s="1"/>
  <c r="F46" i="15"/>
  <c r="G46" i="28" s="1"/>
  <c r="H51" i="7"/>
  <c r="F51"/>
  <c r="D51"/>
  <c r="I51"/>
  <c r="G51"/>
  <c r="F19" i="52"/>
  <c r="B19" i="43" s="1"/>
  <c r="F19" s="1"/>
  <c r="H19" s="1"/>
  <c r="E12" i="7"/>
  <c r="C13" i="15"/>
  <c r="F13" s="1"/>
  <c r="E14" i="7"/>
  <c r="H14" i="39"/>
  <c r="H16"/>
  <c r="G20" i="81"/>
  <c r="E20" i="7"/>
  <c r="H20" i="39"/>
  <c r="G21" i="81"/>
  <c r="F22" i="46"/>
  <c r="F22" i="52" s="1"/>
  <c r="B22" i="43" s="1"/>
  <c r="H22" i="39"/>
  <c r="F23" i="46"/>
  <c r="D23" i="39"/>
  <c r="G24" i="81"/>
  <c r="J24" i="9"/>
  <c r="F24" i="39"/>
  <c r="F25" i="46"/>
  <c r="E25" i="7"/>
  <c r="H25" i="39"/>
  <c r="F28" i="52"/>
  <c r="B28" i="43" s="1"/>
  <c r="F40" i="46"/>
  <c r="G40" i="8"/>
  <c r="H40" i="39"/>
  <c r="G29" i="81"/>
  <c r="F29" i="52" s="1"/>
  <c r="B29" i="43" s="1"/>
  <c r="F29" s="1"/>
  <c r="H29" s="1"/>
  <c r="I29" i="45" s="1"/>
  <c r="C29" i="15"/>
  <c r="D29" i="28" s="1"/>
  <c r="J29" i="9"/>
  <c r="F29" i="39"/>
  <c r="F30" i="46"/>
  <c r="F30" i="52" s="1"/>
  <c r="B30" i="43" s="1"/>
  <c r="E30" i="7"/>
  <c r="G31" i="81"/>
  <c r="F32" i="46"/>
  <c r="G32" i="8"/>
  <c r="G33" i="81"/>
  <c r="F33" i="39"/>
  <c r="F34" i="46"/>
  <c r="G35" i="81"/>
  <c r="F37" i="46"/>
  <c r="H37" i="39"/>
  <c r="G38" i="81"/>
  <c r="D38" i="39"/>
  <c r="G39" i="81"/>
  <c r="G41"/>
  <c r="C41" i="15"/>
  <c r="F41" s="1"/>
  <c r="D41" i="26" s="1"/>
  <c r="D41" i="39"/>
  <c r="F41"/>
  <c r="F43" i="46"/>
  <c r="H43" i="39"/>
  <c r="G44" i="81"/>
  <c r="F44" i="52" s="1"/>
  <c r="B44" i="43" s="1"/>
  <c r="F45" i="46"/>
  <c r="F45" i="52" s="1"/>
  <c r="B45" i="43" s="1"/>
  <c r="F45" s="1"/>
  <c r="H45" s="1"/>
  <c r="E45" i="7"/>
  <c r="G45" i="8"/>
  <c r="G46" i="81"/>
  <c r="F46" i="52" s="1"/>
  <c r="B46" i="43" s="1"/>
  <c r="D46" i="39"/>
  <c r="F46"/>
  <c r="G50" i="81"/>
  <c r="C50" i="15"/>
  <c r="F42" i="46"/>
  <c r="E43" i="78"/>
  <c r="F14" i="46"/>
  <c r="E28" i="78"/>
  <c r="E25"/>
  <c r="E24"/>
  <c r="H15" i="18"/>
  <c r="B13" i="19"/>
  <c r="D35" i="7"/>
  <c r="B42" i="40"/>
  <c r="D42" s="1"/>
  <c r="B34"/>
  <c r="D34" s="1"/>
  <c r="B17"/>
  <c r="D17" s="1"/>
  <c r="B45"/>
  <c r="D45" s="1"/>
  <c r="B41"/>
  <c r="D41" s="1"/>
  <c r="B37"/>
  <c r="D37" s="1"/>
  <c r="B33"/>
  <c r="D33" s="1"/>
  <c r="G36" i="8"/>
  <c r="G19"/>
  <c r="F16" i="46"/>
  <c r="F18"/>
  <c r="F18" i="52" s="1"/>
  <c r="B18" i="43" s="1"/>
  <c r="H13" i="18"/>
  <c r="B15" i="19"/>
  <c r="E22" i="78"/>
  <c r="E46"/>
  <c r="B31" i="19"/>
  <c r="E41" i="78"/>
  <c r="G35" i="8"/>
  <c r="G27"/>
  <c r="D18" i="28"/>
  <c r="D38"/>
  <c r="E17" i="78"/>
  <c r="F25" i="45"/>
  <c r="E27" i="78"/>
  <c r="E40"/>
  <c r="E32"/>
  <c r="H29" i="18"/>
  <c r="H41"/>
  <c r="E26" i="78"/>
  <c r="E31"/>
  <c r="E35"/>
  <c r="E29"/>
  <c r="E37"/>
  <c r="G28" i="54"/>
  <c r="E23" i="78"/>
  <c r="F26" i="43" l="1"/>
  <c r="H26" s="1"/>
  <c r="G45" i="26"/>
  <c r="D17" i="27"/>
  <c r="D17" i="76" s="1"/>
  <c r="B26" i="18"/>
  <c r="H35" i="39"/>
  <c r="F32" i="52"/>
  <c r="B32" i="43" s="1"/>
  <c r="F30" i="11"/>
  <c r="D30" i="27"/>
  <c r="D30" i="76" s="1"/>
  <c r="D30" i="10"/>
  <c r="D32" i="27"/>
  <c r="D32" i="76" s="1"/>
  <c r="F51" i="43"/>
  <c r="H51" s="1"/>
  <c r="D32" i="26"/>
  <c r="G45" i="10"/>
  <c r="I27" i="45"/>
  <c r="I27" i="43" s="1"/>
  <c r="B27" i="42" s="1"/>
  <c r="F46" i="43"/>
  <c r="H46" s="1"/>
  <c r="F44"/>
  <c r="H44" s="1"/>
  <c r="F43" i="52"/>
  <c r="B43" i="43" s="1"/>
  <c r="F43" s="1"/>
  <c r="H43" s="1"/>
  <c r="I43" i="45" s="1"/>
  <c r="F39" i="39"/>
  <c r="F37" i="52"/>
  <c r="B37" i="43" s="1"/>
  <c r="F37" s="1"/>
  <c r="H37" s="1"/>
  <c r="I37" i="45" s="1"/>
  <c r="C37" i="44" s="1"/>
  <c r="C37" i="42" s="1"/>
  <c r="D33" i="39"/>
  <c r="H32"/>
  <c r="F28" i="43"/>
  <c r="H28" s="1"/>
  <c r="F25" i="52"/>
  <c r="B25" i="43" s="1"/>
  <c r="F25" s="1"/>
  <c r="H25" s="1"/>
  <c r="I25" i="45" s="1"/>
  <c r="D24" i="39"/>
  <c r="D21"/>
  <c r="I43" i="7"/>
  <c r="E35" i="41"/>
  <c r="F27" i="7"/>
  <c r="E17" i="16"/>
  <c r="F35" i="11"/>
  <c r="F19"/>
  <c r="D26" i="8"/>
  <c r="J45" i="10"/>
  <c r="F17" i="11"/>
  <c r="J26" i="10"/>
  <c r="F26" i="11"/>
  <c r="G27" i="10"/>
  <c r="D30" i="26"/>
  <c r="J26"/>
  <c r="J19"/>
  <c r="D19" i="27"/>
  <c r="D19" i="76" s="1"/>
  <c r="J32" i="10"/>
  <c r="J32" i="54"/>
  <c r="G35" i="10"/>
  <c r="D40"/>
  <c r="H21" i="39"/>
  <c r="F12"/>
  <c r="H50" i="7"/>
  <c r="D50"/>
  <c r="E45" i="16"/>
  <c r="I39" i="7"/>
  <c r="E32" i="41"/>
  <c r="G32" i="28"/>
  <c r="G31" i="7"/>
  <c r="E40" i="41"/>
  <c r="I23" i="7"/>
  <c r="D23"/>
  <c r="E19" i="41"/>
  <c r="G13" i="7"/>
  <c r="D45" i="26"/>
  <c r="J45"/>
  <c r="D45" i="28"/>
  <c r="D43" i="10"/>
  <c r="I27" i="44"/>
  <c r="F27" i="42" s="1"/>
  <c r="F18" i="43"/>
  <c r="H18" s="1"/>
  <c r="B13" i="40"/>
  <c r="D13" s="1"/>
  <c r="B26"/>
  <c r="D26" s="1"/>
  <c r="B29" i="19"/>
  <c r="E29" i="5" s="1"/>
  <c r="C48" i="47"/>
  <c r="A54" s="1"/>
  <c r="H17" i="43"/>
  <c r="F15" i="52"/>
  <c r="B15" i="43" s="1"/>
  <c r="F15" s="1"/>
  <c r="H15" s="1"/>
  <c r="D48" i="88"/>
  <c r="B17" i="19"/>
  <c r="E40" i="18"/>
  <c r="G40" s="1"/>
  <c r="F14" i="52"/>
  <c r="B14" i="43" s="1"/>
  <c r="F14" s="1"/>
  <c r="H14" s="1"/>
  <c r="C27" i="45"/>
  <c r="G27" i="42" s="1"/>
  <c r="G43" i="10"/>
  <c r="D24" i="29"/>
  <c r="J15" i="54"/>
  <c r="D18" i="86"/>
  <c r="G12" i="54"/>
  <c r="E21" i="18"/>
  <c r="D21" i="10"/>
  <c r="D42" i="54"/>
  <c r="D31"/>
  <c r="E50" i="76"/>
  <c r="D28" i="10"/>
  <c r="B26" i="76"/>
  <c r="D26" i="27"/>
  <c r="D26" i="76" s="1"/>
  <c r="D26" i="19"/>
  <c r="D42" i="9"/>
  <c r="E18" i="76"/>
  <c r="D18" i="54"/>
  <c r="D24" i="10"/>
  <c r="G20" i="8"/>
  <c r="J51" i="54"/>
  <c r="E13" i="76"/>
  <c r="D13" i="54"/>
  <c r="J44"/>
  <c r="J37"/>
  <c r="J28"/>
  <c r="E24" i="76"/>
  <c r="D24" i="54"/>
  <c r="D17"/>
  <c r="G43"/>
  <c r="G18" i="29"/>
  <c r="G17" i="54"/>
  <c r="J12"/>
  <c r="G51" i="10"/>
  <c r="D42"/>
  <c r="G23"/>
  <c r="D17"/>
  <c r="E15" i="18"/>
  <c r="D15" i="10"/>
  <c r="D51" i="54"/>
  <c r="D35"/>
  <c r="E29" i="76"/>
  <c r="B44"/>
  <c r="D44" i="27"/>
  <c r="D44" i="76" s="1"/>
  <c r="D44" i="19"/>
  <c r="E41" i="18"/>
  <c r="D41" i="10"/>
  <c r="G31" i="54"/>
  <c r="G44"/>
  <c r="D23" i="8"/>
  <c r="E21" i="76"/>
  <c r="D21" i="54"/>
  <c r="E23" i="18"/>
  <c r="D23" i="10"/>
  <c r="G30" i="54"/>
  <c r="F51" i="45"/>
  <c r="I51" s="1"/>
  <c r="I51" i="43" s="1"/>
  <c r="B51" i="42" s="1"/>
  <c r="D39" i="54"/>
  <c r="G44" i="10"/>
  <c r="G22" i="54"/>
  <c r="B36" i="19"/>
  <c r="G33" i="29"/>
  <c r="E11" i="18"/>
  <c r="G46" i="10"/>
  <c r="E32" i="18"/>
  <c r="D32" i="10"/>
  <c r="D16"/>
  <c r="J41" i="54"/>
  <c r="J38"/>
  <c r="G22" i="10"/>
  <c r="I38" i="11"/>
  <c r="D46" i="10"/>
  <c r="J28" i="28"/>
  <c r="J41"/>
  <c r="J27"/>
  <c r="J35"/>
  <c r="J46"/>
  <c r="J22"/>
  <c r="J19"/>
  <c r="J13"/>
  <c r="D23"/>
  <c r="D37" i="29"/>
  <c r="D23"/>
  <c r="D12"/>
  <c r="D41" i="86"/>
  <c r="D33"/>
  <c r="D21"/>
  <c r="D51" i="29"/>
  <c r="D30"/>
  <c r="C37" i="45"/>
  <c r="G37" i="42" s="1"/>
  <c r="I37" i="44"/>
  <c r="F37" i="42" s="1"/>
  <c r="F42" i="52"/>
  <c r="B42" i="43" s="1"/>
  <c r="F42" s="1"/>
  <c r="H42" s="1"/>
  <c r="E36" i="18"/>
  <c r="D36" i="10"/>
  <c r="B42" i="18"/>
  <c r="G42" i="8"/>
  <c r="E30" i="76"/>
  <c r="D30" i="54"/>
  <c r="J45"/>
  <c r="J43"/>
  <c r="J35"/>
  <c r="J24"/>
  <c r="J17"/>
  <c r="J21"/>
  <c r="E28" i="76"/>
  <c r="D28" i="54"/>
  <c r="J14"/>
  <c r="G23"/>
  <c r="G38"/>
  <c r="B33" i="19"/>
  <c r="G41" i="10"/>
  <c r="D35"/>
  <c r="D26"/>
  <c r="D14"/>
  <c r="D33" i="54"/>
  <c r="D12" i="9"/>
  <c r="E15" i="76"/>
  <c r="D15" i="54"/>
  <c r="H38" i="18"/>
  <c r="G20" i="54"/>
  <c r="B30" i="19"/>
  <c r="E30" i="5" s="1"/>
  <c r="E33" i="18"/>
  <c r="D33" i="10"/>
  <c r="D27"/>
  <c r="G33" i="54"/>
  <c r="D12" i="10"/>
  <c r="G46" i="54"/>
  <c r="F42" i="45"/>
  <c r="G16" i="29"/>
  <c r="J20" i="54"/>
  <c r="D39" i="10"/>
  <c r="E19" i="18"/>
  <c r="D19" i="10"/>
  <c r="J42" i="54"/>
  <c r="G32" i="10"/>
  <c r="J46" i="54"/>
  <c r="J40"/>
  <c r="E45" i="76"/>
  <c r="D45" i="54"/>
  <c r="G31" i="10"/>
  <c r="D31"/>
  <c r="G21"/>
  <c r="E50" i="18"/>
  <c r="E44"/>
  <c r="D44" i="10"/>
  <c r="I45" i="11"/>
  <c r="J31" i="28"/>
  <c r="J44"/>
  <c r="J33"/>
  <c r="J26"/>
  <c r="J36"/>
  <c r="J15"/>
  <c r="E13" i="5"/>
  <c r="D26" i="18"/>
  <c r="E15" i="5"/>
  <c r="I29" i="43"/>
  <c r="B29" i="42" s="1"/>
  <c r="E29" i="44"/>
  <c r="D29" i="42" s="1"/>
  <c r="I29" i="44"/>
  <c r="F29" i="42" s="1"/>
  <c r="G29" i="44"/>
  <c r="E29" i="42" s="1"/>
  <c r="C29" i="44"/>
  <c r="C29" i="42" s="1"/>
  <c r="E29" i="45"/>
  <c r="H29" i="42" s="1"/>
  <c r="C29" i="45"/>
  <c r="G29" i="42" s="1"/>
  <c r="D44" i="86"/>
  <c r="D36"/>
  <c r="D30"/>
  <c r="D15"/>
  <c r="E41" i="5"/>
  <c r="B50" i="41"/>
  <c r="B36"/>
  <c r="B28"/>
  <c r="B21"/>
  <c r="B15"/>
  <c r="F28"/>
  <c r="G28" s="1"/>
  <c r="F14"/>
  <c r="G14" s="1"/>
  <c r="F41"/>
  <c r="G41" s="1"/>
  <c r="F27"/>
  <c r="G27" s="1"/>
  <c r="F13"/>
  <c r="G13" s="1"/>
  <c r="F21"/>
  <c r="G21" s="1"/>
  <c r="E12" i="20"/>
  <c r="G45" i="54"/>
  <c r="G39"/>
  <c r="G37"/>
  <c r="G35"/>
  <c r="J33"/>
  <c r="G25"/>
  <c r="G19"/>
  <c r="J13"/>
  <c r="F51" i="41"/>
  <c r="F35"/>
  <c r="G35" s="1"/>
  <c r="F34"/>
  <c r="G34" s="1"/>
  <c r="E26" i="20"/>
  <c r="E51"/>
  <c r="D16" i="54"/>
  <c r="J39"/>
  <c r="J30"/>
  <c r="G42"/>
  <c r="D41" i="28"/>
  <c r="G41" i="19"/>
  <c r="D25" i="28"/>
  <c r="D24"/>
  <c r="G15"/>
  <c r="D27"/>
  <c r="D43" i="54"/>
  <c r="E40" i="76"/>
  <c r="D40" i="54"/>
  <c r="F31" i="11"/>
  <c r="I23"/>
  <c r="I41"/>
  <c r="I39"/>
  <c r="I37"/>
  <c r="I35"/>
  <c r="I33"/>
  <c r="I30"/>
  <c r="I28"/>
  <c r="I26"/>
  <c r="I24"/>
  <c r="I21"/>
  <c r="I18"/>
  <c r="I16"/>
  <c r="I14"/>
  <c r="I12"/>
  <c r="J16" i="54"/>
  <c r="I42" i="11"/>
  <c r="I43"/>
  <c r="D16" i="28"/>
  <c r="B16" i="20"/>
  <c r="E28"/>
  <c r="F37" i="41"/>
  <c r="G37" s="1"/>
  <c r="F33"/>
  <c r="G33" s="1"/>
  <c r="F32"/>
  <c r="G32" s="1"/>
  <c r="F25"/>
  <c r="G25" s="1"/>
  <c r="F20"/>
  <c r="G20" s="1"/>
  <c r="F17"/>
  <c r="G17" s="1"/>
  <c r="F12"/>
  <c r="G12" s="1"/>
  <c r="B51"/>
  <c r="G22" i="29"/>
  <c r="B23" i="76"/>
  <c r="D23" i="27"/>
  <c r="D23" i="76" s="1"/>
  <c r="G36" i="28"/>
  <c r="G24"/>
  <c r="D35"/>
  <c r="G25"/>
  <c r="G12"/>
  <c r="G16"/>
  <c r="G26" i="54"/>
  <c r="D13" i="9"/>
  <c r="D28"/>
  <c r="D36"/>
  <c r="D46"/>
  <c r="B11" i="18"/>
  <c r="D11" i="8"/>
  <c r="B48"/>
  <c r="B14" i="18"/>
  <c r="D14" i="8"/>
  <c r="D18"/>
  <c r="B22" i="18"/>
  <c r="D22" i="8"/>
  <c r="D27"/>
  <c r="B27" i="18"/>
  <c r="D32" i="8"/>
  <c r="D36"/>
  <c r="B36" i="18"/>
  <c r="D40" i="8"/>
  <c r="D45"/>
  <c r="G50" i="19"/>
  <c r="D50" i="28"/>
  <c r="B31" i="39"/>
  <c r="D31" i="26"/>
  <c r="D14" i="54"/>
  <c r="B51" i="40"/>
  <c r="B51" i="39"/>
  <c r="I51" i="11"/>
  <c r="F32" i="45"/>
  <c r="H48" i="9"/>
  <c r="D17" i="28"/>
  <c r="G13"/>
  <c r="G18" i="54"/>
  <c r="D22" i="27"/>
  <c r="D22" i="76" s="1"/>
  <c r="B22"/>
  <c r="E22" s="1"/>
  <c r="B16" i="40"/>
  <c r="D16" s="1"/>
  <c r="G16" i="26"/>
  <c r="F16" i="11"/>
  <c r="J15" i="26"/>
  <c r="B14" i="76"/>
  <c r="D14" i="27"/>
  <c r="D14" i="76" s="1"/>
  <c r="J14" i="10"/>
  <c r="J13" i="26"/>
  <c r="G13" i="10"/>
  <c r="J22" i="54"/>
  <c r="G51" i="26"/>
  <c r="B51" i="20"/>
  <c r="F51" i="11"/>
  <c r="D51" i="8"/>
  <c r="B51" i="18"/>
  <c r="G45" i="29"/>
  <c r="E18" i="18"/>
  <c r="D18" i="10"/>
  <c r="F15" i="45"/>
  <c r="I15" s="1"/>
  <c r="F13"/>
  <c r="F13" i="46"/>
  <c r="F13" i="52" s="1"/>
  <c r="B13" i="43" s="1"/>
  <c r="F13" s="1"/>
  <c r="H13" s="1"/>
  <c r="I20" i="11"/>
  <c r="D42" i="28"/>
  <c r="D37"/>
  <c r="D20"/>
  <c r="B11" i="39"/>
  <c r="B13" i="20"/>
  <c r="B22"/>
  <c r="B26"/>
  <c r="B30"/>
  <c r="B35"/>
  <c r="B39"/>
  <c r="B43"/>
  <c r="B15" i="39"/>
  <c r="B19"/>
  <c r="B28"/>
  <c r="B36"/>
  <c r="B44"/>
  <c r="B24" i="40"/>
  <c r="D24" s="1"/>
  <c r="B40"/>
  <c r="D40" s="1"/>
  <c r="G20" i="26"/>
  <c r="G30"/>
  <c r="G38"/>
  <c r="D16" i="9"/>
  <c r="D34"/>
  <c r="G24" i="8"/>
  <c r="B24" i="18"/>
  <c r="D24" i="8"/>
  <c r="D33"/>
  <c r="B33" i="18"/>
  <c r="B41"/>
  <c r="D41" i="8"/>
  <c r="H14" i="18"/>
  <c r="B18" i="19"/>
  <c r="H19" i="18"/>
  <c r="H43"/>
  <c r="J46" i="10"/>
  <c r="F45" i="11"/>
  <c r="J39" i="10"/>
  <c r="F32" i="11"/>
  <c r="F22"/>
  <c r="F21"/>
  <c r="F15"/>
  <c r="G27" i="29"/>
  <c r="F12" i="45"/>
  <c r="B35" i="76"/>
  <c r="E35" s="1"/>
  <c r="D35" i="27"/>
  <c r="D35" i="76" s="1"/>
  <c r="G42" i="26"/>
  <c r="B23" i="18"/>
  <c r="G41" i="29"/>
  <c r="G13"/>
  <c r="G40"/>
  <c r="D32" i="28"/>
  <c r="B31" i="76"/>
  <c r="E31" s="1"/>
  <c r="D31" i="27"/>
  <c r="D31" i="76" s="1"/>
  <c r="H50" i="20"/>
  <c r="H45"/>
  <c r="H43"/>
  <c r="H39"/>
  <c r="H37"/>
  <c r="H35"/>
  <c r="H33"/>
  <c r="H31"/>
  <c r="H29"/>
  <c r="H27"/>
  <c r="H23"/>
  <c r="H21"/>
  <c r="H19"/>
  <c r="H17"/>
  <c r="H15"/>
  <c r="H13"/>
  <c r="B48" i="38"/>
  <c r="H11" i="20"/>
  <c r="I44" i="45"/>
  <c r="G44" s="1"/>
  <c r="D25" i="7"/>
  <c r="G25"/>
  <c r="I25"/>
  <c r="F25"/>
  <c r="H25"/>
  <c r="I14"/>
  <c r="D14"/>
  <c r="G14"/>
  <c r="F14"/>
  <c r="H14"/>
  <c r="E13" i="41"/>
  <c r="E13" i="16"/>
  <c r="E36"/>
  <c r="E36" i="41"/>
  <c r="E15"/>
  <c r="E15" i="16"/>
  <c r="C48" i="15"/>
  <c r="F11"/>
  <c r="D11" i="10" s="1"/>
  <c r="G48" i="81"/>
  <c r="F11" i="52"/>
  <c r="E20" i="5"/>
  <c r="F40" i="19"/>
  <c r="F28"/>
  <c r="E26" i="5"/>
  <c r="C51" i="41"/>
  <c r="E51" i="16"/>
  <c r="I46" i="7"/>
  <c r="F46"/>
  <c r="H46"/>
  <c r="D46"/>
  <c r="G46"/>
  <c r="I44"/>
  <c r="G44"/>
  <c r="H44"/>
  <c r="F44"/>
  <c r="D44"/>
  <c r="F38"/>
  <c r="G38"/>
  <c r="I38"/>
  <c r="D38"/>
  <c r="H38"/>
  <c r="D28"/>
  <c r="H28"/>
  <c r="F28"/>
  <c r="I28"/>
  <c r="G28"/>
  <c r="F26"/>
  <c r="I26"/>
  <c r="H26"/>
  <c r="D26"/>
  <c r="G26"/>
  <c r="D24"/>
  <c r="H24"/>
  <c r="G24"/>
  <c r="I24"/>
  <c r="F24"/>
  <c r="D17"/>
  <c r="G17"/>
  <c r="H17"/>
  <c r="I17"/>
  <c r="F17"/>
  <c r="E30" i="41"/>
  <c r="E30" i="16"/>
  <c r="G16" i="54"/>
  <c r="E16" i="16"/>
  <c r="E16" i="41"/>
  <c r="D30" i="18"/>
  <c r="E43" i="5"/>
  <c r="E35"/>
  <c r="D50" i="18"/>
  <c r="F45" i="19"/>
  <c r="F41"/>
  <c r="F32"/>
  <c r="F27"/>
  <c r="E37" i="5"/>
  <c r="E22"/>
  <c r="G34" i="8"/>
  <c r="F32" i="43"/>
  <c r="H32" s="1"/>
  <c r="F30"/>
  <c r="H30" s="1"/>
  <c r="I30" i="45" s="1"/>
  <c r="F22" i="43"/>
  <c r="H22" s="1"/>
  <c r="F12" i="46"/>
  <c r="G44" i="26"/>
  <c r="G36"/>
  <c r="B17" i="20"/>
  <c r="D13" i="8"/>
  <c r="G23" i="28"/>
  <c r="E33" i="76"/>
  <c r="J18" i="10"/>
  <c r="J23"/>
  <c r="J24"/>
  <c r="B48" i="27"/>
  <c r="F24" i="11"/>
  <c r="D46" i="26"/>
  <c r="D44"/>
  <c r="D35" i="19"/>
  <c r="D30"/>
  <c r="D24" i="26"/>
  <c r="D22" i="19"/>
  <c r="D16"/>
  <c r="J46" i="26"/>
  <c r="J44"/>
  <c r="B43" i="40"/>
  <c r="D43" s="1"/>
  <c r="B22"/>
  <c r="D22" s="1"/>
  <c r="B19"/>
  <c r="D19" s="1"/>
  <c r="B25" i="19"/>
  <c r="E25" i="5" s="1"/>
  <c r="B32" i="19"/>
  <c r="E32" i="5" s="1"/>
  <c r="D36" i="27"/>
  <c r="D36" i="76" s="1"/>
  <c r="D46" i="27"/>
  <c r="D46" i="76" s="1"/>
  <c r="J36" i="54"/>
  <c r="J18"/>
  <c r="D20" i="19"/>
  <c r="B28"/>
  <c r="E30" i="18"/>
  <c r="E37"/>
  <c r="G38" i="10"/>
  <c r="D45" i="39"/>
  <c r="H39"/>
  <c r="G39" i="8"/>
  <c r="F38" i="52"/>
  <c r="B38" i="43" s="1"/>
  <c r="F38" s="1"/>
  <c r="H38" s="1"/>
  <c r="D37" i="39"/>
  <c r="F36" i="46"/>
  <c r="F36" i="52" s="1"/>
  <c r="B36" i="43" s="1"/>
  <c r="F36" s="1"/>
  <c r="H36" s="1"/>
  <c r="I36" i="45" s="1"/>
  <c r="D35" i="39"/>
  <c r="F34" i="52"/>
  <c r="B34" i="43" s="1"/>
  <c r="F34" s="1"/>
  <c r="H34" s="1"/>
  <c r="I34" i="45" s="1"/>
  <c r="G33" i="8"/>
  <c r="F33" i="52"/>
  <c r="B33" i="43" s="1"/>
  <c r="F33" s="1"/>
  <c r="H33" s="1"/>
  <c r="I33" i="45" s="1"/>
  <c r="D32" i="39"/>
  <c r="F30"/>
  <c r="D40"/>
  <c r="F40" i="52"/>
  <c r="B40" i="43" s="1"/>
  <c r="F40" s="1"/>
  <c r="H40" s="1"/>
  <c r="F24" i="52"/>
  <c r="B24" i="43" s="1"/>
  <c r="F24" s="1"/>
  <c r="H24" s="1"/>
  <c r="I24" i="45" s="1"/>
  <c r="G23" i="8"/>
  <c r="F20" i="52"/>
  <c r="B20" i="43" s="1"/>
  <c r="F20" s="1"/>
  <c r="H20" s="1"/>
  <c r="F16" i="52"/>
  <c r="B16" i="43" s="1"/>
  <c r="F16" s="1"/>
  <c r="H16" s="1"/>
  <c r="F14" i="39"/>
  <c r="E27" i="44"/>
  <c r="D27" i="42" s="1"/>
  <c r="E27" i="45"/>
  <c r="H27" i="42" s="1"/>
  <c r="D13" i="7"/>
  <c r="B45" i="18"/>
  <c r="G22" i="26"/>
  <c r="F46" i="11"/>
  <c r="D39" i="8"/>
  <c r="G30" i="28"/>
  <c r="G27" i="45"/>
  <c r="J15" i="10"/>
  <c r="G37" i="45"/>
  <c r="F27" i="11"/>
  <c r="J30" i="10"/>
  <c r="D51" i="26"/>
  <c r="D43"/>
  <c r="D23" i="19"/>
  <c r="D13" i="26"/>
  <c r="G13"/>
  <c r="J43"/>
  <c r="B39" i="40"/>
  <c r="D39" s="1"/>
  <c r="B51" i="19"/>
  <c r="G51" i="54"/>
  <c r="D26" i="28"/>
  <c r="G36" i="10"/>
  <c r="G26" i="29"/>
  <c r="D19" i="86"/>
  <c r="D41" i="29"/>
  <c r="D31"/>
  <c r="D16"/>
  <c r="D37" i="86"/>
  <c r="D23"/>
  <c r="D12"/>
  <c r="D32" i="29"/>
  <c r="D28"/>
  <c r="D40" i="86"/>
  <c r="D32"/>
  <c r="D22"/>
  <c r="B44" i="41"/>
  <c r="B32"/>
  <c r="B23"/>
  <c r="B20"/>
  <c r="D38" i="54"/>
  <c r="E38" i="76"/>
  <c r="F23" i="41"/>
  <c r="G23" s="1"/>
  <c r="B27"/>
  <c r="B11"/>
  <c r="F30"/>
  <c r="G30" s="1"/>
  <c r="F26"/>
  <c r="G26" s="1"/>
  <c r="F50"/>
  <c r="F44"/>
  <c r="G44" s="1"/>
  <c r="B41"/>
  <c r="B37"/>
  <c r="B26"/>
  <c r="D26" s="1"/>
  <c r="B25"/>
  <c r="B17"/>
  <c r="B16"/>
  <c r="B13"/>
  <c r="B12"/>
  <c r="G41" i="54"/>
  <c r="G27"/>
  <c r="J25"/>
  <c r="G21"/>
  <c r="J19"/>
  <c r="G15"/>
  <c r="G13"/>
  <c r="F42" i="41"/>
  <c r="G42" s="1"/>
  <c r="D12" i="54"/>
  <c r="E12" i="76"/>
  <c r="G24" i="54"/>
  <c r="J25" i="28"/>
  <c r="G18"/>
  <c r="E37" i="76"/>
  <c r="D37" i="54"/>
  <c r="I40" i="11"/>
  <c r="I36"/>
  <c r="I32"/>
  <c r="I27"/>
  <c r="I25"/>
  <c r="I22"/>
  <c r="I19"/>
  <c r="I15"/>
  <c r="I13"/>
  <c r="J43" i="28"/>
  <c r="D13" i="86"/>
  <c r="G36" i="54"/>
  <c r="I46" i="11"/>
  <c r="I44"/>
  <c r="I31"/>
  <c r="D22" i="28"/>
  <c r="B20" i="76"/>
  <c r="D20" i="27"/>
  <c r="D20" i="76" s="1"/>
  <c r="D44" i="28"/>
  <c r="D33"/>
  <c r="D13"/>
  <c r="D51"/>
  <c r="D28"/>
  <c r="D50" i="19"/>
  <c r="D18" i="9"/>
  <c r="D24"/>
  <c r="D32"/>
  <c r="D40"/>
  <c r="B18" i="18"/>
  <c r="B35"/>
  <c r="D12" i="8"/>
  <c r="B16" i="18"/>
  <c r="D16" i="8"/>
  <c r="B19" i="18"/>
  <c r="D19" i="8"/>
  <c r="B25" i="18"/>
  <c r="D25" i="8"/>
  <c r="B34" i="18"/>
  <c r="D34" i="8"/>
  <c r="D38"/>
  <c r="B38" i="18"/>
  <c r="B43"/>
  <c r="D43" i="8"/>
  <c r="H16" i="18"/>
  <c r="H51"/>
  <c r="G51" i="28"/>
  <c r="D15"/>
  <c r="H36" i="18"/>
  <c r="G15" i="10"/>
  <c r="J51"/>
  <c r="H48" i="26"/>
  <c r="D39" i="28"/>
  <c r="G40" i="54"/>
  <c r="B16" i="76"/>
  <c r="E16" s="1"/>
  <c r="D16" i="27"/>
  <c r="D16" i="76" s="1"/>
  <c r="B16" i="19"/>
  <c r="J16" i="10"/>
  <c r="B15" i="18"/>
  <c r="D15" i="8"/>
  <c r="B14" i="40"/>
  <c r="B14" i="19"/>
  <c r="F14" i="11"/>
  <c r="B12" i="20"/>
  <c r="H11" i="18"/>
  <c r="B51" i="76"/>
  <c r="E51" s="1"/>
  <c r="D51" i="27"/>
  <c r="D51" i="76" s="1"/>
  <c r="G14" i="28"/>
  <c r="F18" i="45"/>
  <c r="F16"/>
  <c r="B48"/>
  <c r="H48" i="44"/>
  <c r="D48" i="45"/>
  <c r="D40" i="28"/>
  <c r="G26"/>
  <c r="G33"/>
  <c r="D27" i="54"/>
  <c r="D21" i="28"/>
  <c r="G20"/>
  <c r="D19"/>
  <c r="D46"/>
  <c r="B11" i="20"/>
  <c r="D48" i="35"/>
  <c r="B15" i="20"/>
  <c r="B20"/>
  <c r="B24"/>
  <c r="B28"/>
  <c r="B33"/>
  <c r="B37"/>
  <c r="B41"/>
  <c r="B45"/>
  <c r="B13" i="39"/>
  <c r="B17"/>
  <c r="B26"/>
  <c r="B34"/>
  <c r="B42"/>
  <c r="B15" i="40"/>
  <c r="D15" s="1"/>
  <c r="B32"/>
  <c r="D32" s="1"/>
  <c r="B43" i="76"/>
  <c r="E43" s="1"/>
  <c r="G14" i="26"/>
  <c r="G24"/>
  <c r="G46"/>
  <c r="D26" i="9"/>
  <c r="D44"/>
  <c r="D17" i="8"/>
  <c r="B17" i="18"/>
  <c r="B28"/>
  <c r="D28" i="8"/>
  <c r="D37"/>
  <c r="B46" i="18"/>
  <c r="D46" i="8"/>
  <c r="B50" i="40"/>
  <c r="B40" i="19"/>
  <c r="J40" i="10"/>
  <c r="F40" i="11"/>
  <c r="J36" i="10"/>
  <c r="J22"/>
  <c r="D22" i="54"/>
  <c r="B23" i="19"/>
  <c r="E22" i="18"/>
  <c r="D22" i="10"/>
  <c r="B31" i="40"/>
  <c r="D31" s="1"/>
  <c r="B31" i="20"/>
  <c r="G23" i="29"/>
  <c r="F21" i="45"/>
  <c r="F21" i="46"/>
  <c r="F21" i="52" s="1"/>
  <c r="B21" i="43" s="1"/>
  <c r="F21" s="1"/>
  <c r="H21" s="1"/>
  <c r="B39" i="76"/>
  <c r="E39" s="1"/>
  <c r="D39" i="27"/>
  <c r="D39" i="76" s="1"/>
  <c r="B37" i="18"/>
  <c r="G40" i="28"/>
  <c r="J31" i="10"/>
  <c r="D12" i="28"/>
  <c r="G32" i="54"/>
  <c r="J27"/>
  <c r="G28" i="28"/>
  <c r="B48"/>
  <c r="D11"/>
  <c r="D31" i="8"/>
  <c r="G21" i="28"/>
  <c r="H51" i="20"/>
  <c r="H46"/>
  <c r="H44"/>
  <c r="H42"/>
  <c r="H40"/>
  <c r="H38"/>
  <c r="H36"/>
  <c r="H32"/>
  <c r="H30"/>
  <c r="H28"/>
  <c r="H26"/>
  <c r="H24"/>
  <c r="H22"/>
  <c r="H20"/>
  <c r="H16"/>
  <c r="H14"/>
  <c r="H12"/>
  <c r="D50" i="8"/>
  <c r="F50" i="15"/>
  <c r="G50" i="29" s="1"/>
  <c r="F45" i="7"/>
  <c r="G45"/>
  <c r="D45"/>
  <c r="H45"/>
  <c r="I45"/>
  <c r="F41" i="11"/>
  <c r="E41" i="41"/>
  <c r="E41" i="16"/>
  <c r="I30" i="7"/>
  <c r="F30"/>
  <c r="D30"/>
  <c r="G30"/>
  <c r="H30"/>
  <c r="D29" i="8"/>
  <c r="F29" i="15"/>
  <c r="I20" i="7"/>
  <c r="F20"/>
  <c r="D20"/>
  <c r="H20"/>
  <c r="G20"/>
  <c r="F12"/>
  <c r="H12"/>
  <c r="D12"/>
  <c r="G12"/>
  <c r="I12"/>
  <c r="E46" i="41"/>
  <c r="E46" i="16"/>
  <c r="E44" i="41"/>
  <c r="E44" i="16"/>
  <c r="J39" i="20"/>
  <c r="E39" i="41"/>
  <c r="E39" i="16"/>
  <c r="D38" i="20"/>
  <c r="E38" i="41"/>
  <c r="E38" i="16"/>
  <c r="J31" i="54"/>
  <c r="E31" i="16"/>
  <c r="E31" i="41"/>
  <c r="E24"/>
  <c r="E24" i="16"/>
  <c r="J23" i="54"/>
  <c r="E23" i="41"/>
  <c r="E23" i="16"/>
  <c r="E18"/>
  <c r="E18" i="41"/>
  <c r="D46" i="20"/>
  <c r="D29"/>
  <c r="D25"/>
  <c r="D21"/>
  <c r="E17" i="5"/>
  <c r="E46"/>
  <c r="F33" i="19"/>
  <c r="F19"/>
  <c r="E42" i="5"/>
  <c r="E44"/>
  <c r="D43" i="27"/>
  <c r="D43" i="76" s="1"/>
  <c r="E43" i="16"/>
  <c r="E43" i="41"/>
  <c r="H42" i="7"/>
  <c r="G42"/>
  <c r="D42"/>
  <c r="F42"/>
  <c r="I42"/>
  <c r="I36"/>
  <c r="H36"/>
  <c r="G36"/>
  <c r="F36"/>
  <c r="D36"/>
  <c r="D34" i="28"/>
  <c r="F34" i="15"/>
  <c r="G34" i="28" s="1"/>
  <c r="F33" i="7"/>
  <c r="I33"/>
  <c r="D33"/>
  <c r="H33"/>
  <c r="G33"/>
  <c r="E27" i="16"/>
  <c r="E27" i="41"/>
  <c r="E22"/>
  <c r="E22" i="16"/>
  <c r="I18" i="7"/>
  <c r="H18"/>
  <c r="F18"/>
  <c r="D18"/>
  <c r="G18"/>
  <c r="E26" i="41"/>
  <c r="E26" i="16"/>
  <c r="D11" i="7"/>
  <c r="G11"/>
  <c r="I11"/>
  <c r="F11"/>
  <c r="E48"/>
  <c r="H11"/>
  <c r="D27" i="20"/>
  <c r="F37" i="19"/>
  <c r="F29"/>
  <c r="F25"/>
  <c r="F21"/>
  <c r="F17"/>
  <c r="E28" i="5"/>
  <c r="G48" i="43"/>
  <c r="E48"/>
  <c r="G51" i="8"/>
  <c r="J35" i="9"/>
  <c r="G25" i="8"/>
  <c r="F23" i="52"/>
  <c r="B23" i="43" s="1"/>
  <c r="F23" s="1"/>
  <c r="H23" s="1"/>
  <c r="G16" i="8"/>
  <c r="G14" i="9"/>
  <c r="J13"/>
  <c r="D37" i="7"/>
  <c r="D27"/>
  <c r="B29" i="18"/>
  <c r="G18" i="26"/>
  <c r="B36" i="40"/>
  <c r="D36" s="1"/>
  <c r="B20"/>
  <c r="D20" s="1"/>
  <c r="B42" i="20"/>
  <c r="B34"/>
  <c r="G30" i="45"/>
  <c r="F26"/>
  <c r="G41" i="28"/>
  <c r="B32" i="18"/>
  <c r="B40"/>
  <c r="D31" i="28"/>
  <c r="B44" i="18"/>
  <c r="B13"/>
  <c r="G31" i="28"/>
  <c r="G36" i="29"/>
  <c r="D41" i="27"/>
  <c r="D41" i="76" s="1"/>
  <c r="B39" i="19"/>
  <c r="H48" i="25"/>
  <c r="D46" i="19"/>
  <c r="D42"/>
  <c r="D38" i="26"/>
  <c r="D38" i="19"/>
  <c r="D24"/>
  <c r="D14"/>
  <c r="G39" i="26"/>
  <c r="G15"/>
  <c r="J41"/>
  <c r="J39"/>
  <c r="D15" i="27"/>
  <c r="D15" i="76" s="1"/>
  <c r="B35" i="40"/>
  <c r="D35" s="1"/>
  <c r="B11"/>
  <c r="F13" i="11"/>
  <c r="J13" i="10"/>
  <c r="B45" i="19"/>
  <c r="H39" i="18"/>
  <c r="H27"/>
  <c r="E42" i="76"/>
  <c r="G23" i="26"/>
  <c r="G18" i="10"/>
  <c r="D38"/>
  <c r="F50" i="52"/>
  <c r="B50" i="43" s="1"/>
  <c r="F50" s="1"/>
  <c r="H50" s="1"/>
  <c r="G46" i="8"/>
  <c r="F45" i="39"/>
  <c r="F41" i="52"/>
  <c r="B41" i="43" s="1"/>
  <c r="F41" s="1"/>
  <c r="H41" s="1"/>
  <c r="F39" i="52"/>
  <c r="B39" i="43" s="1"/>
  <c r="F39" s="1"/>
  <c r="H39" s="1"/>
  <c r="G38" i="8"/>
  <c r="J37" i="9"/>
  <c r="F35" i="52"/>
  <c r="B35" i="43" s="1"/>
  <c r="F35" s="1"/>
  <c r="H35" s="1"/>
  <c r="I35" i="45" s="1"/>
  <c r="F31" i="52"/>
  <c r="B31" i="43" s="1"/>
  <c r="F31" s="1"/>
  <c r="H31" s="1"/>
  <c r="D30" i="39"/>
  <c r="H29"/>
  <c r="G26" i="8"/>
  <c r="J25" i="9"/>
  <c r="H23" i="39"/>
  <c r="G17" i="8"/>
  <c r="G27" i="44"/>
  <c r="E27" i="42" s="1"/>
  <c r="H41" i="20"/>
  <c r="H34"/>
  <c r="H25"/>
  <c r="H18"/>
  <c r="D41" i="7"/>
  <c r="D31"/>
  <c r="B44" i="40"/>
  <c r="D44" s="1"/>
  <c r="B28"/>
  <c r="D28" s="1"/>
  <c r="B44" i="20"/>
  <c r="B40"/>
  <c r="B36"/>
  <c r="B32"/>
  <c r="B19"/>
  <c r="B50"/>
  <c r="F28" i="45"/>
  <c r="I28" s="1"/>
  <c r="F18" i="11"/>
  <c r="H18" i="18"/>
  <c r="F46" i="45"/>
  <c r="F41"/>
  <c r="G29"/>
  <c r="F19"/>
  <c r="B39" i="18"/>
  <c r="H34"/>
  <c r="B50" i="19"/>
  <c r="E50" i="5" s="1"/>
  <c r="F45" i="45"/>
  <c r="I45" s="1"/>
  <c r="G36"/>
  <c r="F22"/>
  <c r="F20"/>
  <c r="D43" i="28"/>
  <c r="C27" i="44"/>
  <c r="C27" i="42" s="1"/>
  <c r="J41" i="10"/>
  <c r="J38"/>
  <c r="F38" i="11"/>
  <c r="G27" i="28"/>
  <c r="F36" i="11"/>
  <c r="J44" i="10"/>
  <c r="F39" i="11"/>
  <c r="D11" i="19"/>
  <c r="F23" i="11"/>
  <c r="G24" i="10"/>
  <c r="G30"/>
  <c r="G39" i="28"/>
  <c r="G44"/>
  <c r="D51" i="19"/>
  <c r="D43"/>
  <c r="D39" i="26"/>
  <c r="D39" i="19"/>
  <c r="D34"/>
  <c r="D23" i="26"/>
  <c r="D15"/>
  <c r="D15" i="19"/>
  <c r="D13"/>
  <c r="G41" i="26"/>
  <c r="G27"/>
  <c r="J38"/>
  <c r="J36"/>
  <c r="J27"/>
  <c r="J18"/>
  <c r="J16"/>
  <c r="D27" i="27"/>
  <c r="D27" i="76" s="1"/>
  <c r="E27"/>
  <c r="E17"/>
  <c r="D13" i="27"/>
  <c r="D13" i="76" s="1"/>
  <c r="B30" i="40"/>
  <c r="D30" s="1"/>
  <c r="H33" i="18"/>
  <c r="E48" i="28"/>
  <c r="E34" i="76"/>
  <c r="D24" i="27"/>
  <c r="D24" i="76" s="1"/>
  <c r="D38" i="27"/>
  <c r="D38" i="76" s="1"/>
  <c r="F31" i="45"/>
  <c r="G22" i="28"/>
  <c r="D36" i="26"/>
  <c r="F36" i="19"/>
  <c r="D51" i="10"/>
  <c r="E14" i="18"/>
  <c r="B11" i="19"/>
  <c r="E44" i="78"/>
  <c r="E33"/>
  <c r="E39"/>
  <c r="E14"/>
  <c r="E43" i="18"/>
  <c r="E46"/>
  <c r="E13" i="78"/>
  <c r="G51" i="19"/>
  <c r="E48" i="9"/>
  <c r="E34" i="18"/>
  <c r="G16" i="19"/>
  <c r="E20" i="78"/>
  <c r="E29" i="18"/>
  <c r="E26"/>
  <c r="E11" i="78"/>
  <c r="E45"/>
  <c r="D48" i="11"/>
  <c r="F48" i="34"/>
  <c r="E38" i="78"/>
  <c r="D48" i="34"/>
  <c r="B48" i="9"/>
  <c r="E50" i="78"/>
  <c r="E36"/>
  <c r="E34"/>
  <c r="D11" i="86" l="1"/>
  <c r="E48" i="52"/>
  <c r="E37" i="44"/>
  <c r="D37" i="42" s="1"/>
  <c r="I37" i="43"/>
  <c r="B37" i="42" s="1"/>
  <c r="I25" i="43"/>
  <c r="B25" i="42" s="1"/>
  <c r="G25" i="45"/>
  <c r="E25" i="44"/>
  <c r="D25" i="42" s="1"/>
  <c r="I43" i="43"/>
  <c r="B43" i="42" s="1"/>
  <c r="G43" i="45"/>
  <c r="E37"/>
  <c r="H37" i="42" s="1"/>
  <c r="G37" i="44"/>
  <c r="E37" i="42" s="1"/>
  <c r="I21" i="45"/>
  <c r="I21" i="43" s="1"/>
  <c r="B21" i="42" s="1"/>
  <c r="E17" i="18"/>
  <c r="G17" s="1"/>
  <c r="E18" i="20"/>
  <c r="G18" s="1"/>
  <c r="E43"/>
  <c r="G17" i="19"/>
  <c r="I17" s="1"/>
  <c r="G21"/>
  <c r="I21" s="1"/>
  <c r="J27" i="42"/>
  <c r="F48" i="46"/>
  <c r="B48" i="76"/>
  <c r="C26" i="41"/>
  <c r="I18" i="45"/>
  <c r="I18" i="43" s="1"/>
  <c r="B18" i="42" s="1"/>
  <c r="G11" i="10"/>
  <c r="J11" i="26"/>
  <c r="E31" i="18"/>
  <c r="I11" i="11"/>
  <c r="F12" i="52"/>
  <c r="B12" i="43" s="1"/>
  <c r="F12" s="1"/>
  <c r="H12" s="1"/>
  <c r="I12" i="45" s="1"/>
  <c r="G12" s="1"/>
  <c r="G46" i="18"/>
  <c r="G43"/>
  <c r="G43" i="20"/>
  <c r="G14" i="18"/>
  <c r="I45" i="43"/>
  <c r="B45" i="42" s="1"/>
  <c r="G45" i="44"/>
  <c r="E45" i="42" s="1"/>
  <c r="C45" i="44"/>
  <c r="C45" i="42" s="1"/>
  <c r="I45" i="44"/>
  <c r="F45" i="42" s="1"/>
  <c r="C45" i="45"/>
  <c r="G45" i="42" s="1"/>
  <c r="E45" i="45"/>
  <c r="H45" i="42" s="1"/>
  <c r="E45" i="44"/>
  <c r="D45" i="42" s="1"/>
  <c r="I28" i="43"/>
  <c r="B28" i="42" s="1"/>
  <c r="E28" i="45"/>
  <c r="H28" i="42" s="1"/>
  <c r="G28" i="44"/>
  <c r="E28" i="42" s="1"/>
  <c r="C28" i="44"/>
  <c r="C28" i="42" s="1"/>
  <c r="I28" i="44"/>
  <c r="F28" i="42" s="1"/>
  <c r="C28" i="45"/>
  <c r="G28" i="42" s="1"/>
  <c r="E28" i="44"/>
  <c r="D28" i="42" s="1"/>
  <c r="I23" i="45"/>
  <c r="I23" i="43" s="1"/>
  <c r="B23" i="42" s="1"/>
  <c r="G39" i="76"/>
  <c r="I15" i="43"/>
  <c r="B15" i="42" s="1"/>
  <c r="I15" i="44"/>
  <c r="F15" i="42" s="1"/>
  <c r="G15" i="44"/>
  <c r="E15" i="42" s="1"/>
  <c r="C15" i="44"/>
  <c r="C15" i="42" s="1"/>
  <c r="C15" i="45"/>
  <c r="G15" i="42" s="1"/>
  <c r="E15" i="44"/>
  <c r="D15" i="42" s="1"/>
  <c r="I18" i="44"/>
  <c r="F18" i="42" s="1"/>
  <c r="G18" i="44"/>
  <c r="E18" i="42" s="1"/>
  <c r="E18" i="44"/>
  <c r="D18" i="42" s="1"/>
  <c r="G16" i="76"/>
  <c r="D48" i="9"/>
  <c r="G26" i="18"/>
  <c r="G29"/>
  <c r="I16" i="19"/>
  <c r="G34" i="18"/>
  <c r="G48" i="9"/>
  <c r="I51" i="19"/>
  <c r="E21" i="45"/>
  <c r="H21" i="42" s="1"/>
  <c r="E21" i="44"/>
  <c r="D21" i="42" s="1"/>
  <c r="G43" i="76"/>
  <c r="G31" i="18"/>
  <c r="G31" i="76"/>
  <c r="G37" i="90"/>
  <c r="G12" i="8"/>
  <c r="H31" i="18"/>
  <c r="G39" i="10"/>
  <c r="E25" i="76"/>
  <c r="D25" i="54"/>
  <c r="D41"/>
  <c r="E46" i="76"/>
  <c r="D46" i="54"/>
  <c r="E20" i="18"/>
  <c r="D20" i="10"/>
  <c r="G32" i="29"/>
  <c r="G20"/>
  <c r="F31" i="41"/>
  <c r="G31" s="1"/>
  <c r="B14"/>
  <c r="B22"/>
  <c r="B29"/>
  <c r="B33"/>
  <c r="B48" i="37"/>
  <c r="G43" i="29"/>
  <c r="D40"/>
  <c r="D25" i="86"/>
  <c r="B48" i="29"/>
  <c r="D11"/>
  <c r="G15"/>
  <c r="D18" i="26"/>
  <c r="D18" i="19"/>
  <c r="B48" i="26"/>
  <c r="D48" i="44"/>
  <c r="J12" i="10"/>
  <c r="F24" i="41"/>
  <c r="G24" s="1"/>
  <c r="D20" i="54"/>
  <c r="D32"/>
  <c r="E36" i="76"/>
  <c r="D36" i="54"/>
  <c r="F38" i="41"/>
  <c r="G38" s="1"/>
  <c r="G51" i="29"/>
  <c r="G39"/>
  <c r="E44" i="20"/>
  <c r="E22"/>
  <c r="E32"/>
  <c r="E25"/>
  <c r="E37"/>
  <c r="B19" i="41"/>
  <c r="D15" i="29"/>
  <c r="D38"/>
  <c r="D16" i="86"/>
  <c r="D35" i="29"/>
  <c r="D43"/>
  <c r="J29" i="28"/>
  <c r="J23"/>
  <c r="B38" i="41"/>
  <c r="F22"/>
  <c r="G22" s="1"/>
  <c r="E39" i="20"/>
  <c r="F29" i="41"/>
  <c r="G29" s="1"/>
  <c r="E15" i="20"/>
  <c r="E27"/>
  <c r="E33"/>
  <c r="E41"/>
  <c r="B35" i="41"/>
  <c r="B39"/>
  <c r="F40"/>
  <c r="G40" s="1"/>
  <c r="B45"/>
  <c r="B46"/>
  <c r="D22" i="29"/>
  <c r="D25"/>
  <c r="J12" i="28"/>
  <c r="J37"/>
  <c r="J39"/>
  <c r="G38" i="29"/>
  <c r="B34" i="41"/>
  <c r="D24" i="86"/>
  <c r="D46" i="29"/>
  <c r="J20" i="28"/>
  <c r="G37" i="29"/>
  <c r="H48" i="28"/>
  <c r="J11"/>
  <c r="D13" i="29"/>
  <c r="J14" i="28"/>
  <c r="G12" i="29"/>
  <c r="G24"/>
  <c r="D14"/>
  <c r="D27"/>
  <c r="D28" i="86"/>
  <c r="D26" i="29"/>
  <c r="D38" i="86"/>
  <c r="J38" i="28"/>
  <c r="D35" i="86"/>
  <c r="D45" i="29"/>
  <c r="G28"/>
  <c r="B14" i="20"/>
  <c r="G14" i="54"/>
  <c r="D33" i="29"/>
  <c r="G34" i="76"/>
  <c r="E33" i="5"/>
  <c r="G17" i="76"/>
  <c r="F13" i="19"/>
  <c r="F34"/>
  <c r="E34" i="5"/>
  <c r="D39" i="18"/>
  <c r="D19" i="20"/>
  <c r="D36"/>
  <c r="D44"/>
  <c r="J18"/>
  <c r="J34"/>
  <c r="I35" i="43"/>
  <c r="B35" i="42" s="1"/>
  <c r="E35" i="44"/>
  <c r="D35" i="42" s="1"/>
  <c r="C35" i="45"/>
  <c r="G35" i="42" s="1"/>
  <c r="I35" i="44"/>
  <c r="F35" i="42" s="1"/>
  <c r="G35" i="44"/>
  <c r="E35" i="42" s="1"/>
  <c r="E35" i="45"/>
  <c r="H35" i="42" s="1"/>
  <c r="C35" i="44"/>
  <c r="C35" i="42" s="1"/>
  <c r="G42" i="76"/>
  <c r="E39" i="5"/>
  <c r="D11" i="40"/>
  <c r="F24" i="19"/>
  <c r="F46"/>
  <c r="D13" i="18"/>
  <c r="D32"/>
  <c r="E29" i="16"/>
  <c r="E29" i="41"/>
  <c r="D29" i="26"/>
  <c r="G29" i="10"/>
  <c r="D29" i="27"/>
  <c r="D29" i="76" s="1"/>
  <c r="G29" i="26"/>
  <c r="J29"/>
  <c r="J29" i="10"/>
  <c r="F29" i="11"/>
  <c r="J12" i="20"/>
  <c r="J14"/>
  <c r="J16"/>
  <c r="J20"/>
  <c r="J22"/>
  <c r="J24"/>
  <c r="J26"/>
  <c r="J28"/>
  <c r="J30"/>
  <c r="J32"/>
  <c r="J36"/>
  <c r="J38"/>
  <c r="J40"/>
  <c r="J42"/>
  <c r="J44"/>
  <c r="J46"/>
  <c r="J51"/>
  <c r="D48" i="28"/>
  <c r="D37" i="18"/>
  <c r="G22"/>
  <c r="E23" i="5"/>
  <c r="D46" i="18"/>
  <c r="D17"/>
  <c r="H42" i="39"/>
  <c r="F42"/>
  <c r="D42"/>
  <c r="D34"/>
  <c r="H34"/>
  <c r="F34"/>
  <c r="F26"/>
  <c r="H26"/>
  <c r="D26"/>
  <c r="D17"/>
  <c r="H17"/>
  <c r="F17"/>
  <c r="H13"/>
  <c r="F13"/>
  <c r="D13"/>
  <c r="D45" i="20"/>
  <c r="D41"/>
  <c r="D37"/>
  <c r="D33"/>
  <c r="D28"/>
  <c r="D24"/>
  <c r="D20"/>
  <c r="D15"/>
  <c r="G51" i="76"/>
  <c r="E11" i="5"/>
  <c r="E14"/>
  <c r="E51"/>
  <c r="E16"/>
  <c r="D38" i="18"/>
  <c r="D25"/>
  <c r="D16"/>
  <c r="F50" i="19"/>
  <c r="D12" i="41"/>
  <c r="C12"/>
  <c r="C13"/>
  <c r="D13"/>
  <c r="D16"/>
  <c r="C16"/>
  <c r="D25"/>
  <c r="C25"/>
  <c r="D41"/>
  <c r="C41"/>
  <c r="D20"/>
  <c r="C20"/>
  <c r="D23"/>
  <c r="C23"/>
  <c r="D32"/>
  <c r="C32"/>
  <c r="D44"/>
  <c r="C44"/>
  <c r="D45" i="18"/>
  <c r="I20" i="45"/>
  <c r="I20" i="43" s="1"/>
  <c r="B20" i="42" s="1"/>
  <c r="I24" i="43"/>
  <c r="B24" i="42" s="1"/>
  <c r="I24" i="44"/>
  <c r="F24" i="42" s="1"/>
  <c r="C24" i="45"/>
  <c r="G24" i="42" s="1"/>
  <c r="E24" i="44"/>
  <c r="D24" i="42" s="1"/>
  <c r="C24" i="44"/>
  <c r="C24" i="42" s="1"/>
  <c r="G24" i="44"/>
  <c r="E24" i="42" s="1"/>
  <c r="E24" i="45"/>
  <c r="H24" i="42" s="1"/>
  <c r="G37" i="18"/>
  <c r="F20" i="19"/>
  <c r="F16"/>
  <c r="F35"/>
  <c r="I32" i="45"/>
  <c r="E44"/>
  <c r="H44" i="42" s="1"/>
  <c r="C44" i="44"/>
  <c r="C44" i="42" s="1"/>
  <c r="C44" i="45"/>
  <c r="G44" i="42" s="1"/>
  <c r="G44" i="44"/>
  <c r="E44" i="42" s="1"/>
  <c r="E44" i="44"/>
  <c r="D44" i="42" s="1"/>
  <c r="I44" i="44"/>
  <c r="F44" i="42" s="1"/>
  <c r="H48" i="20"/>
  <c r="J11"/>
  <c r="J27"/>
  <c r="J35"/>
  <c r="J31" i="26"/>
  <c r="G35" i="76"/>
  <c r="D41" i="18"/>
  <c r="D33"/>
  <c r="D24"/>
  <c r="H44" i="39"/>
  <c r="D44"/>
  <c r="F44"/>
  <c r="H36"/>
  <c r="D36"/>
  <c r="F36"/>
  <c r="H28"/>
  <c r="F28"/>
  <c r="D28"/>
  <c r="F19"/>
  <c r="D19"/>
  <c r="H19"/>
  <c r="D15"/>
  <c r="H15"/>
  <c r="F15"/>
  <c r="D43" i="20"/>
  <c r="D35"/>
  <c r="D30"/>
  <c r="D26"/>
  <c r="D22"/>
  <c r="D13"/>
  <c r="G18" i="18"/>
  <c r="D51" i="20"/>
  <c r="D27" i="18"/>
  <c r="D22"/>
  <c r="G28" i="20"/>
  <c r="D16"/>
  <c r="G40" i="76"/>
  <c r="G26" i="20"/>
  <c r="C51" i="45"/>
  <c r="G51" i="42" s="1"/>
  <c r="C51" i="44"/>
  <c r="C51" i="42" s="1"/>
  <c r="E51" i="45"/>
  <c r="H51" i="42" s="1"/>
  <c r="G51" i="44"/>
  <c r="E51" i="42" s="1"/>
  <c r="I51" i="44"/>
  <c r="F51" i="42" s="1"/>
  <c r="G44" i="18"/>
  <c r="G19"/>
  <c r="G33"/>
  <c r="G15" i="76"/>
  <c r="G28"/>
  <c r="E43" i="45"/>
  <c r="H43" i="42" s="1"/>
  <c r="E43" i="44"/>
  <c r="D43" i="42" s="1"/>
  <c r="C43" i="45"/>
  <c r="G43" i="42" s="1"/>
  <c r="C43" i="44"/>
  <c r="C43" i="42" s="1"/>
  <c r="I43" i="44"/>
  <c r="F43" i="42" s="1"/>
  <c r="G43" i="44"/>
  <c r="E43" i="42" s="1"/>
  <c r="G32" i="18"/>
  <c r="G41"/>
  <c r="G15"/>
  <c r="G24" i="76"/>
  <c r="G50"/>
  <c r="G21" i="18"/>
  <c r="G20" i="45"/>
  <c r="I41"/>
  <c r="G41" s="1"/>
  <c r="I46"/>
  <c r="G12" i="19"/>
  <c r="G46"/>
  <c r="G15"/>
  <c r="F48" i="44"/>
  <c r="D50" i="26"/>
  <c r="G33" i="19"/>
  <c r="G38"/>
  <c r="E20" i="76"/>
  <c r="G48" i="11"/>
  <c r="G29" i="54"/>
  <c r="E24" i="20"/>
  <c r="D48" i="36"/>
  <c r="D50" i="86"/>
  <c r="B48" i="35"/>
  <c r="G24" i="45"/>
  <c r="G50" i="26"/>
  <c r="G20" i="19"/>
  <c r="B48" i="11"/>
  <c r="F48" i="25"/>
  <c r="C48" i="88"/>
  <c r="G32" i="45"/>
  <c r="J50" i="26"/>
  <c r="E23" i="76"/>
  <c r="G27" i="19"/>
  <c r="G25"/>
  <c r="E38" i="20"/>
  <c r="G50" i="54"/>
  <c r="G26" i="19"/>
  <c r="G39"/>
  <c r="J29" i="42"/>
  <c r="J50" i="28"/>
  <c r="J50" i="10"/>
  <c r="E12" i="18"/>
  <c r="J37" i="42"/>
  <c r="E16" i="18"/>
  <c r="E51" i="44"/>
  <c r="D51" i="42" s="1"/>
  <c r="D29" i="10"/>
  <c r="E24" i="18"/>
  <c r="E48" i="29"/>
  <c r="G11"/>
  <c r="G17"/>
  <c r="D21" i="7"/>
  <c r="G40" i="90"/>
  <c r="H21" i="18"/>
  <c r="D20" i="9"/>
  <c r="B18" i="39"/>
  <c r="B18" i="40"/>
  <c r="D18" s="1"/>
  <c r="B23" i="20"/>
  <c r="F20" i="11"/>
  <c r="D23" i="54"/>
  <c r="E44" i="76"/>
  <c r="D44" i="54"/>
  <c r="I17" i="11"/>
  <c r="G35" i="29"/>
  <c r="G19"/>
  <c r="G21"/>
  <c r="D26" i="86"/>
  <c r="D51"/>
  <c r="D31"/>
  <c r="D27"/>
  <c r="D29"/>
  <c r="D45"/>
  <c r="B18" i="41"/>
  <c r="B24"/>
  <c r="B31"/>
  <c r="B43"/>
  <c r="F11"/>
  <c r="D48" i="37"/>
  <c r="G30" i="29"/>
  <c r="G46"/>
  <c r="D21"/>
  <c r="J16" i="28"/>
  <c r="G42" i="29"/>
  <c r="G31"/>
  <c r="D34" i="86"/>
  <c r="D19" i="29"/>
  <c r="G14"/>
  <c r="G25"/>
  <c r="J51" i="28"/>
  <c r="G12" i="26"/>
  <c r="D12" i="19"/>
  <c r="E48" i="26"/>
  <c r="F18" i="41"/>
  <c r="G18" s="1"/>
  <c r="G44" i="29"/>
  <c r="F17" i="45"/>
  <c r="E16" i="20"/>
  <c r="E13"/>
  <c r="E21"/>
  <c r="E35"/>
  <c r="D46" i="86"/>
  <c r="D34" i="29"/>
  <c r="D44"/>
  <c r="D43" i="86"/>
  <c r="D39" i="29"/>
  <c r="J24" i="28"/>
  <c r="J42"/>
  <c r="G29" i="29"/>
  <c r="B30" i="41"/>
  <c r="F15"/>
  <c r="G15" s="1"/>
  <c r="F43"/>
  <c r="G43" s="1"/>
  <c r="E20" i="20"/>
  <c r="E29"/>
  <c r="E40"/>
  <c r="F16" i="41"/>
  <c r="G16" s="1"/>
  <c r="F36"/>
  <c r="G36" s="1"/>
  <c r="F39"/>
  <c r="G39" s="1"/>
  <c r="B42"/>
  <c r="F46"/>
  <c r="G46" s="1"/>
  <c r="F45"/>
  <c r="G45" s="1"/>
  <c r="D17" i="29"/>
  <c r="D42"/>
  <c r="D29"/>
  <c r="J34" i="28"/>
  <c r="J18"/>
  <c r="J17"/>
  <c r="J45"/>
  <c r="G45" i="19"/>
  <c r="D17" i="86"/>
  <c r="D20"/>
  <c r="D20" i="29"/>
  <c r="J30" i="28"/>
  <c r="G30" i="19"/>
  <c r="J21" i="28"/>
  <c r="B48" i="25"/>
  <c r="E26" i="76"/>
  <c r="D26" i="54"/>
  <c r="D18" i="29"/>
  <c r="D36"/>
  <c r="D42" i="86"/>
  <c r="J32" i="28"/>
  <c r="J40"/>
  <c r="D39" i="86"/>
  <c r="D14"/>
  <c r="G27" i="76"/>
  <c r="F15" i="19"/>
  <c r="F39"/>
  <c r="F43"/>
  <c r="F51"/>
  <c r="E18" i="5"/>
  <c r="D50" i="20"/>
  <c r="D32"/>
  <c r="D40"/>
  <c r="J25"/>
  <c r="J41"/>
  <c r="I31" i="45"/>
  <c r="I31" i="43" s="1"/>
  <c r="B31" i="42" s="1"/>
  <c r="I39" i="45"/>
  <c r="I39" i="43" s="1"/>
  <c r="B39" i="42" s="1"/>
  <c r="I50" i="45"/>
  <c r="I50" i="43" s="1"/>
  <c r="B50" i="42" s="1"/>
  <c r="E27" i="5"/>
  <c r="F14" i="19"/>
  <c r="F38"/>
  <c r="F42"/>
  <c r="D12" i="20"/>
  <c r="D44" i="18"/>
  <c r="D40"/>
  <c r="D34" i="20"/>
  <c r="D42"/>
  <c r="D29" i="18"/>
  <c r="I48" i="7"/>
  <c r="F48"/>
  <c r="H48"/>
  <c r="G48"/>
  <c r="E34" i="16"/>
  <c r="E34" i="41"/>
  <c r="D34" i="27"/>
  <c r="D34" i="76" s="1"/>
  <c r="D34" i="10"/>
  <c r="J34"/>
  <c r="J34" i="26"/>
  <c r="D34"/>
  <c r="G34" i="10"/>
  <c r="F34" i="11"/>
  <c r="E50" i="41"/>
  <c r="E50" i="16"/>
  <c r="D50" i="27"/>
  <c r="D50" i="76" s="1"/>
  <c r="G50" i="28"/>
  <c r="F50" i="11"/>
  <c r="G50" i="10"/>
  <c r="I50" i="11"/>
  <c r="D31" i="20"/>
  <c r="G22" i="76"/>
  <c r="E40" i="5"/>
  <c r="D28" i="18"/>
  <c r="D11" i="20"/>
  <c r="B12" i="40"/>
  <c r="D12" s="1"/>
  <c r="B48" i="34"/>
  <c r="D15" i="18"/>
  <c r="E36" i="5"/>
  <c r="D43" i="18"/>
  <c r="D34"/>
  <c r="D19"/>
  <c r="D35"/>
  <c r="D18"/>
  <c r="G37" i="76"/>
  <c r="G12"/>
  <c r="D17" i="41"/>
  <c r="C17"/>
  <c r="D37"/>
  <c r="C37"/>
  <c r="D11"/>
  <c r="C11"/>
  <c r="D27"/>
  <c r="C27"/>
  <c r="G38" i="76"/>
  <c r="F23" i="19"/>
  <c r="I40" i="45"/>
  <c r="I40" i="43" s="1"/>
  <c r="B40" i="42" s="1"/>
  <c r="I33" i="43"/>
  <c r="B33" i="42" s="1"/>
  <c r="G33" i="44"/>
  <c r="E33" i="42" s="1"/>
  <c r="C33" i="44"/>
  <c r="C33" i="42" s="1"/>
  <c r="E33" i="45"/>
  <c r="H33" i="42" s="1"/>
  <c r="C33" i="45"/>
  <c r="G33" i="42" s="1"/>
  <c r="E33" i="44"/>
  <c r="D33" i="42" s="1"/>
  <c r="I33" i="44"/>
  <c r="F33" i="42" s="1"/>
  <c r="I34" i="43"/>
  <c r="B34" i="42" s="1"/>
  <c r="C34" i="45"/>
  <c r="G34" i="42" s="1"/>
  <c r="I34" i="44"/>
  <c r="F34" i="42" s="1"/>
  <c r="C34" i="44"/>
  <c r="C34" i="42" s="1"/>
  <c r="E34" i="44"/>
  <c r="D34" i="42" s="1"/>
  <c r="G34" i="44"/>
  <c r="E34" i="42" s="1"/>
  <c r="E34" i="45"/>
  <c r="H34" i="42" s="1"/>
  <c r="I36" i="43"/>
  <c r="B36" i="42" s="1"/>
  <c r="G36" i="44"/>
  <c r="E36" i="42" s="1"/>
  <c r="E36" i="44"/>
  <c r="D36" i="42" s="1"/>
  <c r="C36" i="44"/>
  <c r="C36" i="42" s="1"/>
  <c r="C36" i="45"/>
  <c r="G36" i="42" s="1"/>
  <c r="I36" i="44"/>
  <c r="F36" i="42" s="1"/>
  <c r="E36" i="45"/>
  <c r="H36" i="42" s="1"/>
  <c r="I38" i="45"/>
  <c r="I38" i="43" s="1"/>
  <c r="B38" i="42" s="1"/>
  <c r="G30" i="18"/>
  <c r="F22" i="19"/>
  <c r="F30"/>
  <c r="G33" i="76"/>
  <c r="D17" i="20"/>
  <c r="I22" i="45"/>
  <c r="I22" i="43" s="1"/>
  <c r="B22" i="42" s="1"/>
  <c r="I30" i="43"/>
  <c r="B30" i="42" s="1"/>
  <c r="I30" i="44"/>
  <c r="F30" i="42" s="1"/>
  <c r="E30" i="45"/>
  <c r="H30" i="42" s="1"/>
  <c r="C30" i="45"/>
  <c r="G30" i="42" s="1"/>
  <c r="C30" i="44"/>
  <c r="C30" i="42" s="1"/>
  <c r="E30" i="44"/>
  <c r="D30" i="42" s="1"/>
  <c r="G30" i="44"/>
  <c r="E30" i="42" s="1"/>
  <c r="B40" i="41"/>
  <c r="F48" i="52"/>
  <c r="B11" i="43"/>
  <c r="F11" i="19"/>
  <c r="E11" i="16"/>
  <c r="E11" i="41"/>
  <c r="F48" i="15"/>
  <c r="F48" i="11" s="1"/>
  <c r="G11" i="28"/>
  <c r="D11" i="26"/>
  <c r="G11"/>
  <c r="F11" i="11"/>
  <c r="D11" i="27"/>
  <c r="D11" i="76" s="1"/>
  <c r="J13" i="20"/>
  <c r="J15"/>
  <c r="J17"/>
  <c r="J19"/>
  <c r="J21"/>
  <c r="J23"/>
  <c r="J29"/>
  <c r="J31"/>
  <c r="J33"/>
  <c r="J37"/>
  <c r="J43"/>
  <c r="J45"/>
  <c r="J50"/>
  <c r="D23" i="18"/>
  <c r="E19" i="5"/>
  <c r="D39" i="20"/>
  <c r="B48" i="39"/>
  <c r="D11"/>
  <c r="F11"/>
  <c r="H11"/>
  <c r="B48" i="44"/>
  <c r="F11" i="45"/>
  <c r="I13"/>
  <c r="I13" i="43" s="1"/>
  <c r="B13" i="42" s="1"/>
  <c r="F14" i="45"/>
  <c r="D51" i="18"/>
  <c r="J48" i="9"/>
  <c r="D31" i="39"/>
  <c r="H31"/>
  <c r="F31"/>
  <c r="I50" i="19"/>
  <c r="D36" i="18"/>
  <c r="D14"/>
  <c r="D48" i="8"/>
  <c r="D11" i="18"/>
  <c r="I41" i="19"/>
  <c r="G51" i="20"/>
  <c r="G12"/>
  <c r="C15" i="41"/>
  <c r="D15"/>
  <c r="D21"/>
  <c r="C21"/>
  <c r="D28"/>
  <c r="C28"/>
  <c r="D36"/>
  <c r="C36"/>
  <c r="D50"/>
  <c r="C50"/>
  <c r="E25" i="45"/>
  <c r="H25" i="42" s="1"/>
  <c r="C25" i="44"/>
  <c r="C25" i="42" s="1"/>
  <c r="I25" i="44"/>
  <c r="F25" i="42" s="1"/>
  <c r="G25" i="44"/>
  <c r="E25" i="42" s="1"/>
  <c r="C25" i="45"/>
  <c r="G25" i="42" s="1"/>
  <c r="G50" i="18"/>
  <c r="G45" i="76"/>
  <c r="E38" i="5"/>
  <c r="G30" i="76"/>
  <c r="D42" i="18"/>
  <c r="G36"/>
  <c r="G11"/>
  <c r="G23"/>
  <c r="G21" i="76"/>
  <c r="F44" i="19"/>
  <c r="G29" i="76"/>
  <c r="G13"/>
  <c r="G18"/>
  <c r="F26" i="19"/>
  <c r="E45" i="18"/>
  <c r="G45" s="1"/>
  <c r="E32" i="76"/>
  <c r="G45" i="45"/>
  <c r="B21" i="18"/>
  <c r="G28" i="45"/>
  <c r="B48" i="7"/>
  <c r="E25" i="18"/>
  <c r="G36" i="19"/>
  <c r="E41" i="76"/>
  <c r="G35" i="45"/>
  <c r="I26"/>
  <c r="G26" s="1"/>
  <c r="E45" i="5"/>
  <c r="B31" i="18"/>
  <c r="G11" i="19"/>
  <c r="B24"/>
  <c r="G34" i="26"/>
  <c r="G19" i="19"/>
  <c r="G40"/>
  <c r="G15" i="45"/>
  <c r="G18"/>
  <c r="E48" i="10"/>
  <c r="B48" i="82"/>
  <c r="B12" i="18"/>
  <c r="E48" i="8"/>
  <c r="G28" i="19"/>
  <c r="G18"/>
  <c r="G13"/>
  <c r="G44"/>
  <c r="G22"/>
  <c r="I29" i="11"/>
  <c r="I34"/>
  <c r="D34" i="54"/>
  <c r="E42" i="20"/>
  <c r="E14"/>
  <c r="E30"/>
  <c r="E46"/>
  <c r="J29" i="54"/>
  <c r="E31" i="20"/>
  <c r="J50" i="54"/>
  <c r="B48" i="86"/>
  <c r="G35" i="19"/>
  <c r="I16" i="45"/>
  <c r="G16" s="1"/>
  <c r="G33"/>
  <c r="G34"/>
  <c r="I19"/>
  <c r="I44" i="43"/>
  <c r="B44" i="42" s="1"/>
  <c r="J44" s="1"/>
  <c r="G32" i="19"/>
  <c r="G34" i="29"/>
  <c r="J11" i="10"/>
  <c r="H48"/>
  <c r="D48" i="82"/>
  <c r="B18" i="20"/>
  <c r="G37" i="19"/>
  <c r="G42"/>
  <c r="E15" i="45"/>
  <c r="H15" i="42" s="1"/>
  <c r="I16" i="44"/>
  <c r="F16" i="42" s="1"/>
  <c r="B48" i="88"/>
  <c r="E14" i="76"/>
  <c r="D31" i="19"/>
  <c r="G34"/>
  <c r="G24"/>
  <c r="G29" i="28"/>
  <c r="G29" i="19"/>
  <c r="E17" i="20"/>
  <c r="E23"/>
  <c r="E34"/>
  <c r="E50"/>
  <c r="E36"/>
  <c r="E45"/>
  <c r="I14" i="45"/>
  <c r="E48" i="46"/>
  <c r="G14" i="19"/>
  <c r="G43"/>
  <c r="J51" i="42"/>
  <c r="G31" i="19"/>
  <c r="D50" i="10"/>
  <c r="E39" i="18"/>
  <c r="D11" i="54"/>
  <c r="G34"/>
  <c r="E27" i="18"/>
  <c r="E35"/>
  <c r="I42" i="45"/>
  <c r="G42" s="1"/>
  <c r="J43" i="42"/>
  <c r="D50" i="29"/>
  <c r="G23" i="19"/>
  <c r="E38" i="18"/>
  <c r="G51" i="45"/>
  <c r="D29" i="54"/>
  <c r="E42" i="18"/>
  <c r="E51"/>
  <c r="J34" i="54"/>
  <c r="B20" i="18"/>
  <c r="E28"/>
  <c r="D50" i="54"/>
  <c r="E15" i="78"/>
  <c r="E30"/>
  <c r="E19"/>
  <c r="E21"/>
  <c r="E16"/>
  <c r="E12"/>
  <c r="E18"/>
  <c r="B40" i="85"/>
  <c r="E40" s="1"/>
  <c r="B34"/>
  <c r="E34" s="1"/>
  <c r="F48" i="36"/>
  <c r="D18" i="5"/>
  <c r="B23" i="85"/>
  <c r="E23" s="1"/>
  <c r="D51" i="5"/>
  <c r="B47" i="85"/>
  <c r="E47" s="1"/>
  <c r="B43"/>
  <c r="E43" s="1"/>
  <c r="B48"/>
  <c r="E48" s="1"/>
  <c r="B31"/>
  <c r="E31" s="1"/>
  <c r="B30"/>
  <c r="E30" s="1"/>
  <c r="B46"/>
  <c r="E46" s="1"/>
  <c r="B33"/>
  <c r="E33" s="1"/>
  <c r="B39"/>
  <c r="E39" s="1"/>
  <c r="I21" i="44" l="1"/>
  <c r="F21" i="42" s="1"/>
  <c r="G22" i="45"/>
  <c r="G31"/>
  <c r="G21" i="44"/>
  <c r="E21" i="42" s="1"/>
  <c r="G21" i="45"/>
  <c r="C21"/>
  <c r="G21" i="42" s="1"/>
  <c r="C21" i="44"/>
  <c r="C21" i="42" s="1"/>
  <c r="I43" i="90"/>
  <c r="J25" i="42"/>
  <c r="E48" i="16"/>
  <c r="E18" i="45"/>
  <c r="H18" i="42" s="1"/>
  <c r="C18" i="44"/>
  <c r="C18" i="42" s="1"/>
  <c r="J18" s="1"/>
  <c r="C18" i="45"/>
  <c r="G18" i="42" s="1"/>
  <c r="G46" i="90"/>
  <c r="I46"/>
  <c r="F51" i="5"/>
  <c r="D51" i="6" s="1"/>
  <c r="F51" i="54"/>
  <c r="I51" i="25"/>
  <c r="C51" i="26"/>
  <c r="E51" i="82"/>
  <c r="I51" i="9"/>
  <c r="E51" i="38"/>
  <c r="I51" i="26"/>
  <c r="C51" i="10"/>
  <c r="C51" i="9"/>
  <c r="C51" i="25"/>
  <c r="F51" i="10"/>
  <c r="C51" i="29"/>
  <c r="E51" i="36"/>
  <c r="E51" i="35"/>
  <c r="E51" i="11"/>
  <c r="C51" i="36"/>
  <c r="G51" i="25"/>
  <c r="C51" i="82"/>
  <c r="F51" i="28"/>
  <c r="C51" i="38"/>
  <c r="E51" i="25"/>
  <c r="C51" i="11"/>
  <c r="F51" i="8"/>
  <c r="G51" i="34"/>
  <c r="I51" i="54"/>
  <c r="C51"/>
  <c r="C51" i="7"/>
  <c r="G51" i="36"/>
  <c r="E51" i="37"/>
  <c r="E51" i="34"/>
  <c r="H51" i="11"/>
  <c r="F51" i="26"/>
  <c r="C51" i="8"/>
  <c r="C51" i="37"/>
  <c r="C51" i="34"/>
  <c r="C51" i="28"/>
  <c r="I51" i="10"/>
  <c r="C51" i="27"/>
  <c r="C51" i="76" s="1"/>
  <c r="C51" i="35"/>
  <c r="F51" i="9"/>
  <c r="H51" i="19"/>
  <c r="F51" i="29"/>
  <c r="C51" i="20"/>
  <c r="E51" i="19"/>
  <c r="C51" i="18"/>
  <c r="C51" i="19"/>
  <c r="I51" i="20"/>
  <c r="F51" i="76"/>
  <c r="I51" i="18"/>
  <c r="C51" i="86"/>
  <c r="I51" i="28"/>
  <c r="F51" i="20"/>
  <c r="I38" i="90"/>
  <c r="G38"/>
  <c r="G30"/>
  <c r="I30"/>
  <c r="G28"/>
  <c r="I28"/>
  <c r="G27"/>
  <c r="I27"/>
  <c r="G13"/>
  <c r="I19"/>
  <c r="G19"/>
  <c r="G44"/>
  <c r="I44"/>
  <c r="I26"/>
  <c r="G26"/>
  <c r="E13" i="18"/>
  <c r="I13" i="90" s="1"/>
  <c r="D13" i="10"/>
  <c r="B48"/>
  <c r="J39" i="85"/>
  <c r="G39"/>
  <c r="J33"/>
  <c r="G33"/>
  <c r="J46"/>
  <c r="G46"/>
  <c r="G42" i="90"/>
  <c r="B37" i="85"/>
  <c r="E37" s="1"/>
  <c r="D35" i="5"/>
  <c r="J43" i="85"/>
  <c r="G43"/>
  <c r="J47"/>
  <c r="G47"/>
  <c r="B25"/>
  <c r="E25" s="1"/>
  <c r="D23" i="5"/>
  <c r="F23" i="20" s="1"/>
  <c r="B19" i="85"/>
  <c r="E19" s="1"/>
  <c r="D17" i="5"/>
  <c r="B32" i="85"/>
  <c r="E32" s="1"/>
  <c r="D30" i="5"/>
  <c r="B48" i="36"/>
  <c r="C18" i="27"/>
  <c r="C18" i="76" s="1"/>
  <c r="C18" i="35"/>
  <c r="F18" i="9"/>
  <c r="I18"/>
  <c r="I18" i="54"/>
  <c r="I18" i="10"/>
  <c r="I18" i="26"/>
  <c r="C18" i="82"/>
  <c r="E18" i="11"/>
  <c r="C18" i="34"/>
  <c r="E18" i="38"/>
  <c r="F18" i="10"/>
  <c r="F18" i="26"/>
  <c r="C18" i="7"/>
  <c r="C18" i="86"/>
  <c r="F18" i="29"/>
  <c r="E18" i="37"/>
  <c r="H18" i="11"/>
  <c r="C18" i="10"/>
  <c r="I18" i="25"/>
  <c r="C18" i="37"/>
  <c r="G18" i="34"/>
  <c r="C18" i="11"/>
  <c r="G18" i="25"/>
  <c r="E18" i="82"/>
  <c r="C18" i="54"/>
  <c r="C18" i="8"/>
  <c r="F18" i="54"/>
  <c r="E18" i="35"/>
  <c r="C18" i="25"/>
  <c r="F18" i="28"/>
  <c r="C18"/>
  <c r="C18" i="9"/>
  <c r="F18" i="8"/>
  <c r="C18" i="36"/>
  <c r="E18" i="25"/>
  <c r="C18" i="38"/>
  <c r="B13" i="85"/>
  <c r="H48" i="54"/>
  <c r="J11"/>
  <c r="D50" i="5"/>
  <c r="B52" i="85"/>
  <c r="E52" s="1"/>
  <c r="B42"/>
  <c r="E42" s="1"/>
  <c r="D40" i="5"/>
  <c r="B38" i="85"/>
  <c r="E38" s="1"/>
  <c r="D36" i="5"/>
  <c r="F36" i="20" s="1"/>
  <c r="G11" i="90"/>
  <c r="G28" i="18"/>
  <c r="G42"/>
  <c r="I23" i="19"/>
  <c r="H23"/>
  <c r="G35" i="18"/>
  <c r="G27"/>
  <c r="G45" i="20"/>
  <c r="F50"/>
  <c r="G50"/>
  <c r="G23"/>
  <c r="I29" i="19"/>
  <c r="I24"/>
  <c r="F31"/>
  <c r="I37"/>
  <c r="I32"/>
  <c r="I19" i="43"/>
  <c r="B19" i="42" s="1"/>
  <c r="C19" i="45"/>
  <c r="G19" i="42" s="1"/>
  <c r="C19" i="44"/>
  <c r="C19" i="42" s="1"/>
  <c r="I19" i="44"/>
  <c r="F19" i="42" s="1"/>
  <c r="G19" i="44"/>
  <c r="E19" i="42" s="1"/>
  <c r="E19" i="45"/>
  <c r="H19" i="42" s="1"/>
  <c r="E19" i="44"/>
  <c r="D19" i="42" s="1"/>
  <c r="H35" i="19"/>
  <c r="I35"/>
  <c r="D48" i="86"/>
  <c r="G31" i="20"/>
  <c r="G46"/>
  <c r="G14"/>
  <c r="I13" i="19"/>
  <c r="I28"/>
  <c r="D12" i="18"/>
  <c r="I19" i="19"/>
  <c r="E24" i="5"/>
  <c r="G48" i="19"/>
  <c r="I11"/>
  <c r="I36"/>
  <c r="D48" i="7"/>
  <c r="E13" i="44"/>
  <c r="D13" i="42" s="1"/>
  <c r="G13" i="44"/>
  <c r="E13" i="42" s="1"/>
  <c r="C13" i="44"/>
  <c r="C13" i="42" s="1"/>
  <c r="I13" i="44"/>
  <c r="F13" i="42" s="1"/>
  <c r="C13" i="45"/>
  <c r="G13" i="42" s="1"/>
  <c r="E13" i="45"/>
  <c r="H13" i="42" s="1"/>
  <c r="D40" i="41"/>
  <c r="C40"/>
  <c r="C50" i="44"/>
  <c r="C50" i="42" s="1"/>
  <c r="E50" i="44"/>
  <c r="D50" i="42" s="1"/>
  <c r="G50" i="44"/>
  <c r="E50" i="42" s="1"/>
  <c r="C50" i="45"/>
  <c r="G50" i="42" s="1"/>
  <c r="I50" i="44"/>
  <c r="F50" i="42" s="1"/>
  <c r="E50" i="45"/>
  <c r="H50" i="42" s="1"/>
  <c r="G50" i="45"/>
  <c r="I39" i="44"/>
  <c r="F39" i="42" s="1"/>
  <c r="C39" i="44"/>
  <c r="C39" i="42" s="1"/>
  <c r="E39" i="44"/>
  <c r="D39" i="42" s="1"/>
  <c r="C39" i="45"/>
  <c r="G39" i="42" s="1"/>
  <c r="E39" i="45"/>
  <c r="H39" i="42" s="1"/>
  <c r="G39" i="44"/>
  <c r="E39" i="42" s="1"/>
  <c r="G39" i="45"/>
  <c r="E31"/>
  <c r="H31" i="42" s="1"/>
  <c r="C31" i="44"/>
  <c r="C31" i="42" s="1"/>
  <c r="G31" i="44"/>
  <c r="E31" i="42" s="1"/>
  <c r="C31" i="45"/>
  <c r="G31" i="42" s="1"/>
  <c r="I31" i="44"/>
  <c r="F31" i="42" s="1"/>
  <c r="E31" i="44"/>
  <c r="D31" i="42" s="1"/>
  <c r="B12" i="19"/>
  <c r="D48" i="25"/>
  <c r="H30" i="19"/>
  <c r="I30"/>
  <c r="G16" i="20"/>
  <c r="I17" i="45"/>
  <c r="G17" s="1"/>
  <c r="G48" i="26"/>
  <c r="G44" i="76"/>
  <c r="G24" i="18"/>
  <c r="G16"/>
  <c r="I39" i="19"/>
  <c r="I25"/>
  <c r="G23" i="76"/>
  <c r="F23"/>
  <c r="I20" i="19"/>
  <c r="G24" i="20"/>
  <c r="G20" i="76"/>
  <c r="I33" i="19"/>
  <c r="I12"/>
  <c r="I39" i="90"/>
  <c r="G39"/>
  <c r="I31"/>
  <c r="G31"/>
  <c r="I34"/>
  <c r="G34"/>
  <c r="H52" i="20"/>
  <c r="J48"/>
  <c r="E32" i="44"/>
  <c r="D32" i="42" s="1"/>
  <c r="E32" i="45"/>
  <c r="H32" i="42" s="1"/>
  <c r="C32" i="44"/>
  <c r="C32" i="42" s="1"/>
  <c r="I32" i="44"/>
  <c r="F32" i="42" s="1"/>
  <c r="C32" i="45"/>
  <c r="G32" i="42" s="1"/>
  <c r="G32" i="44"/>
  <c r="E32" i="42" s="1"/>
  <c r="C12" i="44"/>
  <c r="C12" i="42" s="1"/>
  <c r="I12" i="44"/>
  <c r="F12" i="42" s="1"/>
  <c r="C12" i="45"/>
  <c r="G12" i="42" s="1"/>
  <c r="E12" i="45"/>
  <c r="H12" i="42" s="1"/>
  <c r="E12" i="44"/>
  <c r="D12" i="42" s="1"/>
  <c r="G12" i="44"/>
  <c r="E12" i="42" s="1"/>
  <c r="D14" i="20"/>
  <c r="J48" i="28"/>
  <c r="D34" i="41"/>
  <c r="C34"/>
  <c r="D46"/>
  <c r="C46"/>
  <c r="D45"/>
  <c r="C45"/>
  <c r="D39"/>
  <c r="C39"/>
  <c r="D35"/>
  <c r="C35"/>
  <c r="G41" i="20"/>
  <c r="G33"/>
  <c r="G27"/>
  <c r="G15"/>
  <c r="D38" i="41"/>
  <c r="C38"/>
  <c r="D19"/>
  <c r="C19"/>
  <c r="G37" i="20"/>
  <c r="G25"/>
  <c r="G44"/>
  <c r="D48" i="26"/>
  <c r="E18" i="19"/>
  <c r="F18"/>
  <c r="D48" i="29"/>
  <c r="C33" i="41"/>
  <c r="D33"/>
  <c r="C29"/>
  <c r="D29"/>
  <c r="D22"/>
  <c r="C22"/>
  <c r="D14"/>
  <c r="C14"/>
  <c r="G46" i="76"/>
  <c r="C23" i="45"/>
  <c r="G23" i="42" s="1"/>
  <c r="I23" i="44"/>
  <c r="F23" i="42" s="1"/>
  <c r="C23" i="44"/>
  <c r="C23" i="42" s="1"/>
  <c r="G23" i="44"/>
  <c r="E23" i="42" s="1"/>
  <c r="E23" i="44"/>
  <c r="D23" i="42" s="1"/>
  <c r="E23" i="45"/>
  <c r="H23" i="42" s="1"/>
  <c r="G23" i="45"/>
  <c r="D41" i="5"/>
  <c r="F41" i="20" s="1"/>
  <c r="D32" i="5"/>
  <c r="H32" i="19" s="1"/>
  <c r="I11" i="90"/>
  <c r="G14" i="45"/>
  <c r="J36" i="42"/>
  <c r="J33"/>
  <c r="B48" i="41"/>
  <c r="C18" i="18"/>
  <c r="J48" i="26"/>
  <c r="I18" i="18"/>
  <c r="F48" i="45"/>
  <c r="I18" i="28"/>
  <c r="G18" i="36"/>
  <c r="E18"/>
  <c r="E18" i="34"/>
  <c r="D37" i="5"/>
  <c r="D21"/>
  <c r="D29"/>
  <c r="H29" i="19" s="1"/>
  <c r="D38" i="5"/>
  <c r="C18" i="19"/>
  <c r="F18" i="18"/>
  <c r="D48" i="27"/>
  <c r="D48" i="76" s="1"/>
  <c r="J24" i="42"/>
  <c r="I18" i="20"/>
  <c r="I37" i="90"/>
  <c r="J21" i="42"/>
  <c r="J15"/>
  <c r="J45"/>
  <c r="F18" i="20"/>
  <c r="B41" i="85"/>
  <c r="E41" s="1"/>
  <c r="D39" i="5"/>
  <c r="F39" i="20" s="1"/>
  <c r="D16" i="5"/>
  <c r="F16" s="1"/>
  <c r="D16" i="6" s="1"/>
  <c r="B18" i="85"/>
  <c r="E18" s="1"/>
  <c r="B35"/>
  <c r="E35" s="1"/>
  <c r="D33" i="5"/>
  <c r="J30" i="85"/>
  <c r="G30"/>
  <c r="J31"/>
  <c r="G31"/>
  <c r="J48"/>
  <c r="G48"/>
  <c r="E19" i="76"/>
  <c r="D19" i="54"/>
  <c r="B48"/>
  <c r="B27" i="85"/>
  <c r="E27" s="1"/>
  <c r="D25" i="5"/>
  <c r="F25" i="18" s="1"/>
  <c r="J23" i="85"/>
  <c r="G23"/>
  <c r="B36"/>
  <c r="E36" s="1"/>
  <c r="D34" i="5"/>
  <c r="F34" i="20" s="1"/>
  <c r="E48" i="54"/>
  <c r="G11"/>
  <c r="E11" i="76"/>
  <c r="F19" i="41"/>
  <c r="G19" s="1"/>
  <c r="E19" i="20"/>
  <c r="B17" i="85"/>
  <c r="E17" s="1"/>
  <c r="D15" i="5"/>
  <c r="F15" i="20" s="1"/>
  <c r="B24" i="85"/>
  <c r="E24" s="1"/>
  <c r="D22" i="5"/>
  <c r="B45" i="85"/>
  <c r="E45" s="1"/>
  <c r="D43" i="5"/>
  <c r="H43" i="19" s="1"/>
  <c r="J34" i="85"/>
  <c r="G34"/>
  <c r="B21"/>
  <c r="E21" s="1"/>
  <c r="D19" i="5"/>
  <c r="C19" i="54" s="1"/>
  <c r="J40" i="85"/>
  <c r="G40"/>
  <c r="B28"/>
  <c r="E28" s="1"/>
  <c r="D26" i="5"/>
  <c r="H26" i="19" s="1"/>
  <c r="D20" i="18"/>
  <c r="G51"/>
  <c r="F51"/>
  <c r="G38"/>
  <c r="I42" i="43"/>
  <c r="B42" i="42" s="1"/>
  <c r="C42" i="44"/>
  <c r="C42" i="42" s="1"/>
  <c r="E42" i="45"/>
  <c r="H42" i="42" s="1"/>
  <c r="G42" i="44"/>
  <c r="E42" i="42" s="1"/>
  <c r="I42" i="44"/>
  <c r="F42" i="42" s="1"/>
  <c r="E42" i="44"/>
  <c r="D42" i="42" s="1"/>
  <c r="C42" i="45"/>
  <c r="G42" i="42" s="1"/>
  <c r="G39" i="18"/>
  <c r="I31" i="19"/>
  <c r="I43"/>
  <c r="I14"/>
  <c r="I14" i="43"/>
  <c r="B14" i="42" s="1"/>
  <c r="I14" i="44"/>
  <c r="F14" i="42" s="1"/>
  <c r="C14" i="45"/>
  <c r="G14" i="42" s="1"/>
  <c r="E14" i="45"/>
  <c r="H14" i="42" s="1"/>
  <c r="G14" i="44"/>
  <c r="E14" i="42" s="1"/>
  <c r="G36" i="20"/>
  <c r="G34"/>
  <c r="F17"/>
  <c r="G17"/>
  <c r="I34" i="19"/>
  <c r="G14" i="76"/>
  <c r="I42" i="19"/>
  <c r="C18" i="20"/>
  <c r="D18"/>
  <c r="J48" i="10"/>
  <c r="I16" i="43"/>
  <c r="B16" i="42" s="1"/>
  <c r="G16" i="44"/>
  <c r="E16" i="42" s="1"/>
  <c r="E16" i="45"/>
  <c r="H16" i="42" s="1"/>
  <c r="E16" i="44"/>
  <c r="D16" i="42" s="1"/>
  <c r="C16" i="44"/>
  <c r="C16" i="42" s="1"/>
  <c r="C16" i="45"/>
  <c r="G16" i="42" s="1"/>
  <c r="G30" i="20"/>
  <c r="G42"/>
  <c r="H22" i="19"/>
  <c r="I22"/>
  <c r="I44"/>
  <c r="H18"/>
  <c r="I18"/>
  <c r="G48" i="8"/>
  <c r="G48" i="10"/>
  <c r="I40" i="19"/>
  <c r="D31" i="18"/>
  <c r="I26" i="43"/>
  <c r="B26" i="42" s="1"/>
  <c r="E26" i="45"/>
  <c r="H26" i="42" s="1"/>
  <c r="C26" i="45"/>
  <c r="G26" i="42" s="1"/>
  <c r="I26" i="44"/>
  <c r="F26" i="42" s="1"/>
  <c r="C26" i="44"/>
  <c r="C26" i="42" s="1"/>
  <c r="G26" i="44"/>
  <c r="E26" i="42" s="1"/>
  <c r="E26" i="44"/>
  <c r="D26" i="42" s="1"/>
  <c r="G41" i="76"/>
  <c r="G25" i="18"/>
  <c r="D21"/>
  <c r="F32" i="76"/>
  <c r="G32"/>
  <c r="I18" i="90"/>
  <c r="G18"/>
  <c r="G15"/>
  <c r="I15"/>
  <c r="G43"/>
  <c r="F48" i="39"/>
  <c r="D48"/>
  <c r="H48"/>
  <c r="E48" i="41"/>
  <c r="B48" i="43"/>
  <c r="F11"/>
  <c r="C22" i="44"/>
  <c r="C22" i="42" s="1"/>
  <c r="I22" i="44"/>
  <c r="F22" i="42" s="1"/>
  <c r="E22" i="44"/>
  <c r="D22" i="42" s="1"/>
  <c r="C22" i="45"/>
  <c r="G22" i="42" s="1"/>
  <c r="G22" i="44"/>
  <c r="E22" i="42" s="1"/>
  <c r="E22" i="45"/>
  <c r="H22" i="42" s="1"/>
  <c r="C38" i="45"/>
  <c r="G38" i="42" s="1"/>
  <c r="C38" i="44"/>
  <c r="C38" i="42" s="1"/>
  <c r="E38" i="45"/>
  <c r="H38" i="42" s="1"/>
  <c r="G38" i="44"/>
  <c r="E38" i="42" s="1"/>
  <c r="E38" i="44"/>
  <c r="D38" i="42" s="1"/>
  <c r="I38" i="44"/>
  <c r="F38" i="42" s="1"/>
  <c r="G38" i="45"/>
  <c r="C40"/>
  <c r="G40" i="42" s="1"/>
  <c r="E40" i="44"/>
  <c r="D40" i="42" s="1"/>
  <c r="G40" i="44"/>
  <c r="E40" i="42" s="1"/>
  <c r="I40" i="44"/>
  <c r="F40" i="42" s="1"/>
  <c r="C40" i="44"/>
  <c r="C40" i="42" s="1"/>
  <c r="E40" i="45"/>
  <c r="H40" i="42" s="1"/>
  <c r="G40" i="45"/>
  <c r="F26" i="76"/>
  <c r="G26"/>
  <c r="I45" i="19"/>
  <c r="D42" i="41"/>
  <c r="C42"/>
  <c r="G40" i="20"/>
  <c r="F40"/>
  <c r="G29"/>
  <c r="F29"/>
  <c r="G20"/>
  <c r="C30" i="41"/>
  <c r="D30"/>
  <c r="G35" i="20"/>
  <c r="G21"/>
  <c r="G13"/>
  <c r="F12" i="19"/>
  <c r="G11" i="41"/>
  <c r="D43"/>
  <c r="C43"/>
  <c r="D31"/>
  <c r="C31"/>
  <c r="D24"/>
  <c r="C24"/>
  <c r="D18"/>
  <c r="C18"/>
  <c r="D23" i="20"/>
  <c r="C23"/>
  <c r="F18" i="39"/>
  <c r="H18"/>
  <c r="D18"/>
  <c r="I21" i="18"/>
  <c r="E21" i="5"/>
  <c r="G48" i="29"/>
  <c r="G12" i="18"/>
  <c r="I26" i="19"/>
  <c r="G38" i="20"/>
  <c r="I27" i="19"/>
  <c r="I48" i="11"/>
  <c r="H38" i="19"/>
  <c r="I38"/>
  <c r="I15"/>
  <c r="I46"/>
  <c r="C46" i="45"/>
  <c r="G46" i="42" s="1"/>
  <c r="G46" i="44"/>
  <c r="E46" i="42" s="1"/>
  <c r="C46" i="44"/>
  <c r="C46" i="42" s="1"/>
  <c r="E46" i="45"/>
  <c r="H46" i="42" s="1"/>
  <c r="I46" i="44"/>
  <c r="F46" i="42" s="1"/>
  <c r="I46" i="43"/>
  <c r="B46" i="42" s="1"/>
  <c r="E46" i="44"/>
  <c r="D46" i="42" s="1"/>
  <c r="I41" i="43"/>
  <c r="B41" i="42" s="1"/>
  <c r="G41" i="44"/>
  <c r="E41" i="42" s="1"/>
  <c r="C41" i="45"/>
  <c r="G41" i="42" s="1"/>
  <c r="C41" i="44"/>
  <c r="C41" i="42" s="1"/>
  <c r="I41" i="44"/>
  <c r="F41" i="42" s="1"/>
  <c r="E41" i="45"/>
  <c r="H41" i="42" s="1"/>
  <c r="E41" i="44"/>
  <c r="D41" i="42" s="1"/>
  <c r="G32" i="90"/>
  <c r="I32"/>
  <c r="I36"/>
  <c r="G36"/>
  <c r="G14"/>
  <c r="G20" i="44"/>
  <c r="E20" i="42" s="1"/>
  <c r="C20" i="44"/>
  <c r="C20" i="42" s="1"/>
  <c r="E20" i="45"/>
  <c r="H20" i="42" s="1"/>
  <c r="C20" i="45"/>
  <c r="G20" i="42" s="1"/>
  <c r="E20" i="44"/>
  <c r="D20" i="42" s="1"/>
  <c r="I20" i="44"/>
  <c r="F20" i="42" s="1"/>
  <c r="D11" i="5"/>
  <c r="C48"/>
  <c r="G39" i="20"/>
  <c r="G32"/>
  <c r="G22"/>
  <c r="F22"/>
  <c r="G36" i="76"/>
  <c r="G20" i="18"/>
  <c r="F25" i="76"/>
  <c r="G25"/>
  <c r="E31" i="5"/>
  <c r="D44"/>
  <c r="F44" i="76" s="1"/>
  <c r="F18"/>
  <c r="I42" i="90"/>
  <c r="F38" i="5"/>
  <c r="B48" i="18"/>
  <c r="C14" i="44"/>
  <c r="C14" i="42" s="1"/>
  <c r="J30"/>
  <c r="J34"/>
  <c r="F36" i="5"/>
  <c r="D36" i="6" s="1"/>
  <c r="B48" i="20"/>
  <c r="J50" i="42"/>
  <c r="F18" i="5"/>
  <c r="D18" i="6" s="1"/>
  <c r="G19" i="45"/>
  <c r="D48" i="19"/>
  <c r="F48" s="1"/>
  <c r="C18" i="29"/>
  <c r="E11" i="20"/>
  <c r="I40" i="90"/>
  <c r="D31" i="5"/>
  <c r="D46"/>
  <c r="F46" i="76" s="1"/>
  <c r="D45" i="5"/>
  <c r="G13" i="45"/>
  <c r="G46"/>
  <c r="E14" i="44"/>
  <c r="D14" i="42" s="1"/>
  <c r="I32" i="43"/>
  <c r="B32" i="42" s="1"/>
  <c r="H48" i="18"/>
  <c r="I12" i="43"/>
  <c r="B12" i="42" s="1"/>
  <c r="J12" s="1"/>
  <c r="B48" i="40"/>
  <c r="D48" s="1"/>
  <c r="F39" i="5"/>
  <c r="D39" i="6" s="1"/>
  <c r="J35" i="42"/>
  <c r="G48" i="28"/>
  <c r="C18" i="26"/>
  <c r="D28" i="5"/>
  <c r="H28" i="19" s="1"/>
  <c r="J28" i="42"/>
  <c r="I14" i="90"/>
  <c r="E42" i="78"/>
  <c r="D14" i="5"/>
  <c r="F14" i="20" s="1"/>
  <c r="J23" i="42" l="1"/>
  <c r="J31"/>
  <c r="F32" i="20"/>
  <c r="F41" i="76"/>
  <c r="H46" i="19"/>
  <c r="F16" i="20"/>
  <c r="F14" i="5"/>
  <c r="D14" i="6" s="1"/>
  <c r="F14" s="1"/>
  <c r="J20" i="42"/>
  <c r="H15" i="19"/>
  <c r="F48" i="41"/>
  <c r="G48" s="1"/>
  <c r="J40" i="42"/>
  <c r="J38"/>
  <c r="J22"/>
  <c r="H34" i="19"/>
  <c r="H14"/>
  <c r="G19" i="36"/>
  <c r="J39" i="42"/>
  <c r="J13"/>
  <c r="H19" i="19"/>
  <c r="B14" i="85"/>
  <c r="E14" s="1"/>
  <c r="D12" i="5"/>
  <c r="I20" i="90"/>
  <c r="G20"/>
  <c r="F39" i="6"/>
  <c r="E39"/>
  <c r="C39" i="78" s="1"/>
  <c r="E14" i="6"/>
  <c r="C14" i="78" s="1"/>
  <c r="G23" i="90"/>
  <c r="I23"/>
  <c r="I41"/>
  <c r="G41"/>
  <c r="F45" i="18"/>
  <c r="F45" i="5"/>
  <c r="D45" i="6" s="1"/>
  <c r="C45" i="28"/>
  <c r="C45" i="34"/>
  <c r="I45" i="26"/>
  <c r="C45"/>
  <c r="C45" i="27"/>
  <c r="C45" i="76" s="1"/>
  <c r="F45" i="8"/>
  <c r="G45" i="34"/>
  <c r="C45" i="7"/>
  <c r="C45" i="11"/>
  <c r="F45" i="9"/>
  <c r="C45"/>
  <c r="E45" i="34"/>
  <c r="I45" i="10"/>
  <c r="C45" i="35"/>
  <c r="F45" i="28"/>
  <c r="F45" i="10"/>
  <c r="C45"/>
  <c r="F45" i="26"/>
  <c r="G45" i="25"/>
  <c r="C45" i="82"/>
  <c r="E45" i="38"/>
  <c r="E45" i="82"/>
  <c r="I45" i="25"/>
  <c r="H45" i="11"/>
  <c r="F45" i="54"/>
  <c r="F45" i="29"/>
  <c r="E45" i="11"/>
  <c r="E45" i="35"/>
  <c r="I45" i="9"/>
  <c r="I45" i="54"/>
  <c r="C45"/>
  <c r="E45" i="37"/>
  <c r="C45" i="8"/>
  <c r="C45" i="38"/>
  <c r="E45" i="19"/>
  <c r="C45" i="37"/>
  <c r="C45" i="25"/>
  <c r="I45" i="18"/>
  <c r="C45" i="36"/>
  <c r="E45" i="25"/>
  <c r="E45" i="36"/>
  <c r="C45" i="29"/>
  <c r="C45" i="86"/>
  <c r="I45" i="28"/>
  <c r="I45" i="20"/>
  <c r="F45" i="76"/>
  <c r="C45" i="19"/>
  <c r="C45" i="20"/>
  <c r="C45" i="18"/>
  <c r="G45" i="36"/>
  <c r="I31" i="25"/>
  <c r="F31" i="26"/>
  <c r="C31" i="9"/>
  <c r="F31" i="8"/>
  <c r="C31" i="35"/>
  <c r="E31" i="38"/>
  <c r="F31" i="28"/>
  <c r="C31"/>
  <c r="E31" i="25"/>
  <c r="F31" i="54"/>
  <c r="F31" i="10"/>
  <c r="C31"/>
  <c r="I31" i="54"/>
  <c r="C31" i="19"/>
  <c r="E31" i="11"/>
  <c r="I31" i="9"/>
  <c r="E31" i="82"/>
  <c r="C31" i="7"/>
  <c r="C31" i="25"/>
  <c r="C31" i="29"/>
  <c r="H31" i="11"/>
  <c r="G31" i="34"/>
  <c r="C31" i="54"/>
  <c r="I31" i="28"/>
  <c r="E31" i="34"/>
  <c r="C31" i="26"/>
  <c r="C31" i="27"/>
  <c r="C31" i="76" s="1"/>
  <c r="C31" i="38"/>
  <c r="C31" i="36"/>
  <c r="E31" i="37"/>
  <c r="C31" i="34"/>
  <c r="E31" i="35"/>
  <c r="I31" i="10"/>
  <c r="C31" i="8"/>
  <c r="G31" i="25"/>
  <c r="F31" i="18"/>
  <c r="F31" i="76"/>
  <c r="G31" i="36"/>
  <c r="I31" i="26"/>
  <c r="C31" i="86"/>
  <c r="I31" i="20"/>
  <c r="C31" i="82"/>
  <c r="E31" i="36"/>
  <c r="F31" i="29"/>
  <c r="C31" i="20"/>
  <c r="C31" i="37"/>
  <c r="F31" i="9"/>
  <c r="C31" i="11"/>
  <c r="F11" i="20"/>
  <c r="E48"/>
  <c r="G11"/>
  <c r="B52"/>
  <c r="D48"/>
  <c r="B53"/>
  <c r="E36" i="6"/>
  <c r="C36" i="78" s="1"/>
  <c r="F36" i="6"/>
  <c r="E38" i="90"/>
  <c r="D38" i="6"/>
  <c r="G12" i="90"/>
  <c r="I12"/>
  <c r="G25"/>
  <c r="F11" i="5"/>
  <c r="F11" i="26"/>
  <c r="C11" i="35"/>
  <c r="G11" i="34"/>
  <c r="C11" i="9"/>
  <c r="C11" i="34"/>
  <c r="E11" i="11"/>
  <c r="C11" i="27"/>
  <c r="C11" i="76" s="1"/>
  <c r="I11" i="25"/>
  <c r="E11"/>
  <c r="F11" i="28"/>
  <c r="F11" i="9"/>
  <c r="C11" i="26"/>
  <c r="C11" i="7"/>
  <c r="E11" i="38"/>
  <c r="C11" i="10"/>
  <c r="G11" i="25"/>
  <c r="C11" i="11"/>
  <c r="E11" i="34"/>
  <c r="C11" i="38"/>
  <c r="E11" i="36"/>
  <c r="H11" i="11"/>
  <c r="E11" i="35"/>
  <c r="C11" i="54"/>
  <c r="C11" i="8"/>
  <c r="I11" i="9"/>
  <c r="E11" i="82"/>
  <c r="I11" i="10"/>
  <c r="C11" i="86"/>
  <c r="F11" i="8"/>
  <c r="I11" i="26"/>
  <c r="C11" i="82"/>
  <c r="F11" i="10"/>
  <c r="C11" i="28"/>
  <c r="C11" i="37"/>
  <c r="C11" i="29"/>
  <c r="I11" i="28"/>
  <c r="I11" i="20"/>
  <c r="G11" i="36"/>
  <c r="C11" i="18"/>
  <c r="F11"/>
  <c r="C11" i="19"/>
  <c r="I11" i="18"/>
  <c r="F11" i="29"/>
  <c r="E11" i="37"/>
  <c r="C11" i="25"/>
  <c r="E11" i="19"/>
  <c r="C11" i="20"/>
  <c r="H11" i="43"/>
  <c r="F48"/>
  <c r="J28" i="85"/>
  <c r="G28"/>
  <c r="J21"/>
  <c r="G21"/>
  <c r="J45"/>
  <c r="G45"/>
  <c r="J24"/>
  <c r="G24"/>
  <c r="J17"/>
  <c r="G17"/>
  <c r="F11" i="76"/>
  <c r="E48"/>
  <c r="G11"/>
  <c r="I34" i="25"/>
  <c r="C34" i="34"/>
  <c r="I34" i="26"/>
  <c r="C34"/>
  <c r="C34" i="11"/>
  <c r="E34" i="25"/>
  <c r="F34" i="10"/>
  <c r="I34" i="9"/>
  <c r="E34" i="11"/>
  <c r="C34" i="27"/>
  <c r="C34" i="76" s="1"/>
  <c r="C34" i="82"/>
  <c r="E34" i="38"/>
  <c r="C34" i="25"/>
  <c r="C34" i="10"/>
  <c r="I34"/>
  <c r="E34" i="35"/>
  <c r="G34" i="25"/>
  <c r="C34" i="35"/>
  <c r="C34" i="7"/>
  <c r="F34" i="9"/>
  <c r="C34"/>
  <c r="C34" i="36"/>
  <c r="E34" i="82"/>
  <c r="C34" i="8"/>
  <c r="F34" i="28"/>
  <c r="E34" i="34"/>
  <c r="C34" i="38"/>
  <c r="I34" i="54"/>
  <c r="F34"/>
  <c r="G34" i="36"/>
  <c r="E34" i="37"/>
  <c r="C34" i="28"/>
  <c r="F34" i="29"/>
  <c r="F34" i="8"/>
  <c r="C34" i="19"/>
  <c r="C34" i="54"/>
  <c r="H34" i="11"/>
  <c r="F34" i="26"/>
  <c r="G34" i="34"/>
  <c r="E34" i="36"/>
  <c r="E34" i="19"/>
  <c r="I34" i="18"/>
  <c r="I34" i="20"/>
  <c r="C34" i="37"/>
  <c r="C34" i="86"/>
  <c r="C34" i="29"/>
  <c r="I34" i="28"/>
  <c r="C34" i="20"/>
  <c r="F34" i="18"/>
  <c r="F34" i="76"/>
  <c r="C34" i="18"/>
  <c r="C25" i="7"/>
  <c r="C25" i="34"/>
  <c r="E25"/>
  <c r="C25" i="11"/>
  <c r="I25" i="25"/>
  <c r="F25" i="26"/>
  <c r="I25" i="10"/>
  <c r="C25" i="82"/>
  <c r="I25" i="26"/>
  <c r="C25"/>
  <c r="C25" i="9"/>
  <c r="F25" i="10"/>
  <c r="E25" i="11"/>
  <c r="E25" i="38"/>
  <c r="C25" i="35"/>
  <c r="F25" i="9"/>
  <c r="C25" i="10"/>
  <c r="C25" i="27"/>
  <c r="C25" i="76" s="1"/>
  <c r="E25" i="35"/>
  <c r="G25" i="34"/>
  <c r="E25" i="82"/>
  <c r="E25" i="25"/>
  <c r="G25" i="36"/>
  <c r="F25" i="28"/>
  <c r="F25" i="8"/>
  <c r="I25" i="9"/>
  <c r="E25" i="36"/>
  <c r="H25" i="11"/>
  <c r="C25" i="20"/>
  <c r="I25" i="18"/>
  <c r="F25" i="54"/>
  <c r="C25" i="28"/>
  <c r="C25" i="25"/>
  <c r="G25"/>
  <c r="C25" i="38"/>
  <c r="I25" i="54"/>
  <c r="I25" i="28"/>
  <c r="C25" i="8"/>
  <c r="E25" i="19"/>
  <c r="C25" i="36"/>
  <c r="E25" i="37"/>
  <c r="F25" i="5"/>
  <c r="D25" i="6" s="1"/>
  <c r="F25" i="29"/>
  <c r="C25" i="54"/>
  <c r="C25" i="86"/>
  <c r="C25" i="29"/>
  <c r="C25" i="18"/>
  <c r="C25" i="37"/>
  <c r="C25" i="19"/>
  <c r="I25" i="20"/>
  <c r="D48" i="54"/>
  <c r="F33" i="5"/>
  <c r="D33" i="6" s="1"/>
  <c r="F33" i="26"/>
  <c r="E33" i="34"/>
  <c r="C33" i="35"/>
  <c r="C33" i="11"/>
  <c r="C33" i="34"/>
  <c r="C33" i="26"/>
  <c r="C33" i="9"/>
  <c r="I33" i="10"/>
  <c r="E33" i="25"/>
  <c r="F33" i="10"/>
  <c r="E33" i="82"/>
  <c r="I33" i="25"/>
  <c r="E33" i="11"/>
  <c r="E33" i="38"/>
  <c r="C33" i="27"/>
  <c r="C33" i="76" s="1"/>
  <c r="I33" i="26"/>
  <c r="G33" i="25"/>
  <c r="C33"/>
  <c r="F33" i="54"/>
  <c r="I33" i="28"/>
  <c r="G33" i="36"/>
  <c r="C33" i="8"/>
  <c r="C33" i="37"/>
  <c r="I33" i="9"/>
  <c r="F33" i="28"/>
  <c r="E33" i="35"/>
  <c r="C33" i="36"/>
  <c r="F33" i="9"/>
  <c r="F33" i="29"/>
  <c r="C33" i="86"/>
  <c r="C33" i="54"/>
  <c r="C33" i="10"/>
  <c r="I33" i="54"/>
  <c r="H33" i="11"/>
  <c r="C33" i="38"/>
  <c r="C33" i="7"/>
  <c r="F33" i="8"/>
  <c r="G33" i="34"/>
  <c r="C33" i="28"/>
  <c r="E33" i="19"/>
  <c r="C33" i="82"/>
  <c r="E33" i="36"/>
  <c r="E33" i="37"/>
  <c r="C33" i="20"/>
  <c r="C33" i="29"/>
  <c r="I33" i="18"/>
  <c r="C33"/>
  <c r="F33"/>
  <c r="C33" i="19"/>
  <c r="F33" i="76"/>
  <c r="I33" i="20"/>
  <c r="J18" i="85"/>
  <c r="G18"/>
  <c r="C39" i="34"/>
  <c r="C39" i="8"/>
  <c r="G39" i="34"/>
  <c r="E39" i="38"/>
  <c r="E39" i="25"/>
  <c r="C39" i="26"/>
  <c r="F39" i="28"/>
  <c r="E39" i="11"/>
  <c r="C39" i="35"/>
  <c r="C39" i="9"/>
  <c r="C39" i="11"/>
  <c r="C39" i="7"/>
  <c r="C39" i="82"/>
  <c r="I39" i="26"/>
  <c r="F39"/>
  <c r="I39" i="25"/>
  <c r="E39" i="34"/>
  <c r="I39" i="9"/>
  <c r="C39" i="54"/>
  <c r="H39" i="11"/>
  <c r="I39" i="10"/>
  <c r="C39" i="38"/>
  <c r="C39" i="36"/>
  <c r="C39" i="37"/>
  <c r="C39" i="25"/>
  <c r="C39" i="10"/>
  <c r="F39" i="54"/>
  <c r="I39"/>
  <c r="E39" i="35"/>
  <c r="F39" i="9"/>
  <c r="E39" i="82"/>
  <c r="F39" i="8"/>
  <c r="C39" i="28"/>
  <c r="C39" i="27"/>
  <c r="C39" i="76" s="1"/>
  <c r="G39" i="25"/>
  <c r="E39" i="36"/>
  <c r="C39" i="18"/>
  <c r="C39" i="29"/>
  <c r="F39" i="76"/>
  <c r="F39" i="10"/>
  <c r="F39" i="29"/>
  <c r="E39" i="37"/>
  <c r="I39" i="28"/>
  <c r="I39" i="18"/>
  <c r="I39" i="20"/>
  <c r="G39" i="36"/>
  <c r="C39" i="86"/>
  <c r="E39" i="19"/>
  <c r="C39" i="20"/>
  <c r="C39" i="19"/>
  <c r="E16" i="6"/>
  <c r="C16" i="78" s="1"/>
  <c r="F16" i="6"/>
  <c r="I45" i="90"/>
  <c r="G45"/>
  <c r="I24"/>
  <c r="G24"/>
  <c r="F38" i="28"/>
  <c r="E38" i="82"/>
  <c r="I38" i="25"/>
  <c r="C38" i="7"/>
  <c r="F38" i="10"/>
  <c r="I38" i="9"/>
  <c r="C38" i="27"/>
  <c r="C38" i="76" s="1"/>
  <c r="I38" i="26"/>
  <c r="E38" i="11"/>
  <c r="I38" i="10"/>
  <c r="E38" i="34"/>
  <c r="G38" i="25"/>
  <c r="E38"/>
  <c r="F38" i="9"/>
  <c r="E38" i="38"/>
  <c r="C38" i="10"/>
  <c r="C38" i="34"/>
  <c r="C38" i="26"/>
  <c r="E38" i="35"/>
  <c r="C38" i="9"/>
  <c r="C38" i="25"/>
  <c r="C38" i="35"/>
  <c r="C38" i="11"/>
  <c r="G38" i="34"/>
  <c r="I38" i="54"/>
  <c r="H38" i="11"/>
  <c r="F38" i="54"/>
  <c r="E38" i="37"/>
  <c r="F38" i="8"/>
  <c r="C38" i="28"/>
  <c r="C38" i="8"/>
  <c r="C38" i="38"/>
  <c r="C38" i="36"/>
  <c r="C38" i="82"/>
  <c r="F38" i="26"/>
  <c r="C38" i="19"/>
  <c r="C38" i="54"/>
  <c r="C38" i="20"/>
  <c r="G38" i="36"/>
  <c r="E38"/>
  <c r="C38" i="86"/>
  <c r="I38" i="28"/>
  <c r="I38" i="20"/>
  <c r="C38" i="18"/>
  <c r="C38" i="37"/>
  <c r="C38" i="29"/>
  <c r="F38"/>
  <c r="E38" i="19"/>
  <c r="F38" i="76"/>
  <c r="I38" i="18"/>
  <c r="I21" i="9"/>
  <c r="I21" i="25"/>
  <c r="C21" i="34"/>
  <c r="C21" i="27"/>
  <c r="C21" i="76" s="1"/>
  <c r="G21" i="25"/>
  <c r="C21" i="82"/>
  <c r="E21" i="38"/>
  <c r="C21" i="25"/>
  <c r="G21" i="34"/>
  <c r="I21" i="10"/>
  <c r="F21" i="26"/>
  <c r="C21"/>
  <c r="C21" i="9"/>
  <c r="C21" i="8"/>
  <c r="E21" i="34"/>
  <c r="C21" i="35"/>
  <c r="F21" i="9"/>
  <c r="I21" i="26"/>
  <c r="E21" i="35"/>
  <c r="E21" i="25"/>
  <c r="C21" i="10"/>
  <c r="C21" i="86"/>
  <c r="F21" i="10"/>
  <c r="G21" i="36"/>
  <c r="E21" i="11"/>
  <c r="C21" i="19"/>
  <c r="C21" i="28"/>
  <c r="C21" i="20"/>
  <c r="E21" i="19"/>
  <c r="C21" i="36"/>
  <c r="C21" i="11"/>
  <c r="C21" i="54"/>
  <c r="I21"/>
  <c r="E21" i="36"/>
  <c r="H21" i="11"/>
  <c r="C21" i="38"/>
  <c r="F21" i="54"/>
  <c r="F21" i="28"/>
  <c r="F21" i="8"/>
  <c r="F21" i="18"/>
  <c r="F21" i="29"/>
  <c r="I21" i="28"/>
  <c r="I21" i="20"/>
  <c r="F21" i="76"/>
  <c r="H21" i="19"/>
  <c r="C21" i="7"/>
  <c r="E21" i="82"/>
  <c r="C21" i="29"/>
  <c r="E21" i="37"/>
  <c r="C21"/>
  <c r="I35" i="90"/>
  <c r="G35"/>
  <c r="I33"/>
  <c r="G33"/>
  <c r="C12" i="19"/>
  <c r="E12" i="5"/>
  <c r="B48" i="19"/>
  <c r="I48"/>
  <c r="E36"/>
  <c r="F36" i="10"/>
  <c r="I36" i="9"/>
  <c r="G36" i="25"/>
  <c r="I36" i="54"/>
  <c r="C36" i="27"/>
  <c r="C36" i="76" s="1"/>
  <c r="F36" i="26"/>
  <c r="C36" i="35"/>
  <c r="G36" i="34"/>
  <c r="F36" i="9"/>
  <c r="C36" i="26"/>
  <c r="I36" i="25"/>
  <c r="I36" i="26"/>
  <c r="E36" i="11"/>
  <c r="E36" i="35"/>
  <c r="C36" i="11"/>
  <c r="E36" i="82"/>
  <c r="E36" i="38"/>
  <c r="C36" i="28"/>
  <c r="F36" i="29"/>
  <c r="C36" i="34"/>
  <c r="E36" i="25"/>
  <c r="C36" i="7"/>
  <c r="I36" i="28"/>
  <c r="C36" i="86"/>
  <c r="F36" i="28"/>
  <c r="E36" i="34"/>
  <c r="C36" i="37"/>
  <c r="F36" i="54"/>
  <c r="I36" i="10"/>
  <c r="C36" i="38"/>
  <c r="C36" i="25"/>
  <c r="C36" i="10"/>
  <c r="E36" i="36"/>
  <c r="E36" i="37"/>
  <c r="C36" i="9"/>
  <c r="C36" i="8"/>
  <c r="C36" i="36"/>
  <c r="H36" i="11"/>
  <c r="C36" i="82"/>
  <c r="F36" i="8"/>
  <c r="I36" i="20"/>
  <c r="C36" i="19"/>
  <c r="F36" i="18"/>
  <c r="C36" i="54"/>
  <c r="C36" i="20"/>
  <c r="G36" i="36"/>
  <c r="C36" i="29"/>
  <c r="I36" i="18"/>
  <c r="C36"/>
  <c r="F40" i="5"/>
  <c r="I40" i="26"/>
  <c r="C40" i="82"/>
  <c r="C40" i="25"/>
  <c r="C40" i="35"/>
  <c r="C40" i="7"/>
  <c r="F40" i="9"/>
  <c r="E40" i="25"/>
  <c r="E40" i="82"/>
  <c r="E40" i="35"/>
  <c r="F40" i="26"/>
  <c r="I40" i="9"/>
  <c r="E40" i="38"/>
  <c r="F40" i="10"/>
  <c r="C40"/>
  <c r="C40" i="27"/>
  <c r="C40" i="76" s="1"/>
  <c r="E40" i="34"/>
  <c r="C40" i="26"/>
  <c r="F40" i="8"/>
  <c r="C40" i="34"/>
  <c r="E40" i="19"/>
  <c r="C40" i="36"/>
  <c r="G40" i="34"/>
  <c r="H40" i="11"/>
  <c r="F40" i="54"/>
  <c r="C40" i="28"/>
  <c r="F40"/>
  <c r="C40" i="38"/>
  <c r="C40" i="37"/>
  <c r="G40" i="25"/>
  <c r="I40" i="18"/>
  <c r="I40" i="54"/>
  <c r="F40" i="18"/>
  <c r="C40" i="54"/>
  <c r="C40" i="8"/>
  <c r="F40" i="29"/>
  <c r="C40" i="11"/>
  <c r="C40" i="86"/>
  <c r="C40" i="9"/>
  <c r="I40" i="25"/>
  <c r="I40" i="10"/>
  <c r="E40" i="11"/>
  <c r="G40" i="36"/>
  <c r="C40" i="20"/>
  <c r="E40" i="36"/>
  <c r="C40" i="29"/>
  <c r="I40" i="20"/>
  <c r="F40" i="76"/>
  <c r="E40" i="37"/>
  <c r="I40" i="28"/>
  <c r="C40" i="18"/>
  <c r="C40" i="19"/>
  <c r="J52" i="85"/>
  <c r="G52"/>
  <c r="J48" i="54"/>
  <c r="E30" i="82"/>
  <c r="I30" i="10"/>
  <c r="F30" i="28"/>
  <c r="C30" i="9"/>
  <c r="C30" i="25"/>
  <c r="E30" i="38"/>
  <c r="C30" i="26"/>
  <c r="C30" i="28"/>
  <c r="E30" i="34"/>
  <c r="C30" i="82"/>
  <c r="C30" i="7"/>
  <c r="F30" i="9"/>
  <c r="C30" i="11"/>
  <c r="E30" i="25"/>
  <c r="C30" i="34"/>
  <c r="F30" i="10"/>
  <c r="C30" i="8"/>
  <c r="G30" i="34"/>
  <c r="F30" i="8"/>
  <c r="C30" i="10"/>
  <c r="C30" i="27"/>
  <c r="C30" i="76" s="1"/>
  <c r="I30" i="26"/>
  <c r="E30" i="11"/>
  <c r="G30" i="25"/>
  <c r="C30" i="35"/>
  <c r="I30" i="9"/>
  <c r="F30" i="54"/>
  <c r="C30" i="29"/>
  <c r="C30" i="86"/>
  <c r="H30" i="11"/>
  <c r="E30" i="35"/>
  <c r="F30" i="26"/>
  <c r="C30" i="38"/>
  <c r="C30" i="36"/>
  <c r="C30" i="54"/>
  <c r="I30" i="25"/>
  <c r="I30" i="54"/>
  <c r="C30" i="18"/>
  <c r="I30"/>
  <c r="G30" i="36"/>
  <c r="E30" i="37"/>
  <c r="I30" i="20"/>
  <c r="F30" i="29"/>
  <c r="I30" i="28"/>
  <c r="F30" i="76"/>
  <c r="F30" i="5"/>
  <c r="C30" i="19"/>
  <c r="C30" i="20"/>
  <c r="E30" i="36"/>
  <c r="F30" i="18"/>
  <c r="E30" i="19"/>
  <c r="C30" i="37"/>
  <c r="F17" i="10"/>
  <c r="C17" i="34"/>
  <c r="C17" i="27"/>
  <c r="C17" i="76" s="1"/>
  <c r="F17" i="26"/>
  <c r="G17" i="34"/>
  <c r="E17" i="11"/>
  <c r="I17" i="25"/>
  <c r="E17" i="35"/>
  <c r="F17" i="9"/>
  <c r="C17" i="82"/>
  <c r="I17" i="9"/>
  <c r="C17" i="26"/>
  <c r="C17" i="9"/>
  <c r="I17" i="10"/>
  <c r="F17" i="28"/>
  <c r="E17" i="25"/>
  <c r="E17" i="38"/>
  <c r="I17" i="26"/>
  <c r="E17" i="82"/>
  <c r="C17" i="35"/>
  <c r="C17" i="11"/>
  <c r="F17" i="54"/>
  <c r="C17" i="10"/>
  <c r="G17" i="36"/>
  <c r="C17" i="28"/>
  <c r="E17" i="34"/>
  <c r="I17" i="18"/>
  <c r="C17" i="7"/>
  <c r="C17" i="54"/>
  <c r="I17"/>
  <c r="C17" i="19"/>
  <c r="E17" i="37"/>
  <c r="C17" i="38"/>
  <c r="C17" i="36"/>
  <c r="F17" i="8"/>
  <c r="C17" i="25"/>
  <c r="E17" i="36"/>
  <c r="C17" i="8"/>
  <c r="E17" i="19"/>
  <c r="G17" i="25"/>
  <c r="C17" i="18"/>
  <c r="C17" i="37"/>
  <c r="C17" i="29"/>
  <c r="C17" i="86"/>
  <c r="I17" i="20"/>
  <c r="H17" i="19"/>
  <c r="F17" i="18"/>
  <c r="F17" i="76"/>
  <c r="F17" i="5"/>
  <c r="D17" i="6" s="1"/>
  <c r="F17" i="29"/>
  <c r="H17" i="11"/>
  <c r="I17" i="28"/>
  <c r="C17" i="20"/>
  <c r="F23" i="5"/>
  <c r="D23" i="6" s="1"/>
  <c r="I23" i="26"/>
  <c r="C23" i="35"/>
  <c r="F23" i="9"/>
  <c r="E23" i="38"/>
  <c r="I23" i="10"/>
  <c r="E23" i="34"/>
  <c r="F23" i="28"/>
  <c r="E23" i="82"/>
  <c r="C23" i="9"/>
  <c r="C23" i="82"/>
  <c r="I23" i="9"/>
  <c r="C23" i="11"/>
  <c r="C23" i="34"/>
  <c r="C23" i="26"/>
  <c r="E23" i="11"/>
  <c r="E23" i="35"/>
  <c r="G23" i="25"/>
  <c r="E23"/>
  <c r="F23" i="26"/>
  <c r="C23" i="25"/>
  <c r="C23" i="10"/>
  <c r="C23" i="29"/>
  <c r="E23" i="36"/>
  <c r="I23" i="25"/>
  <c r="C23" i="7"/>
  <c r="I23" i="18"/>
  <c r="F23" i="10"/>
  <c r="C23" i="8"/>
  <c r="C23" i="28"/>
  <c r="I23" i="54"/>
  <c r="F23"/>
  <c r="E23" i="37"/>
  <c r="H23" i="11"/>
  <c r="C23" i="27"/>
  <c r="C23" i="76" s="1"/>
  <c r="F23" i="8"/>
  <c r="C23" i="38"/>
  <c r="C23" i="86"/>
  <c r="G23" i="36"/>
  <c r="F23" i="29"/>
  <c r="C23" i="36"/>
  <c r="I23" i="28"/>
  <c r="C23" i="54"/>
  <c r="E23" i="19"/>
  <c r="C23" i="37"/>
  <c r="C23" i="19"/>
  <c r="G23" i="34"/>
  <c r="I23" i="20"/>
  <c r="C23" i="18"/>
  <c r="F23"/>
  <c r="F35" i="9"/>
  <c r="F35" i="5"/>
  <c r="D35" i="6" s="1"/>
  <c r="I35" i="25"/>
  <c r="E35" i="82"/>
  <c r="F35" i="28"/>
  <c r="C35" i="25"/>
  <c r="E35"/>
  <c r="E35" i="38"/>
  <c r="C35" i="26"/>
  <c r="E35" i="34"/>
  <c r="E35" i="11"/>
  <c r="G35" i="25"/>
  <c r="C35" i="82"/>
  <c r="C35" i="9"/>
  <c r="I35" i="10"/>
  <c r="C35" i="35"/>
  <c r="F35" i="10"/>
  <c r="C35" i="34"/>
  <c r="I35" i="26"/>
  <c r="F35"/>
  <c r="C35" i="8"/>
  <c r="C35" i="11"/>
  <c r="G35" i="34"/>
  <c r="C35" i="54"/>
  <c r="I35" i="28"/>
  <c r="H35" i="11"/>
  <c r="E35" i="35"/>
  <c r="C35" i="27"/>
  <c r="C35" i="76" s="1"/>
  <c r="C35" i="38"/>
  <c r="C35" i="19"/>
  <c r="C35" i="36"/>
  <c r="I35" i="54"/>
  <c r="C35" i="10"/>
  <c r="F35" i="54"/>
  <c r="G35" i="36"/>
  <c r="C35" i="28"/>
  <c r="I35" i="18"/>
  <c r="C35" i="37"/>
  <c r="I35" i="9"/>
  <c r="F35" i="8"/>
  <c r="C35" i="7"/>
  <c r="C35" i="29"/>
  <c r="E35" i="36"/>
  <c r="C35" i="86"/>
  <c r="I35" i="20"/>
  <c r="F35" i="76"/>
  <c r="E35" i="19"/>
  <c r="C35" i="20"/>
  <c r="F35" i="29"/>
  <c r="E35" i="37"/>
  <c r="C35" i="18"/>
  <c r="D48" i="10"/>
  <c r="F14"/>
  <c r="C14" i="11"/>
  <c r="E14" i="38"/>
  <c r="C14" i="26"/>
  <c r="C14" i="28"/>
  <c r="C14" i="9"/>
  <c r="G14" i="25"/>
  <c r="C14" i="7"/>
  <c r="E14" i="35"/>
  <c r="I14" i="9"/>
  <c r="I14" i="26"/>
  <c r="E14" i="34"/>
  <c r="C14" i="25"/>
  <c r="C14" i="10"/>
  <c r="C14" i="54"/>
  <c r="C14" i="27"/>
  <c r="C14" i="76" s="1"/>
  <c r="I14" i="10"/>
  <c r="C14" i="37"/>
  <c r="C14" i="34"/>
  <c r="I14" i="25"/>
  <c r="E14" i="11"/>
  <c r="F14" i="26"/>
  <c r="C14" i="38"/>
  <c r="C14" i="36"/>
  <c r="F14" i="9"/>
  <c r="E14" i="82"/>
  <c r="I14" i="54"/>
  <c r="G14" i="36"/>
  <c r="H14" i="11"/>
  <c r="C14" i="8"/>
  <c r="C14" i="82"/>
  <c r="E14" i="25"/>
  <c r="F14" i="8"/>
  <c r="G14" i="34"/>
  <c r="E14" i="37"/>
  <c r="F14" i="28"/>
  <c r="E14" i="36"/>
  <c r="I14" i="28"/>
  <c r="C14" i="29"/>
  <c r="C14" i="35"/>
  <c r="I14" i="20"/>
  <c r="I14" i="18"/>
  <c r="F14"/>
  <c r="F14" i="54"/>
  <c r="C14" i="19"/>
  <c r="F14" i="29"/>
  <c r="C14" i="86"/>
  <c r="E14" i="19"/>
  <c r="C14" i="18"/>
  <c r="B29" i="85"/>
  <c r="E29" s="1"/>
  <c r="D27" i="5"/>
  <c r="B15" i="85"/>
  <c r="E15" s="1"/>
  <c r="D13" i="5"/>
  <c r="B26" i="85"/>
  <c r="E26" s="1"/>
  <c r="D24" i="5"/>
  <c r="B22" i="85"/>
  <c r="E22" s="1"/>
  <c r="D20" i="5"/>
  <c r="B44" i="85"/>
  <c r="E44" s="1"/>
  <c r="D42" i="5"/>
  <c r="F28" i="54"/>
  <c r="F28" i="5"/>
  <c r="F28" i="10"/>
  <c r="E28" i="82"/>
  <c r="G28" i="25"/>
  <c r="C28" i="7"/>
  <c r="I28" i="9"/>
  <c r="E28" i="38"/>
  <c r="I28" i="25"/>
  <c r="C28" i="27"/>
  <c r="C28" i="76" s="1"/>
  <c r="C28" i="26"/>
  <c r="E28" i="25"/>
  <c r="C28" i="35"/>
  <c r="C28" i="82"/>
  <c r="F28" i="26"/>
  <c r="I28" i="10"/>
  <c r="C28" i="34"/>
  <c r="G28"/>
  <c r="E28" i="11"/>
  <c r="I28" i="26"/>
  <c r="C28" i="11"/>
  <c r="F28" i="9"/>
  <c r="I28" i="28"/>
  <c r="C28" i="54"/>
  <c r="H28" i="11"/>
  <c r="E28" i="37"/>
  <c r="E28" i="34"/>
  <c r="C28" i="37"/>
  <c r="F28" i="8"/>
  <c r="C28" i="29"/>
  <c r="C28" i="28"/>
  <c r="E28" i="35"/>
  <c r="F28" i="28"/>
  <c r="C28" i="38"/>
  <c r="C28" i="10"/>
  <c r="I28" i="54"/>
  <c r="E28" i="36"/>
  <c r="G28"/>
  <c r="C28" i="9"/>
  <c r="E28" i="19"/>
  <c r="C28" i="25"/>
  <c r="C28" i="8"/>
  <c r="I28" i="18"/>
  <c r="C28" i="36"/>
  <c r="C28" i="86"/>
  <c r="F28" i="29"/>
  <c r="I28" i="20"/>
  <c r="F28" i="76"/>
  <c r="C28" i="18"/>
  <c r="C28" i="20"/>
  <c r="F28"/>
  <c r="C28" i="19"/>
  <c r="F46" i="28"/>
  <c r="E46" i="82"/>
  <c r="E46" i="11"/>
  <c r="G46" i="25"/>
  <c r="C46" i="35"/>
  <c r="E46" i="38"/>
  <c r="C46" i="27"/>
  <c r="C46" i="76" s="1"/>
  <c r="C46" i="34"/>
  <c r="I46" i="26"/>
  <c r="C46"/>
  <c r="I46" i="9"/>
  <c r="E46" i="34"/>
  <c r="C46" i="7"/>
  <c r="G46" i="34"/>
  <c r="C46" i="82"/>
  <c r="E46" i="25"/>
  <c r="I46"/>
  <c r="E46" i="35"/>
  <c r="C46" i="25"/>
  <c r="F46" i="9"/>
  <c r="C46" i="10"/>
  <c r="H46" i="11"/>
  <c r="F46" i="26"/>
  <c r="C46" i="8"/>
  <c r="C46" i="38"/>
  <c r="F46" i="8"/>
  <c r="C46" i="11"/>
  <c r="F46" i="10"/>
  <c r="I46" i="28"/>
  <c r="F46" i="54"/>
  <c r="I46"/>
  <c r="C46" i="9"/>
  <c r="I46" i="10"/>
  <c r="I46" i="18"/>
  <c r="E46" i="37"/>
  <c r="C46" i="28"/>
  <c r="C46" i="20"/>
  <c r="C46" i="19"/>
  <c r="C46" i="36"/>
  <c r="F46" i="18"/>
  <c r="C46" i="54"/>
  <c r="E46" i="36"/>
  <c r="C46" i="29"/>
  <c r="E46" i="19"/>
  <c r="I46" i="20"/>
  <c r="C46" i="18"/>
  <c r="C46" i="37"/>
  <c r="F46" i="29"/>
  <c r="C46" i="86"/>
  <c r="G46" i="36"/>
  <c r="F46" i="5"/>
  <c r="E18" i="6"/>
  <c r="C18" i="78" s="1"/>
  <c r="F18" i="6"/>
  <c r="G17" i="90"/>
  <c r="I17"/>
  <c r="E17"/>
  <c r="D48" i="18"/>
  <c r="G21" i="90"/>
  <c r="I21"/>
  <c r="F44" i="5"/>
  <c r="E44" i="11"/>
  <c r="C44" i="25"/>
  <c r="E44" i="82"/>
  <c r="F44" i="9"/>
  <c r="I44"/>
  <c r="G44" i="34"/>
  <c r="E44" i="38"/>
  <c r="I44" i="26"/>
  <c r="C44"/>
  <c r="I44" i="25"/>
  <c r="F44" i="26"/>
  <c r="G44" i="25"/>
  <c r="F44" i="28"/>
  <c r="I44" i="10"/>
  <c r="E44" i="35"/>
  <c r="C44" i="34"/>
  <c r="C44" i="35"/>
  <c r="E44" i="25"/>
  <c r="C44" i="82"/>
  <c r="C44" i="8"/>
  <c r="C44" i="7"/>
  <c r="C44" i="27"/>
  <c r="C44" i="76" s="1"/>
  <c r="F44" i="54"/>
  <c r="F44" i="10"/>
  <c r="C44"/>
  <c r="C44" i="86"/>
  <c r="E44" i="34"/>
  <c r="E44" i="36"/>
  <c r="G44"/>
  <c r="H44" i="11"/>
  <c r="C44" i="38"/>
  <c r="I44" i="18"/>
  <c r="F44" i="8"/>
  <c r="I44" i="54"/>
  <c r="I44" i="28"/>
  <c r="C44" i="19"/>
  <c r="C44" i="28"/>
  <c r="C44" i="9"/>
  <c r="C44" i="11"/>
  <c r="E44" i="37"/>
  <c r="C44" i="20"/>
  <c r="I44"/>
  <c r="F44" i="18"/>
  <c r="C44" i="36"/>
  <c r="C44" i="29"/>
  <c r="E44" i="19"/>
  <c r="C44" i="37"/>
  <c r="C44" i="54"/>
  <c r="F44" i="29"/>
  <c r="C44" i="18"/>
  <c r="I26" i="54"/>
  <c r="C26" i="28"/>
  <c r="I26" i="25"/>
  <c r="C26"/>
  <c r="E26" i="38"/>
  <c r="C26" i="82"/>
  <c r="C26" i="34"/>
  <c r="I26" i="26"/>
  <c r="C26"/>
  <c r="I26" i="9"/>
  <c r="I26" i="10"/>
  <c r="C26" i="8"/>
  <c r="F26" i="26"/>
  <c r="F26" i="9"/>
  <c r="G26" i="25"/>
  <c r="E26" i="82"/>
  <c r="C26" i="11"/>
  <c r="F26" i="10"/>
  <c r="E26" i="11"/>
  <c r="C26" i="35"/>
  <c r="C26" i="7"/>
  <c r="E26" i="25"/>
  <c r="C26" i="18"/>
  <c r="E26" i="37"/>
  <c r="H26" i="11"/>
  <c r="F26" i="54"/>
  <c r="E26" i="35"/>
  <c r="G26" i="34"/>
  <c r="G26" i="36"/>
  <c r="E26" i="34"/>
  <c r="C26" i="9"/>
  <c r="C26" i="38"/>
  <c r="F26" i="8"/>
  <c r="C26" i="27"/>
  <c r="C26" i="76" s="1"/>
  <c r="C26" i="10"/>
  <c r="I26" i="28"/>
  <c r="I26" i="18"/>
  <c r="C26" i="37"/>
  <c r="C26" i="19"/>
  <c r="F26" i="29"/>
  <c r="E26" i="36"/>
  <c r="F26" i="28"/>
  <c r="C26" i="36"/>
  <c r="C26" i="29"/>
  <c r="E26" i="19"/>
  <c r="F26" i="5"/>
  <c r="F26" i="18"/>
  <c r="I26" i="20"/>
  <c r="C26"/>
  <c r="F26"/>
  <c r="C26" i="86"/>
  <c r="C26" i="54"/>
  <c r="F19" i="5"/>
  <c r="C19" i="7"/>
  <c r="E19" i="38"/>
  <c r="F19" i="10"/>
  <c r="C19" i="34"/>
  <c r="C19" i="9"/>
  <c r="E19" i="11"/>
  <c r="C19" i="35"/>
  <c r="I19" i="10"/>
  <c r="E19" i="35"/>
  <c r="E19" i="25"/>
  <c r="C19"/>
  <c r="G19"/>
  <c r="I19"/>
  <c r="C19" i="27"/>
  <c r="C19" i="76" s="1"/>
  <c r="I19" i="26"/>
  <c r="F19"/>
  <c r="C19"/>
  <c r="F19" i="28"/>
  <c r="E19" i="82"/>
  <c r="F19" i="9"/>
  <c r="I19" i="28"/>
  <c r="C19" i="10"/>
  <c r="F19" i="54"/>
  <c r="E19" i="34"/>
  <c r="C19" i="86"/>
  <c r="C19" i="8"/>
  <c r="C19" i="28"/>
  <c r="E19" i="19"/>
  <c r="C19" i="36"/>
  <c r="C19" i="82"/>
  <c r="C19" i="38"/>
  <c r="C19" i="37"/>
  <c r="I19" i="9"/>
  <c r="E19" i="37"/>
  <c r="I19" i="54"/>
  <c r="H19" i="11"/>
  <c r="F19" i="8"/>
  <c r="C19" i="11"/>
  <c r="G19" i="34"/>
  <c r="C19" i="19"/>
  <c r="E19" i="36"/>
  <c r="C19" i="20"/>
  <c r="F19" i="18"/>
  <c r="F19" i="29"/>
  <c r="C19"/>
  <c r="C19" i="18"/>
  <c r="I19" i="20"/>
  <c r="I19" i="18"/>
  <c r="E43" i="11"/>
  <c r="E43" i="34"/>
  <c r="I43" i="26"/>
  <c r="C43"/>
  <c r="I43" i="25"/>
  <c r="C43" i="11"/>
  <c r="C43" i="82"/>
  <c r="C43" i="10"/>
  <c r="C43" i="34"/>
  <c r="E43" i="25"/>
  <c r="G43"/>
  <c r="C43" i="9"/>
  <c r="C43" i="28"/>
  <c r="C43" i="7"/>
  <c r="E43" i="38"/>
  <c r="F43" i="10"/>
  <c r="F43" i="26"/>
  <c r="F43" i="28"/>
  <c r="I43" i="10"/>
  <c r="C43" i="35"/>
  <c r="C43" i="25"/>
  <c r="I43" i="54"/>
  <c r="C43"/>
  <c r="E43" i="35"/>
  <c r="C43" i="19"/>
  <c r="C43" i="37"/>
  <c r="F43" i="9"/>
  <c r="E43" i="37"/>
  <c r="I43" i="28"/>
  <c r="C43" i="8"/>
  <c r="C43" i="27"/>
  <c r="C43" i="76" s="1"/>
  <c r="C43" i="36"/>
  <c r="F43" i="8"/>
  <c r="G43" i="34"/>
  <c r="F43" i="54"/>
  <c r="H43" i="11"/>
  <c r="E43" i="82"/>
  <c r="C43" i="38"/>
  <c r="I43" i="9"/>
  <c r="F43" i="20"/>
  <c r="F43" i="76"/>
  <c r="F43" i="29"/>
  <c r="C43"/>
  <c r="C43" i="20"/>
  <c r="E43" i="19"/>
  <c r="F43" i="18"/>
  <c r="F43" i="5"/>
  <c r="E43" i="36"/>
  <c r="C43" i="86"/>
  <c r="G43" i="36"/>
  <c r="C43" i="18"/>
  <c r="I43" i="20"/>
  <c r="I43" i="18"/>
  <c r="C22" i="82"/>
  <c r="I22" i="26"/>
  <c r="F22"/>
  <c r="G22" i="34"/>
  <c r="C22" i="11"/>
  <c r="C22" i="34"/>
  <c r="C22" i="26"/>
  <c r="E22" i="25"/>
  <c r="C22" i="7"/>
  <c r="F22" i="9"/>
  <c r="I22"/>
  <c r="F22" i="28"/>
  <c r="I22" i="25"/>
  <c r="E22" i="34"/>
  <c r="E22" i="82"/>
  <c r="G22" i="25"/>
  <c r="E22" i="38"/>
  <c r="C22" i="9"/>
  <c r="C22" i="35"/>
  <c r="C22" i="25"/>
  <c r="F22" i="54"/>
  <c r="F22" i="10"/>
  <c r="I22" i="28"/>
  <c r="E22" i="35"/>
  <c r="E22" i="11"/>
  <c r="I22" i="18"/>
  <c r="F22" i="8"/>
  <c r="C22" i="28"/>
  <c r="I22" i="10"/>
  <c r="C22"/>
  <c r="C22" i="38"/>
  <c r="C22" i="19"/>
  <c r="F22" i="29"/>
  <c r="C22" i="8"/>
  <c r="C22" i="27"/>
  <c r="C22" i="76" s="1"/>
  <c r="I22" i="54"/>
  <c r="C22" i="86"/>
  <c r="H22" i="11"/>
  <c r="C22" i="54"/>
  <c r="C22" i="37"/>
  <c r="E22" i="36"/>
  <c r="G22"/>
  <c r="C22" i="18"/>
  <c r="F22" i="5"/>
  <c r="D22" i="6" s="1"/>
  <c r="F22" i="76"/>
  <c r="C22" i="36"/>
  <c r="E22" i="37"/>
  <c r="C22" i="29"/>
  <c r="I22" i="20"/>
  <c r="F22" i="18"/>
  <c r="C22" i="20"/>
  <c r="E22" i="19"/>
  <c r="F15" i="8"/>
  <c r="F15" i="5"/>
  <c r="I15" i="25"/>
  <c r="I15" i="10"/>
  <c r="G15" i="34"/>
  <c r="C15" i="82"/>
  <c r="G15" i="25"/>
  <c r="C15" i="26"/>
  <c r="C15" i="35"/>
  <c r="F15" i="9"/>
  <c r="E15" i="25"/>
  <c r="E15" i="38"/>
  <c r="C15" i="27"/>
  <c r="C15" i="76" s="1"/>
  <c r="F15" i="26"/>
  <c r="C15" i="9"/>
  <c r="C15" i="7"/>
  <c r="I15" i="54"/>
  <c r="C15" i="10"/>
  <c r="C15" i="54"/>
  <c r="I15" i="28"/>
  <c r="I15" i="18"/>
  <c r="C15" i="19"/>
  <c r="C15" i="86"/>
  <c r="E15" i="34"/>
  <c r="E15" i="11"/>
  <c r="C15" i="37"/>
  <c r="I15" i="9"/>
  <c r="F15" i="10"/>
  <c r="C15" i="8"/>
  <c r="E15" i="35"/>
  <c r="C15" i="34"/>
  <c r="C15" i="36"/>
  <c r="C15" i="25"/>
  <c r="E15" i="82"/>
  <c r="C15" i="11"/>
  <c r="E15" i="36"/>
  <c r="F15" i="28"/>
  <c r="I15" i="26"/>
  <c r="C15" i="38"/>
  <c r="F15" i="54"/>
  <c r="H15" i="11"/>
  <c r="C15" i="28"/>
  <c r="C15" i="29"/>
  <c r="E15" i="37"/>
  <c r="C15" i="20"/>
  <c r="F15" i="76"/>
  <c r="F15" i="18"/>
  <c r="C15"/>
  <c r="I15" i="20"/>
  <c r="F15" i="29"/>
  <c r="G15" i="36"/>
  <c r="E15" i="19"/>
  <c r="G19" i="20"/>
  <c r="F19"/>
  <c r="G48" i="54"/>
  <c r="J36" i="85"/>
  <c r="G36"/>
  <c r="J27"/>
  <c r="G27"/>
  <c r="F19" i="76"/>
  <c r="G19"/>
  <c r="J35" i="85"/>
  <c r="G35"/>
  <c r="E16" i="34"/>
  <c r="C16" i="82"/>
  <c r="E16" i="38"/>
  <c r="F16" i="10"/>
  <c r="I16" i="26"/>
  <c r="C16" i="7"/>
  <c r="C16" i="26"/>
  <c r="I16" i="9"/>
  <c r="G16" i="34"/>
  <c r="E16" i="25"/>
  <c r="G16"/>
  <c r="C16" i="11"/>
  <c r="F16" i="54"/>
  <c r="I16"/>
  <c r="C16" i="28"/>
  <c r="E16" i="35"/>
  <c r="F16" i="28"/>
  <c r="E16" i="11"/>
  <c r="C16" i="9"/>
  <c r="C16" i="36"/>
  <c r="F16" i="9"/>
  <c r="C16" i="25"/>
  <c r="E16" i="36"/>
  <c r="E16" i="82"/>
  <c r="I16" i="10"/>
  <c r="C16" i="38"/>
  <c r="C16" i="10"/>
  <c r="F16" i="29"/>
  <c r="C16" i="54"/>
  <c r="H16" i="11"/>
  <c r="C16" i="34"/>
  <c r="F16" i="26"/>
  <c r="C16" i="37"/>
  <c r="C16" i="29"/>
  <c r="C16" i="8"/>
  <c r="C16" i="27"/>
  <c r="C16" i="76" s="1"/>
  <c r="I16" i="25"/>
  <c r="C16" i="35"/>
  <c r="F16" i="8"/>
  <c r="C16" i="86"/>
  <c r="I16" i="20"/>
  <c r="I16" i="18"/>
  <c r="C16"/>
  <c r="C16" i="20"/>
  <c r="I16" i="28"/>
  <c r="E16" i="37"/>
  <c r="C16" i="19"/>
  <c r="F16" i="76"/>
  <c r="H16" i="19"/>
  <c r="E16"/>
  <c r="G16" i="36"/>
  <c r="J41" i="85"/>
  <c r="G41"/>
  <c r="I16" i="90"/>
  <c r="G16"/>
  <c r="E16"/>
  <c r="F29" i="5"/>
  <c r="D29" i="6" s="1"/>
  <c r="E29" i="82"/>
  <c r="I29" i="26"/>
  <c r="E29" i="25"/>
  <c r="C29" i="35"/>
  <c r="C29" i="34"/>
  <c r="I29" i="10"/>
  <c r="E29" i="11"/>
  <c r="E29" i="34"/>
  <c r="C29" i="28"/>
  <c r="I29" i="25"/>
  <c r="C29" i="7"/>
  <c r="C29" i="26"/>
  <c r="C29" i="9"/>
  <c r="F29" i="10"/>
  <c r="F29" i="9"/>
  <c r="C29" i="11"/>
  <c r="I29" i="9"/>
  <c r="E29" i="38"/>
  <c r="C29" i="27"/>
  <c r="C29" i="76" s="1"/>
  <c r="F29" i="26"/>
  <c r="E29" i="35"/>
  <c r="F29" i="8"/>
  <c r="G29" i="34"/>
  <c r="C29" i="10"/>
  <c r="I29" i="18"/>
  <c r="C29" i="19"/>
  <c r="F29" i="54"/>
  <c r="C29" i="20"/>
  <c r="E29" i="19"/>
  <c r="G29" i="25"/>
  <c r="C29" i="54"/>
  <c r="F29" i="28"/>
  <c r="C29" i="38"/>
  <c r="C29" i="36"/>
  <c r="I29" i="54"/>
  <c r="H29" i="11"/>
  <c r="C29" i="82"/>
  <c r="C29" i="8"/>
  <c r="C29" i="25"/>
  <c r="E29" i="36"/>
  <c r="I29" i="28"/>
  <c r="G29" i="36"/>
  <c r="C29" i="86"/>
  <c r="F29" i="29"/>
  <c r="C29"/>
  <c r="I29" i="20"/>
  <c r="F29" i="18"/>
  <c r="C29" i="37"/>
  <c r="E29"/>
  <c r="C29" i="18"/>
  <c r="F29" i="76"/>
  <c r="E37" i="82"/>
  <c r="C37" i="34"/>
  <c r="I37" i="10"/>
  <c r="C37" i="27"/>
  <c r="C37" i="76" s="1"/>
  <c r="C37" i="82"/>
  <c r="C37" i="35"/>
  <c r="E37" i="38"/>
  <c r="C37" i="10"/>
  <c r="C37" i="9"/>
  <c r="I37" i="25"/>
  <c r="E37" i="34"/>
  <c r="G37" i="25"/>
  <c r="C37" i="11"/>
  <c r="F37" i="28"/>
  <c r="F37" i="26"/>
  <c r="C37"/>
  <c r="C37" i="25"/>
  <c r="F37" i="10"/>
  <c r="I37" i="26"/>
  <c r="E37" i="11"/>
  <c r="G37" i="34"/>
  <c r="E37" i="25"/>
  <c r="F37" i="9"/>
  <c r="F37" i="54"/>
  <c r="H37" i="11"/>
  <c r="C37" i="36"/>
  <c r="C37" i="19"/>
  <c r="C37" i="86"/>
  <c r="E37" i="35"/>
  <c r="F37" i="8"/>
  <c r="E37" i="19"/>
  <c r="I37" i="54"/>
  <c r="C37" i="29"/>
  <c r="G37" i="36"/>
  <c r="C37" i="28"/>
  <c r="C37" i="38"/>
  <c r="I37" i="18"/>
  <c r="C37" i="37"/>
  <c r="E37" i="36"/>
  <c r="C37" i="54"/>
  <c r="C37" i="8"/>
  <c r="C37" i="7"/>
  <c r="I37" i="9"/>
  <c r="E37" i="37"/>
  <c r="C37" i="18"/>
  <c r="F37" i="76"/>
  <c r="I37" i="20"/>
  <c r="I37" i="28"/>
  <c r="F37" i="29"/>
  <c r="C37" i="20"/>
  <c r="F37" i="18"/>
  <c r="F37" i="5"/>
  <c r="D48" i="41"/>
  <c r="C48"/>
  <c r="I29" i="90"/>
  <c r="G29"/>
  <c r="E29"/>
  <c r="C32" i="26"/>
  <c r="F32"/>
  <c r="F32" i="9"/>
  <c r="F32" i="28"/>
  <c r="E32" i="38"/>
  <c r="I32" i="54"/>
  <c r="I32" i="25"/>
  <c r="E32" i="34"/>
  <c r="C32" i="82"/>
  <c r="C32" i="35"/>
  <c r="C32" i="11"/>
  <c r="E32" i="25"/>
  <c r="C32" i="27"/>
  <c r="C32" i="76" s="1"/>
  <c r="E32" i="82"/>
  <c r="I32" i="26"/>
  <c r="E32" i="35"/>
  <c r="C32" i="7"/>
  <c r="I32" i="9"/>
  <c r="I32" i="10"/>
  <c r="F32" i="8"/>
  <c r="G32" i="25"/>
  <c r="C32" i="10"/>
  <c r="F32"/>
  <c r="G32" i="36"/>
  <c r="C32" i="8"/>
  <c r="E32" i="11"/>
  <c r="C32" i="36"/>
  <c r="C32" i="25"/>
  <c r="C32" i="29"/>
  <c r="E32" i="36"/>
  <c r="C32" i="34"/>
  <c r="C32" i="38"/>
  <c r="I32" i="18"/>
  <c r="G32" i="34"/>
  <c r="C32" i="28"/>
  <c r="E32" i="19"/>
  <c r="C32" i="37"/>
  <c r="C32" i="86"/>
  <c r="H32" i="11"/>
  <c r="C32" i="9"/>
  <c r="F32" i="54"/>
  <c r="C32"/>
  <c r="C32" i="18"/>
  <c r="C32" i="20"/>
  <c r="C32" i="19"/>
  <c r="F32" i="29"/>
  <c r="E32" i="37"/>
  <c r="I32" i="20"/>
  <c r="F32" i="18"/>
  <c r="F32" i="5"/>
  <c r="I32" i="28"/>
  <c r="E41" i="82"/>
  <c r="I41" i="25"/>
  <c r="C41" i="26"/>
  <c r="E41" i="34"/>
  <c r="G41"/>
  <c r="G41" i="25"/>
  <c r="C41" i="35"/>
  <c r="C41" i="82"/>
  <c r="C41" i="34"/>
  <c r="C41" i="9"/>
  <c r="E41" i="25"/>
  <c r="C41" i="11"/>
  <c r="F41" i="26"/>
  <c r="I41" i="10"/>
  <c r="E41" i="38"/>
  <c r="I41" i="26"/>
  <c r="C41" i="27"/>
  <c r="C41" i="76" s="1"/>
  <c r="F41" i="28"/>
  <c r="C41" i="25"/>
  <c r="C41" i="10"/>
  <c r="I41" i="54"/>
  <c r="I41" i="28"/>
  <c r="F41" i="10"/>
  <c r="I41" i="18"/>
  <c r="E41" i="19"/>
  <c r="C41" i="7"/>
  <c r="F41" i="8"/>
  <c r="E41" i="11"/>
  <c r="C41" i="38"/>
  <c r="C41" i="29"/>
  <c r="E41" i="36"/>
  <c r="F41" i="54"/>
  <c r="E41" i="35"/>
  <c r="C41" i="86"/>
  <c r="G41" i="36"/>
  <c r="C41" i="28"/>
  <c r="H41" i="11"/>
  <c r="C41" i="8"/>
  <c r="F41" i="29"/>
  <c r="C41" i="37"/>
  <c r="I41" i="9"/>
  <c r="F41"/>
  <c r="C41" i="19"/>
  <c r="C41" i="36"/>
  <c r="C41" i="54"/>
  <c r="E41" i="37"/>
  <c r="I41" i="20"/>
  <c r="H41" i="19"/>
  <c r="C41" i="20"/>
  <c r="C41" i="18"/>
  <c r="F41"/>
  <c r="F41" i="5"/>
  <c r="D41" i="6" s="1"/>
  <c r="G22" i="90"/>
  <c r="I22"/>
  <c r="E22"/>
  <c r="C17" i="44"/>
  <c r="C17" i="42" s="1"/>
  <c r="C17" i="45"/>
  <c r="G17" i="42" s="1"/>
  <c r="G17" i="44"/>
  <c r="E17" i="42" s="1"/>
  <c r="I17" i="44"/>
  <c r="F17" i="42" s="1"/>
  <c r="E17" i="45"/>
  <c r="H17" i="42" s="1"/>
  <c r="I17" i="43"/>
  <c r="B17" i="42" s="1"/>
  <c r="E17" i="44"/>
  <c r="D17" i="42" s="1"/>
  <c r="J38" i="85"/>
  <c r="G38"/>
  <c r="J42"/>
  <c r="G42"/>
  <c r="F50" i="10"/>
  <c r="H50" i="11"/>
  <c r="C50" i="9"/>
  <c r="F50" i="8"/>
  <c r="C50" i="82"/>
  <c r="C50" i="8"/>
  <c r="G50" i="25"/>
  <c r="C50" i="7"/>
  <c r="C50" i="27"/>
  <c r="C50" i="76" s="1"/>
  <c r="F50" i="28"/>
  <c r="I50" i="25"/>
  <c r="E50" i="35"/>
  <c r="C50" i="25"/>
  <c r="C50" i="11"/>
  <c r="E50" i="38"/>
  <c r="E50" i="82"/>
  <c r="E50" i="11"/>
  <c r="E50" i="34"/>
  <c r="F50" i="9"/>
  <c r="I50"/>
  <c r="F50" i="29"/>
  <c r="I50" i="10"/>
  <c r="I50" i="28"/>
  <c r="F50" i="54"/>
  <c r="I50" i="26"/>
  <c r="C50" i="28"/>
  <c r="F50" i="26"/>
  <c r="E50" i="25"/>
  <c r="C50" i="86"/>
  <c r="G50" i="36"/>
  <c r="C50" i="26"/>
  <c r="I50" i="18"/>
  <c r="C50" i="36"/>
  <c r="C50" i="54"/>
  <c r="C50" i="29"/>
  <c r="C50" i="10"/>
  <c r="E50" i="36"/>
  <c r="E50" i="37"/>
  <c r="C50" i="38"/>
  <c r="C50" i="18"/>
  <c r="I50" i="54"/>
  <c r="C50" i="34"/>
  <c r="C50" i="35"/>
  <c r="G50" i="34"/>
  <c r="E50" i="19"/>
  <c r="F50" i="76"/>
  <c r="H50" i="19"/>
  <c r="F50" i="18"/>
  <c r="F50" i="5"/>
  <c r="D50" i="6" s="1"/>
  <c r="C50" i="37"/>
  <c r="C50" i="20"/>
  <c r="I50"/>
  <c r="C50" i="19"/>
  <c r="E13" i="85"/>
  <c r="B50"/>
  <c r="J32"/>
  <c r="G32"/>
  <c r="G19"/>
  <c r="J19"/>
  <c r="J25"/>
  <c r="G25"/>
  <c r="J37"/>
  <c r="G37"/>
  <c r="G13" i="18"/>
  <c r="F13"/>
  <c r="E48"/>
  <c r="F51" i="6"/>
  <c r="E51"/>
  <c r="I31" i="18"/>
  <c r="H45" i="19"/>
  <c r="J26" i="42"/>
  <c r="C31" i="18"/>
  <c r="J16" i="42"/>
  <c r="H31" i="19"/>
  <c r="J42" i="42"/>
  <c r="F11" i="54"/>
  <c r="F33" i="20"/>
  <c r="H33" i="19"/>
  <c r="H25"/>
  <c r="I25" i="90"/>
  <c r="H39" i="19"/>
  <c r="F31" i="20"/>
  <c r="B48" i="5"/>
  <c r="C11" i="36"/>
  <c r="D48" i="90"/>
  <c r="J32" i="42"/>
  <c r="F31" i="5"/>
  <c r="F36" i="76"/>
  <c r="E14" i="90"/>
  <c r="E36"/>
  <c r="J41" i="42"/>
  <c r="J46"/>
  <c r="F38" i="20"/>
  <c r="F21" i="5"/>
  <c r="D21" i="6" s="1"/>
  <c r="F21" i="20"/>
  <c r="F35"/>
  <c r="E18" i="90"/>
  <c r="C21" i="18"/>
  <c r="H40" i="19"/>
  <c r="H44"/>
  <c r="F30" i="20"/>
  <c r="F14" i="76"/>
  <c r="J14" i="42"/>
  <c r="F39" i="18"/>
  <c r="F38"/>
  <c r="F34" i="5"/>
  <c r="F44" i="20"/>
  <c r="F25"/>
  <c r="F37"/>
  <c r="C14"/>
  <c r="E39" i="90"/>
  <c r="F16" i="18"/>
  <c r="H36" i="19"/>
  <c r="H11"/>
  <c r="F46" i="20"/>
  <c r="J19" i="42"/>
  <c r="H37" i="19"/>
  <c r="E31"/>
  <c r="F45" i="20"/>
  <c r="F35" i="18"/>
  <c r="F28"/>
  <c r="I11" i="54"/>
  <c r="E48" i="78"/>
  <c r="E45" i="90" l="1"/>
  <c r="J17" i="42"/>
  <c r="D48" i="5"/>
  <c r="L27" i="21" s="1"/>
  <c r="E25" i="90"/>
  <c r="E35"/>
  <c r="C48" i="34"/>
  <c r="C48" i="29"/>
  <c r="E48" i="36"/>
  <c r="F48" i="54"/>
  <c r="C48" i="36"/>
  <c r="D31" i="6"/>
  <c r="E31" i="90"/>
  <c r="F29" i="6"/>
  <c r="E29"/>
  <c r="C29" i="78" s="1"/>
  <c r="D19" i="6"/>
  <c r="E19" i="90"/>
  <c r="D46" i="6"/>
  <c r="E46" i="90"/>
  <c r="J44" i="85"/>
  <c r="G44"/>
  <c r="J22"/>
  <c r="G22"/>
  <c r="J26"/>
  <c r="G26"/>
  <c r="J15"/>
  <c r="G15"/>
  <c r="J29"/>
  <c r="G29"/>
  <c r="E23" i="6"/>
  <c r="C23" i="78" s="1"/>
  <c r="F23" i="6"/>
  <c r="D30"/>
  <c r="E30" i="90"/>
  <c r="F33" i="6"/>
  <c r="E33"/>
  <c r="C33" i="78" s="1"/>
  <c r="I11" i="45"/>
  <c r="H48" i="43"/>
  <c r="I11"/>
  <c r="B11" i="42" s="1"/>
  <c r="G48" i="20"/>
  <c r="F45" i="6"/>
  <c r="E45"/>
  <c r="C45" i="78" s="1"/>
  <c r="J14" i="85"/>
  <c r="G14"/>
  <c r="E41" i="90"/>
  <c r="E23"/>
  <c r="D34" i="6"/>
  <c r="E34" i="90"/>
  <c r="I48"/>
  <c r="G48"/>
  <c r="F50" i="6"/>
  <c r="E50"/>
  <c r="C50" i="78" s="1"/>
  <c r="D32" i="6"/>
  <c r="E32" i="90"/>
  <c r="F21" i="6"/>
  <c r="E21"/>
  <c r="C21" i="78" s="1"/>
  <c r="G48" i="18"/>
  <c r="G13" i="85"/>
  <c r="E50"/>
  <c r="J13"/>
  <c r="F41" i="6"/>
  <c r="E41"/>
  <c r="C41" i="78" s="1"/>
  <c r="D37" i="6"/>
  <c r="E37" i="90"/>
  <c r="D15" i="6"/>
  <c r="E15" i="90"/>
  <c r="E22" i="6"/>
  <c r="C22" i="78" s="1"/>
  <c r="F22" i="6"/>
  <c r="D43"/>
  <c r="E43" i="90"/>
  <c r="D26" i="6"/>
  <c r="E26" i="90"/>
  <c r="D44" i="6"/>
  <c r="E44" i="90"/>
  <c r="E28"/>
  <c r="D28" i="6"/>
  <c r="I42" i="10"/>
  <c r="C42" i="11"/>
  <c r="C42" i="8"/>
  <c r="I42" i="25"/>
  <c r="C42" i="34"/>
  <c r="E42" i="38"/>
  <c r="I42" i="26"/>
  <c r="C42"/>
  <c r="E42" i="11"/>
  <c r="C42" i="35"/>
  <c r="I42" i="9"/>
  <c r="F42" i="28"/>
  <c r="C42" i="25"/>
  <c r="E42" i="82"/>
  <c r="F42" i="10"/>
  <c r="C42" i="27"/>
  <c r="C42" i="76" s="1"/>
  <c r="C42" i="82"/>
  <c r="E42" i="35"/>
  <c r="G42" i="25"/>
  <c r="E42"/>
  <c r="C42" i="9"/>
  <c r="I42" i="54"/>
  <c r="H42" i="11"/>
  <c r="C42" i="19"/>
  <c r="G42" i="36"/>
  <c r="E42" i="34"/>
  <c r="C42" i="38"/>
  <c r="I42" i="18"/>
  <c r="G42" i="34"/>
  <c r="C42" i="54"/>
  <c r="C42" i="10"/>
  <c r="F42" i="8"/>
  <c r="F42" i="54"/>
  <c r="C42" i="28"/>
  <c r="F42" i="26"/>
  <c r="C42" i="36"/>
  <c r="C42" i="7"/>
  <c r="E42" i="37"/>
  <c r="F42" i="9"/>
  <c r="F42" i="76"/>
  <c r="I42" i="20"/>
  <c r="F42" i="5"/>
  <c r="F42" i="29"/>
  <c r="C42" i="86"/>
  <c r="C42" i="18"/>
  <c r="C42" i="37"/>
  <c r="I42" i="28"/>
  <c r="E42" i="36"/>
  <c r="C42" i="29"/>
  <c r="E42" i="19"/>
  <c r="C42" i="20"/>
  <c r="F42" i="18"/>
  <c r="H42" i="19"/>
  <c r="F42" i="20"/>
  <c r="F20" i="10"/>
  <c r="F20" i="9"/>
  <c r="E20" i="25"/>
  <c r="C20" i="7"/>
  <c r="E20" i="82"/>
  <c r="C20" i="26"/>
  <c r="I20" i="25"/>
  <c r="C20" i="11"/>
  <c r="C20" i="25"/>
  <c r="C20" i="8"/>
  <c r="I20" i="9"/>
  <c r="I20" i="26"/>
  <c r="E20" i="34"/>
  <c r="C20" i="82"/>
  <c r="G20" i="34"/>
  <c r="C20" i="35"/>
  <c r="G20" i="25"/>
  <c r="E20" i="38"/>
  <c r="I20" i="10"/>
  <c r="C20" i="34"/>
  <c r="I20" i="54"/>
  <c r="G20" i="36"/>
  <c r="C20" i="19"/>
  <c r="C20" i="36"/>
  <c r="E20"/>
  <c r="C20" i="27"/>
  <c r="C20" i="76" s="1"/>
  <c r="F20" i="28"/>
  <c r="E20" i="35"/>
  <c r="C20" i="38"/>
  <c r="F20" i="8"/>
  <c r="F20" i="54"/>
  <c r="H20" i="11"/>
  <c r="C20" i="28"/>
  <c r="F20" i="26"/>
  <c r="I20" i="18"/>
  <c r="C20" i="54"/>
  <c r="I20" i="20"/>
  <c r="F20" i="5"/>
  <c r="C20" i="10"/>
  <c r="F20" i="29"/>
  <c r="I20" i="28"/>
  <c r="C20" i="20"/>
  <c r="E20" i="19"/>
  <c r="C20" i="37"/>
  <c r="C20" i="9"/>
  <c r="E20" i="11"/>
  <c r="E20" i="37"/>
  <c r="C20" i="86"/>
  <c r="C20" i="29"/>
  <c r="H20" i="19"/>
  <c r="F20" i="20"/>
  <c r="F20" i="76"/>
  <c r="C20" i="18"/>
  <c r="F20"/>
  <c r="F24" i="5"/>
  <c r="E24" i="82"/>
  <c r="C24" i="25"/>
  <c r="C24" i="11"/>
  <c r="I24" i="26"/>
  <c r="C24"/>
  <c r="E24" i="11"/>
  <c r="I24" i="10"/>
  <c r="C24" i="35"/>
  <c r="G24" i="34"/>
  <c r="C24" i="27"/>
  <c r="C24" i="76" s="1"/>
  <c r="F24" i="10"/>
  <c r="E24" i="34"/>
  <c r="C24" i="7"/>
  <c r="I24" i="9"/>
  <c r="E24" i="38"/>
  <c r="C24" i="82"/>
  <c r="F24" i="9"/>
  <c r="C24" i="29"/>
  <c r="C24" i="10"/>
  <c r="I24" i="54"/>
  <c r="C24" i="28"/>
  <c r="C24" i="34"/>
  <c r="F24" i="8"/>
  <c r="I24" i="18"/>
  <c r="C24" i="37"/>
  <c r="E24" i="25"/>
  <c r="E24" i="37"/>
  <c r="E24" i="35"/>
  <c r="C24" i="38"/>
  <c r="C24" i="54"/>
  <c r="H24" i="11"/>
  <c r="F24" i="28"/>
  <c r="C24" i="8"/>
  <c r="C24" i="36"/>
  <c r="F24" i="54"/>
  <c r="C24" i="9"/>
  <c r="F24" i="26"/>
  <c r="I24" i="25"/>
  <c r="C24" i="86"/>
  <c r="E24" i="19"/>
  <c r="C24" i="20"/>
  <c r="C24" i="18"/>
  <c r="G24" i="25"/>
  <c r="G24" i="36"/>
  <c r="F24" i="29"/>
  <c r="I24" i="20"/>
  <c r="F24" i="76"/>
  <c r="E24" i="36"/>
  <c r="I24" i="28"/>
  <c r="F24" i="18"/>
  <c r="H24" i="19"/>
  <c r="C24"/>
  <c r="F24" i="20"/>
  <c r="F13" i="5"/>
  <c r="F13" i="26"/>
  <c r="I13" i="25"/>
  <c r="E13"/>
  <c r="G13"/>
  <c r="F13" i="8"/>
  <c r="C13" i="34"/>
  <c r="E13" i="82"/>
  <c r="G13" i="34"/>
  <c r="C13" i="35"/>
  <c r="C13" i="11"/>
  <c r="C13" i="27"/>
  <c r="C13" i="76" s="1"/>
  <c r="C13" i="26"/>
  <c r="E13" i="38"/>
  <c r="I13" i="10"/>
  <c r="E13" i="11"/>
  <c r="C13" i="8"/>
  <c r="F13" i="9"/>
  <c r="C13" i="54"/>
  <c r="I13" i="18"/>
  <c r="C13" i="19"/>
  <c r="F13" i="28"/>
  <c r="I13" i="26"/>
  <c r="F13" i="10"/>
  <c r="E13" i="35"/>
  <c r="C13" i="7"/>
  <c r="E13" i="36"/>
  <c r="F13" i="54"/>
  <c r="H13" i="11"/>
  <c r="C13" i="28"/>
  <c r="E13" i="34"/>
  <c r="I13" i="9"/>
  <c r="I13" i="28"/>
  <c r="G13" i="36"/>
  <c r="I13" i="54"/>
  <c r="C13" i="9"/>
  <c r="F13" i="29"/>
  <c r="C13" i="38"/>
  <c r="C13" i="36"/>
  <c r="C13" i="37"/>
  <c r="C13" i="86"/>
  <c r="C13" i="82"/>
  <c r="C13" i="25"/>
  <c r="C13" i="18"/>
  <c r="C13" i="20"/>
  <c r="C13" i="29"/>
  <c r="E13" i="19"/>
  <c r="E13" i="37"/>
  <c r="I13" i="20"/>
  <c r="F13" i="76"/>
  <c r="C13" i="10"/>
  <c r="H13" i="19"/>
  <c r="F13" i="20"/>
  <c r="C27" i="35"/>
  <c r="I27" i="25"/>
  <c r="C27" i="34"/>
  <c r="C27" i="26"/>
  <c r="E27" i="11"/>
  <c r="F27" i="9"/>
  <c r="C27" i="11"/>
  <c r="C27" i="9"/>
  <c r="I27" i="10"/>
  <c r="E27" i="34"/>
  <c r="G27" i="25"/>
  <c r="C27" i="27"/>
  <c r="C27" i="76" s="1"/>
  <c r="I27" i="26"/>
  <c r="F27"/>
  <c r="F27" i="28"/>
  <c r="E27" i="35"/>
  <c r="C27" i="25"/>
  <c r="G27" i="34"/>
  <c r="E27" i="38"/>
  <c r="E27" i="82"/>
  <c r="F27" i="10"/>
  <c r="E27" i="25"/>
  <c r="I27" i="28"/>
  <c r="C27" i="10"/>
  <c r="C27" i="28"/>
  <c r="C27" i="8"/>
  <c r="F27" i="29"/>
  <c r="C27" i="38"/>
  <c r="E27" i="19"/>
  <c r="C27"/>
  <c r="I27" i="54"/>
  <c r="C27" i="20"/>
  <c r="C27" i="7"/>
  <c r="I27" i="9"/>
  <c r="C27" i="82"/>
  <c r="G27" i="36"/>
  <c r="C27"/>
  <c r="E27"/>
  <c r="F27" i="54"/>
  <c r="H27" i="11"/>
  <c r="C27" i="54"/>
  <c r="F27" i="8"/>
  <c r="E27" i="37"/>
  <c r="C27" i="29"/>
  <c r="F27" i="76"/>
  <c r="I27" i="20"/>
  <c r="C27" i="18"/>
  <c r="C27" i="86"/>
  <c r="I27" i="18"/>
  <c r="C27" i="37"/>
  <c r="H27" i="19"/>
  <c r="F27" i="5"/>
  <c r="F27" i="18"/>
  <c r="F27" i="20"/>
  <c r="E35" i="6"/>
  <c r="C35" i="78" s="1"/>
  <c r="F35" i="6"/>
  <c r="F17"/>
  <c r="E17"/>
  <c r="C17" i="78" s="1"/>
  <c r="D40" i="6"/>
  <c r="E40" i="90"/>
  <c r="F12" i="5"/>
  <c r="E48"/>
  <c r="E25" i="6"/>
  <c r="C25" i="78" s="1"/>
  <c r="F25" i="6"/>
  <c r="G48" i="76"/>
  <c r="F48"/>
  <c r="D11" i="6"/>
  <c r="E11" i="90"/>
  <c r="F38" i="6"/>
  <c r="E38"/>
  <c r="C38" i="78" s="1"/>
  <c r="I12" i="26"/>
  <c r="C12" i="27"/>
  <c r="C12" i="76" s="1"/>
  <c r="G12" i="25"/>
  <c r="E12" i="38"/>
  <c r="E12" i="82"/>
  <c r="E12" i="11"/>
  <c r="G12" i="34"/>
  <c r="I12" i="9"/>
  <c r="C12" i="7"/>
  <c r="I12" i="25"/>
  <c r="E12" i="34"/>
  <c r="C12" i="25"/>
  <c r="F12" i="10"/>
  <c r="C12" i="26"/>
  <c r="E12" i="35"/>
  <c r="C12" i="82"/>
  <c r="F12" i="54"/>
  <c r="I12"/>
  <c r="C12" i="9"/>
  <c r="C12" i="10"/>
  <c r="G12" i="36"/>
  <c r="F12" i="28"/>
  <c r="I12" i="18"/>
  <c r="C12" i="37"/>
  <c r="C12" i="35"/>
  <c r="C12" i="86"/>
  <c r="E12" i="36"/>
  <c r="C12" i="38"/>
  <c r="C12" i="29"/>
  <c r="E12" i="37"/>
  <c r="H12" i="11"/>
  <c r="F12" i="9"/>
  <c r="C12" i="54"/>
  <c r="C12" i="8"/>
  <c r="C12" i="28"/>
  <c r="C12" i="36"/>
  <c r="C12" i="11"/>
  <c r="F12" i="8"/>
  <c r="I12" i="28"/>
  <c r="F12" i="29"/>
  <c r="I12" i="20"/>
  <c r="I12" i="10"/>
  <c r="F12" i="26"/>
  <c r="C12" i="20"/>
  <c r="C12" i="34"/>
  <c r="F12" i="76"/>
  <c r="F12" i="20"/>
  <c r="E12" i="25"/>
  <c r="H12" i="19"/>
  <c r="F12" i="18"/>
  <c r="C12"/>
  <c r="E12" i="19"/>
  <c r="E21" i="90"/>
  <c r="E33"/>
  <c r="C48" i="7" l="1"/>
  <c r="F48" i="8"/>
  <c r="F48" i="26"/>
  <c r="E48" i="35"/>
  <c r="E48" i="34"/>
  <c r="F48" i="18"/>
  <c r="C48" i="19"/>
  <c r="I48" i="54"/>
  <c r="E48" i="19"/>
  <c r="C48" i="54"/>
  <c r="E48" i="37"/>
  <c r="I48" i="28"/>
  <c r="G48" i="25"/>
  <c r="F48" i="29"/>
  <c r="C48" i="11"/>
  <c r="G48" i="36"/>
  <c r="C48" i="28"/>
  <c r="I48" i="26"/>
  <c r="F48" i="5"/>
  <c r="E48" i="90" s="1"/>
  <c r="F48" i="20"/>
  <c r="C48" i="10"/>
  <c r="H48" i="19"/>
  <c r="E48" i="25"/>
  <c r="I48" i="18"/>
  <c r="C48"/>
  <c r="C48" i="20"/>
  <c r="C48" i="37"/>
  <c r="E48" i="82"/>
  <c r="C48" i="26"/>
  <c r="I48" i="20"/>
  <c r="C48" i="35"/>
  <c r="C48" i="25"/>
  <c r="H48" i="11"/>
  <c r="F48" i="10"/>
  <c r="I48"/>
  <c r="C48" i="82"/>
  <c r="C48" i="86"/>
  <c r="C48" i="8"/>
  <c r="I48" i="25"/>
  <c r="F48" i="28"/>
  <c r="C48" i="38"/>
  <c r="G48" i="34"/>
  <c r="C48" i="9"/>
  <c r="F48"/>
  <c r="I48"/>
  <c r="C48" i="27"/>
  <c r="C48" i="76" s="1"/>
  <c r="E48" i="11"/>
  <c r="E48" i="38"/>
  <c r="D27" i="6"/>
  <c r="E27" i="90"/>
  <c r="D13" i="6"/>
  <c r="E13" i="90"/>
  <c r="D24" i="6"/>
  <c r="E24" i="90"/>
  <c r="E44" i="6"/>
  <c r="C44" i="78" s="1"/>
  <c r="F44" i="6"/>
  <c r="F26"/>
  <c r="E26"/>
  <c r="C26" i="78" s="1"/>
  <c r="E43" i="6"/>
  <c r="C43" i="78" s="1"/>
  <c r="F43" i="6"/>
  <c r="E15"/>
  <c r="C15" i="78" s="1"/>
  <c r="F15" i="6"/>
  <c r="E37"/>
  <c r="C37" i="78" s="1"/>
  <c r="F37" i="6"/>
  <c r="J50" i="85"/>
  <c r="G50"/>
  <c r="F31" i="6"/>
  <c r="E31"/>
  <c r="C31" i="78" s="1"/>
  <c r="F11" i="6"/>
  <c r="E11"/>
  <c r="C11" i="78" s="1"/>
  <c r="D12" i="6"/>
  <c r="E12" i="90"/>
  <c r="F40" i="6"/>
  <c r="E40"/>
  <c r="C40" i="78" s="1"/>
  <c r="D20" i="6"/>
  <c r="E20" i="90"/>
  <c r="D42" i="6"/>
  <c r="E42" i="90"/>
  <c r="E28" i="6"/>
  <c r="C28" i="78" s="1"/>
  <c r="F28" i="6"/>
  <c r="F32"/>
  <c r="E32"/>
  <c r="C32" i="78" s="1"/>
  <c r="F34" i="6"/>
  <c r="E34"/>
  <c r="C34" i="78" s="1"/>
  <c r="I48" i="45"/>
  <c r="G11" i="44"/>
  <c r="E11" i="42" s="1"/>
  <c r="C11" i="45"/>
  <c r="G11" i="42" s="1"/>
  <c r="I11" i="44"/>
  <c r="F11" i="42" s="1"/>
  <c r="E11" i="45"/>
  <c r="H11" i="42" s="1"/>
  <c r="C11" i="44"/>
  <c r="C11" i="42" s="1"/>
  <c r="E11" i="44"/>
  <c r="D11" i="42" s="1"/>
  <c r="G11" i="45"/>
  <c r="E30" i="6"/>
  <c r="C30" i="78" s="1"/>
  <c r="F30" i="6"/>
  <c r="F46"/>
  <c r="E46"/>
  <c r="C46" i="78" s="1"/>
  <c r="E19" i="6"/>
  <c r="C19" i="78" s="1"/>
  <c r="F19" i="6"/>
  <c r="J11" i="42"/>
  <c r="I48" i="43" l="1"/>
  <c r="B48" i="42" s="1"/>
  <c r="I48" i="44"/>
  <c r="F48" i="42" s="1"/>
  <c r="L15" s="1"/>
  <c r="E48" i="45"/>
  <c r="H48" i="42" s="1"/>
  <c r="L17" s="1"/>
  <c r="C48" i="45"/>
  <c r="G48" i="42" s="1"/>
  <c r="L16" s="1"/>
  <c r="G48" i="44"/>
  <c r="E48" i="42" s="1"/>
  <c r="L14" s="1"/>
  <c r="E48" i="44"/>
  <c r="D48" i="42" s="1"/>
  <c r="L13" s="1"/>
  <c r="C48" i="44"/>
  <c r="C48" i="42" s="1"/>
  <c r="L12" s="1"/>
  <c r="G48" i="45"/>
  <c r="F42" i="6"/>
  <c r="E42"/>
  <c r="C42" i="78" s="1"/>
  <c r="F20" i="6"/>
  <c r="E20"/>
  <c r="C20" i="78" s="1"/>
  <c r="E12" i="6"/>
  <c r="C12" i="78" s="1"/>
  <c r="F12" i="6"/>
  <c r="E24"/>
  <c r="C24" i="78" s="1"/>
  <c r="F24" i="6"/>
  <c r="D48"/>
  <c r="F13"/>
  <c r="E13"/>
  <c r="C13" i="78" s="1"/>
  <c r="E27" i="6"/>
  <c r="C27" i="78" s="1"/>
  <c r="F27" i="6"/>
  <c r="F48" l="1"/>
  <c r="E48"/>
  <c r="C48" i="78" s="1"/>
  <c r="L11" i="42"/>
  <c r="L19" s="1"/>
  <c r="J48"/>
</calcChain>
</file>

<file path=xl/comments1.xml><?xml version="1.0" encoding="utf-8"?>
<comments xmlns="http://schemas.openxmlformats.org/spreadsheetml/2006/main">
  <authors>
    <author>GPizarro</author>
  </authors>
  <commentList>
    <comment ref="J28" authorId="0">
      <text>
        <r>
          <rPr>
            <b/>
            <sz val="9"/>
            <color indexed="81"/>
            <rFont val="Tahoma"/>
            <family val="2"/>
          </rPr>
          <t>Ajusted according this email.</t>
        </r>
        <r>
          <rPr>
            <sz val="9"/>
            <color indexed="81"/>
            <rFont val="Tahoma"/>
            <family val="2"/>
          </rPr>
          <t xml:space="preserve">
From: Gerald Puhach [mailto:gpuhach@pwsd.ca]
Sent: October-06-11 11:09 AM
To: Schilling, Lyndonna (EDU)
Subject: Fwd: Re: FW: PA- 2011-12 Budget Review Continuation
Wayway should have been 55,000 not 95,000 I had emailed you yesterday Sorry about that.
</t>
        </r>
      </text>
    </comment>
  </commentList>
</comments>
</file>

<file path=xl/comments2.xml><?xml version="1.0" encoding="utf-8"?>
<comments xmlns="http://schemas.openxmlformats.org/spreadsheetml/2006/main">
  <authors>
    <author>GPizzaro</author>
  </authors>
  <commentList>
    <comment ref="J8" authorId="0">
      <text>
        <r>
          <rPr>
            <b/>
            <sz val="8"/>
            <color indexed="81"/>
            <rFont val="Tahoma"/>
            <family val="2"/>
          </rPr>
          <t>GPizzaro:</t>
        </r>
        <r>
          <rPr>
            <sz val="8"/>
            <color indexed="81"/>
            <rFont val="Tahoma"/>
            <family val="2"/>
          </rPr>
          <t xml:space="preserve">
Portioned assessment come from W:\Edusfb\Total School Assessment\YYYY F assessment.</t>
        </r>
      </text>
    </comment>
  </commentList>
</comments>
</file>

<file path=xl/sharedStrings.xml><?xml version="1.0" encoding="utf-8"?>
<sst xmlns="http://schemas.openxmlformats.org/spreadsheetml/2006/main" count="3126" uniqueCount="640">
  <si>
    <t>PUPIL / EDUCATOR</t>
  </si>
  <si>
    <t>RATIO</t>
  </si>
  <si>
    <t>PAGE 1 OF 3</t>
  </si>
  <si>
    <t xml:space="preserve"> </t>
  </si>
  <si>
    <t>PAGE 2 OF 3</t>
  </si>
  <si>
    <t>PAGE 3 OF 3</t>
  </si>
  <si>
    <t xml:space="preserve"> FRAME STUDENT STATISTICS</t>
  </si>
  <si>
    <t>PAGE 1 OF 2</t>
  </si>
  <si>
    <t xml:space="preserve">PAGE 2 OF 2 </t>
  </si>
  <si>
    <t xml:space="preserve"> FUNCTION 100: REGULAR INSTRUCTION</t>
  </si>
  <si>
    <t>ADMINISTRATION /</t>
  </si>
  <si>
    <t>CLINICAL AND</t>
  </si>
  <si>
    <t>BUSINESS AND</t>
  </si>
  <si>
    <t xml:space="preserve"> FUNCTION 400: COMMUNITY EDUCATION AND SERVICES</t>
  </si>
  <si>
    <t>INSTRUCTIONAL MGMT.</t>
  </si>
  <si>
    <t>MANAGEMENT</t>
  </si>
  <si>
    <t>PROFESSIONAL AND</t>
  </si>
  <si>
    <t>CURRICULUM CONSULTING</t>
  </si>
  <si>
    <t>COUNSELLING AND</t>
  </si>
  <si>
    <t xml:space="preserve"> FUNCTION 700: TRANSPORTATION OF PUPILS</t>
  </si>
  <si>
    <t xml:space="preserve"> FUNCTION 800: OPERATIONS AND MAINTENANCE</t>
  </si>
  <si>
    <t xml:space="preserve"> FUNCTION 900: FISCAL</t>
  </si>
  <si>
    <t>TECHNOLOGY</t>
  </si>
  <si>
    <t>TRANSPORTATION</t>
  </si>
  <si>
    <t>OPERATIONS AND</t>
  </si>
  <si>
    <t>REGULAR TRANSPORTATION</t>
  </si>
  <si>
    <t>ADMINISTRATION, REGULAR AND OTHER</t>
  </si>
  <si>
    <t>REPAIRS AND</t>
  </si>
  <si>
    <t>LESS</t>
  </si>
  <si>
    <t xml:space="preserve">TOTAL </t>
  </si>
  <si>
    <t>ADMINISTRATION</t>
  </si>
  <si>
    <t>ENGLISH LANGUAGE</t>
  </si>
  <si>
    <t>FRANÇAIS</t>
  </si>
  <si>
    <t>FRENCH IMMERSION</t>
  </si>
  <si>
    <t>COORDINATION</t>
  </si>
  <si>
    <t>RELATED SERVICES</t>
  </si>
  <si>
    <t>SUPPORT SERVICES</t>
  </si>
  <si>
    <t>COMMUNITY SERVICES</t>
  </si>
  <si>
    <t>BOARD OF TRUSTEES</t>
  </si>
  <si>
    <t>AND ADMINISTRATION</t>
  </si>
  <si>
    <t>ADMIN. SERVICES</t>
  </si>
  <si>
    <t>INFORMATION SERVICES</t>
  </si>
  <si>
    <t>STAFF DEVELOPMENT</t>
  </si>
  <si>
    <t>AND DEVELOPMENT</t>
  </si>
  <si>
    <t>OTHER</t>
  </si>
  <si>
    <t>ALLOWANCES IN LIEU</t>
  </si>
  <si>
    <t>BOARDING OF</t>
  </si>
  <si>
    <t>SCHOOL BUILDINGS</t>
  </si>
  <si>
    <t>HEALTH AND</t>
  </si>
  <si>
    <t>REGULAR INSTRUCTION</t>
  </si>
  <si>
    <t>COMMUNITY EDUCATION</t>
  </si>
  <si>
    <t>OF PUPILS</t>
  </si>
  <si>
    <t>MAINTENANCE</t>
  </si>
  <si>
    <t>FISCAL</t>
  </si>
  <si>
    <t>TOTAL</t>
  </si>
  <si>
    <t>(PROGRAM 720)</t>
  </si>
  <si>
    <t>(PROGRAMS 710, 720 AND 790)</t>
  </si>
  <si>
    <t>REPLACEMENTS</t>
  </si>
  <si>
    <t>COMMUNITY</t>
  </si>
  <si>
    <t>PER</t>
  </si>
  <si>
    <t>&amp; RECREATION</t>
  </si>
  <si>
    <t>REGULAR</t>
  </si>
  <si>
    <t>OF TRANSPORTATION</t>
  </si>
  <si>
    <t>STUDENTS</t>
  </si>
  <si>
    <t>OTHER BUILDINGS</t>
  </si>
  <si>
    <t>GROUNDS</t>
  </si>
  <si>
    <t>DEBT SERVICES</t>
  </si>
  <si>
    <t>EDUCATION LEVY</t>
  </si>
  <si>
    <t>ENGLISH</t>
  </si>
  <si>
    <t>FRENCH</t>
  </si>
  <si>
    <t>NURSERY</t>
  </si>
  <si>
    <t xml:space="preserve">REGULAR </t>
  </si>
  <si>
    <t>TOTAL KM.</t>
  </si>
  <si>
    <t>COST</t>
  </si>
  <si>
    <t>LOADED</t>
  </si>
  <si>
    <t>COST PER</t>
  </si>
  <si>
    <t>EDUCATION</t>
  </si>
  <si>
    <t>FOR PER PUPIL</t>
  </si>
  <si>
    <t>AREA</t>
  </si>
  <si>
    <t xml:space="preserve"> DIVISION / DISTRICT</t>
  </si>
  <si>
    <t>AMOUNT</t>
  </si>
  <si>
    <t>%</t>
  </si>
  <si>
    <t>PUPIL</t>
  </si>
  <si>
    <t>LANGUAGE</t>
  </si>
  <si>
    <t>IMMERSION</t>
  </si>
  <si>
    <t>BILINGUAL</t>
  </si>
  <si>
    <t>PUPILS</t>
  </si>
  <si>
    <t>(ROUTES)</t>
  </si>
  <si>
    <t>PER KM.</t>
  </si>
  <si>
    <t>KM.</t>
  </si>
  <si>
    <t>(LOG BOOK)</t>
  </si>
  <si>
    <t xml:space="preserve">PER PUPIL </t>
  </si>
  <si>
    <t>TRANSFERS</t>
  </si>
  <si>
    <t>TOTAL PORTIONED ASSESSMENT, SPECIAL LEVY AND MILL RATES</t>
  </si>
  <si>
    <t>PROVINCIAL GOVERNMENT</t>
  </si>
  <si>
    <t>BASE SUPPORT</t>
  </si>
  <si>
    <t>CATEGORICAL SUPPORT</t>
  </si>
  <si>
    <t>PRIVATE</t>
  </si>
  <si>
    <t>% OF OPERATING FUND REVENUES</t>
  </si>
  <si>
    <t>FEDERAL</t>
  </si>
  <si>
    <t>MUNICIPAL</t>
  </si>
  <si>
    <t>OTHER SCHOOL</t>
  </si>
  <si>
    <t>ORGANIZATIONS</t>
  </si>
  <si>
    <t>NON-PROVINCIAL</t>
  </si>
  <si>
    <t>OPERATING</t>
  </si>
  <si>
    <t>GOVERNMENTS</t>
  </si>
  <si>
    <t>URBAN</t>
  </si>
  <si>
    <t>FARM</t>
  </si>
  <si>
    <t>SPECIAL</t>
  </si>
  <si>
    <t>ASSESSMENT</t>
  </si>
  <si>
    <t>COUNSELLING</t>
  </si>
  <si>
    <t>LIBRARY</t>
  </si>
  <si>
    <t>PROFESSIONAL</t>
  </si>
  <si>
    <t>BASE</t>
  </si>
  <si>
    <t>CATEGORICAL</t>
  </si>
  <si>
    <t>PROGRAM</t>
  </si>
  <si>
    <t>PROVINCIAL</t>
  </si>
  <si>
    <t>FUND</t>
  </si>
  <si>
    <t>GOVERNMENT</t>
  </si>
  <si>
    <t>DIVISIONS</t>
  </si>
  <si>
    <t>FIRST NATIONS</t>
  </si>
  <si>
    <t>&amp; INDIVIDUALS</t>
  </si>
  <si>
    <t>REVENUE</t>
  </si>
  <si>
    <t>SCHOOL</t>
  </si>
  <si>
    <t>FIRST</t>
  </si>
  <si>
    <t>ORG.'S &amp;</t>
  </si>
  <si>
    <t>DEBT</t>
  </si>
  <si>
    <t>CAPITAL</t>
  </si>
  <si>
    <t>AND FARM</t>
  </si>
  <si>
    <t>LAND AND</t>
  </si>
  <si>
    <t>LEVY</t>
  </si>
  <si>
    <t>MINING</t>
  </si>
  <si>
    <t>SUPPORT</t>
  </si>
  <si>
    <t>OCCUPANCY</t>
  </si>
  <si>
    <t>AND GUIDANCE</t>
  </si>
  <si>
    <t>SERVICES</t>
  </si>
  <si>
    <t>DEVELOPMENT</t>
  </si>
  <si>
    <t>NATIONS</t>
  </si>
  <si>
    <t>INDIVIDUALS</t>
  </si>
  <si>
    <t>BUILDINGS</t>
  </si>
  <si>
    <t>EQUIPMENT</t>
  </si>
  <si>
    <t>RESIDENTIAL</t>
  </si>
  <si>
    <t xml:space="preserve">OTHER  </t>
  </si>
  <si>
    <t>SPECIAL LEVY</t>
  </si>
  <si>
    <t>OTHER DIVISIONS</t>
  </si>
  <si>
    <t>OBJECT</t>
  </si>
  <si>
    <t>EMPLOYEE</t>
  </si>
  <si>
    <t>SUPPLIES AND</t>
  </si>
  <si>
    <t>SALARIES</t>
  </si>
  <si>
    <t>BENEFITS</t>
  </si>
  <si>
    <t>MATERIALS</t>
  </si>
  <si>
    <t>TOTALS</t>
  </si>
  <si>
    <t>COMMUNITY EDUCATION &amp; SERVICES</t>
  </si>
  <si>
    <t>TRANSPORTATION OF PUPILS</t>
  </si>
  <si>
    <t>OPERATIONS AND MAINTENANCE</t>
  </si>
  <si>
    <t>PAGE 2 OF 2</t>
  </si>
  <si>
    <t>FUNCTION</t>
  </si>
  <si>
    <t>INSTRUCTION</t>
  </si>
  <si>
    <t>EMPLOYEE BENEFITS AND ALLOWANCES</t>
  </si>
  <si>
    <t>FRAME STUDENT STATISTICS</t>
  </si>
  <si>
    <t xml:space="preserve">PAGE 1 OF 2 </t>
  </si>
  <si>
    <t>NO. OF</t>
  </si>
  <si>
    <t>%  IN DUAL TRACK SCHOOLS</t>
  </si>
  <si>
    <t>F.T.E.</t>
  </si>
  <si>
    <t>CHECK</t>
  </si>
  <si>
    <t>ENROLMENTS - HEADCOUNT, FRAME AND ELIGIBLE</t>
  </si>
  <si>
    <t>ENROLMENT</t>
  </si>
  <si>
    <t>FRAME PUPIL / TEACHER RATIOS</t>
  </si>
  <si>
    <t>PUPIL / TEACHER RATIOS</t>
  </si>
  <si>
    <t>INSURANCE</t>
  </si>
  <si>
    <t>EMPLOYEE BENEFITS</t>
  </si>
  <si>
    <t>SUPPLIES &amp; MATERIALS</t>
  </si>
  <si>
    <t>OPERATIONS &amp; MAINTENANCE</t>
  </si>
  <si>
    <t>INSTRUCTIONAL &amp; PUPIL SUPPORT SERVICES</t>
  </si>
  <si>
    <t>OTHER RESOURCE</t>
  </si>
  <si>
    <t>DIVISIONAL</t>
  </si>
  <si>
    <t>DIVISIONAL ADMINISTRATION</t>
  </si>
  <si>
    <t xml:space="preserve"> FUNCTION 500: DIVISIONAL ADMINISTRATION</t>
  </si>
  <si>
    <t>PRE-KINDERGARTEN</t>
  </si>
  <si>
    <t xml:space="preserve">N/A </t>
  </si>
  <si>
    <t>ACTUAL</t>
  </si>
  <si>
    <t>ESTIMATE</t>
  </si>
  <si>
    <t>SENIOR YEARS</t>
  </si>
  <si>
    <t>EXPENDITURE</t>
  </si>
  <si>
    <t>(1)</t>
  </si>
  <si>
    <t>- 10 -</t>
  </si>
  <si>
    <t>PER RESIDENT</t>
  </si>
  <si>
    <t>STATISTICAL SUMMARY</t>
  </si>
  <si>
    <t>TRANSPORTED</t>
  </si>
  <si>
    <t>CURRICULAR</t>
  </si>
  <si>
    <t>INFORMATION</t>
  </si>
  <si>
    <t>EARLY</t>
  </si>
  <si>
    <t>INTERVENTION</t>
  </si>
  <si>
    <t>PAGE 1 OF 5</t>
  </si>
  <si>
    <t>PAGE 2 OF 5</t>
  </si>
  <si>
    <t>PAGE 3 OF 5</t>
  </si>
  <si>
    <t>PAGE 4 OF 5</t>
  </si>
  <si>
    <t>PAGE 5 OF 5</t>
  </si>
  <si>
    <t>ABORIGINAL</t>
  </si>
  <si>
    <t>ACADEMIC</t>
  </si>
  <si>
    <t>PROGRAMS</t>
  </si>
  <si>
    <t>LITERACY</t>
  </si>
  <si>
    <t>(Grants-</t>
  </si>
  <si>
    <t>in-Lieu)</t>
  </si>
  <si>
    <t>AND SERVICES</t>
  </si>
  <si>
    <t>ADULT LEARNING</t>
  </si>
  <si>
    <t>ADULT LEARNING CENTRES</t>
  </si>
  <si>
    <t>ACHIEVEMENT</t>
  </si>
  <si>
    <t>AND OTHER</t>
  </si>
  <si>
    <t>- 13 -</t>
  </si>
  <si>
    <t>- 12 -</t>
  </si>
  <si>
    <t>SQ. FT. PER</t>
  </si>
  <si>
    <t>INSTRUCTIONAL</t>
  </si>
  <si>
    <t>SCHOOLS</t>
  </si>
  <si>
    <t>FUNDING OF</t>
  </si>
  <si>
    <t>FUNDING OF SCHOOLS PROGRAM (CONT'D)</t>
  </si>
  <si>
    <t>FUNDING OF SCHOOLS PROGRAM</t>
  </si>
  <si>
    <t>TOTAL FUNDING</t>
  </si>
  <si>
    <t>OF SCHOOLS</t>
  </si>
  <si>
    <t>TECHNOLOGY EDUCATION</t>
  </si>
  <si>
    <t>CONTINUING</t>
  </si>
  <si>
    <t>REPAIRS</t>
  </si>
  <si>
    <t>SPARSITY</t>
  </si>
  <si>
    <t>EQUALIZATION</t>
  </si>
  <si>
    <t xml:space="preserve"> BEAUTIFUL PLAINS</t>
  </si>
  <si>
    <t xml:space="preserve"> BORDER LAND</t>
  </si>
  <si>
    <t xml:space="preserve"> BRANDON</t>
  </si>
  <si>
    <t xml:space="preserve"> EVERGREEN</t>
  </si>
  <si>
    <t xml:space="preserve"> FLIN FLON</t>
  </si>
  <si>
    <t xml:space="preserve"> FORT LA BOSSE</t>
  </si>
  <si>
    <t xml:space="preserve"> FRONTIER</t>
  </si>
  <si>
    <t xml:space="preserve"> GARDEN VALLEY</t>
  </si>
  <si>
    <t xml:space="preserve"> HANOVER</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</si>
  <si>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</si>
  <si>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</si>
  <si>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</si>
  <si>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</si>
  <si>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</si>
  <si>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</si>
  <si>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</si>
  <si>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</si>
  <si>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</si>
  <si>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</si>
  <si>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</si>
  <si>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</si>
  <si>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</si>
  <si>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</si>
  <si>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</si>
  <si>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</si>
  <si>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</si>
  <si>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</si>
  <si>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</si>
  <si>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</si>
  <si>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</si>
  <si>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</si>
  <si>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</si>
  <si>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t>
  </si>
  <si>
    <t xml:space="preserve"> WESTERN</t>
  </si>
  <si>
    <t xml:space="preserve"> WINNIPEG</t>
  </si>
  <si>
    <t xml:space="preserve"> PROVINCE</t>
  </si>
  <si>
    <t xml:space="preserve"> WHITESHELL</t>
  </si>
  <si>
    <t xml:space="preserve"> WPG. TECHNICAL COLLEGE</t>
  </si>
  <si>
    <t>MEDIA CENTRE</t>
  </si>
  <si>
    <t xml:space="preserve"> L.G.D. OF PINAWA</t>
  </si>
  <si>
    <t xml:space="preserve"> NOT IN ANY DIVISION</t>
  </si>
  <si>
    <t xml:space="preserve"> DIVISION/DISTRICT TOTAL</t>
  </si>
  <si>
    <t>FIELD TRIPS</t>
  </si>
  <si>
    <t>EXPENSES</t>
  </si>
  <si>
    <t>OPERATIONS &amp;</t>
  </si>
  <si>
    <t>CURRICULUM</t>
  </si>
  <si>
    <t>FUNCTION 500</t>
  </si>
  <si>
    <t>PROGRAM 605</t>
  </si>
  <si>
    <t>PROGRAM 710</t>
  </si>
  <si>
    <t>PROGRAM 810</t>
  </si>
  <si>
    <t>CONSULTING /</t>
  </si>
  <si>
    <t>PORTION OF</t>
  </si>
  <si>
    <t>SELF-FUNDED</t>
  </si>
  <si>
    <t>ADMIN.</t>
  </si>
  <si>
    <t xml:space="preserve"> &amp; ADMIN.</t>
  </si>
  <si>
    <t>CENTRES</t>
  </si>
  <si>
    <t>PLUS</t>
  </si>
  <si>
    <t>TO</t>
  </si>
  <si>
    <t>AS % OF</t>
  </si>
  <si>
    <t>LESS ADULT</t>
  </si>
  <si>
    <t>LEARNING</t>
  </si>
  <si>
    <t xml:space="preserve"> FUNCTION 300: ADULT LEARNING CENTRES</t>
  </si>
  <si>
    <t>LOCAL TAXATION AND ASSESSMENT PER RESIDENT PUPIL</t>
  </si>
  <si>
    <t>MILL RATE</t>
  </si>
  <si>
    <t xml:space="preserve">  TRUSTEES REMUNERATION</t>
  </si>
  <si>
    <t xml:space="preserve">  EXECUTIVE MANAGERIAL, &amp; SUPERVISORY</t>
  </si>
  <si>
    <t xml:space="preserve">  INSTRUCTIONAL - TEACHING</t>
  </si>
  <si>
    <t xml:space="preserve">  INSTRUCTIONAL - OTHER</t>
  </si>
  <si>
    <t xml:space="preserve">  TECHNICAL, SPECIALIZED AND SERVICE</t>
  </si>
  <si>
    <t xml:space="preserve">  SECRETARIAL, CLERICAL AND OTHER</t>
  </si>
  <si>
    <t xml:space="preserve">  CLINICIAN</t>
  </si>
  <si>
    <t xml:space="preserve">  INFORMATION TECHNOLOGY</t>
  </si>
  <si>
    <t xml:space="preserve">  TOTAL SALARIES</t>
  </si>
  <si>
    <t xml:space="preserve">  PROFESSIONAL, TECHNICAL &amp; SPECIALIZED</t>
  </si>
  <si>
    <t xml:space="preserve">  COMMUNICATIONS</t>
  </si>
  <si>
    <t xml:space="preserve">  UTILITY SERVICES</t>
  </si>
  <si>
    <t xml:space="preserve">  TRANSPORTATION OF PUPILS</t>
  </si>
  <si>
    <t xml:space="preserve">  TUITION</t>
  </si>
  <si>
    <t xml:space="preserve">  PRINTING AND BINDING</t>
  </si>
  <si>
    <t xml:space="preserve">  INSURANCE AND BOND PREMIUMS</t>
  </si>
  <si>
    <t xml:space="preserve">  MAINTENANCE AND REPAIR SERVICES</t>
  </si>
  <si>
    <t xml:space="preserve">  RENTALS</t>
  </si>
  <si>
    <t xml:space="preserve">  ADVERTISING</t>
  </si>
  <si>
    <t xml:space="preserve">  DUES AND FEES</t>
  </si>
  <si>
    <t xml:space="preserve">  PROFESSIONAL AND STAFF DEVELOPMENT</t>
  </si>
  <si>
    <t xml:space="preserve">  INFORMATION TECHNOLOGY SERVICES</t>
  </si>
  <si>
    <t xml:space="preserve">  TOTAL SERVICES</t>
  </si>
  <si>
    <t>SUPPLIES AND EQUIPMENT</t>
  </si>
  <si>
    <t xml:space="preserve">  SUPPLIES</t>
  </si>
  <si>
    <t xml:space="preserve">  CURRICULAR AND MEDIA MATERIALS</t>
  </si>
  <si>
    <t xml:space="preserve">  MINOR EQUIPMENT</t>
  </si>
  <si>
    <t xml:space="preserve">  INFORMATION TECHNOLOGY EQUIPMENT</t>
  </si>
  <si>
    <t xml:space="preserve">  TOTAL SUPPLIES AND EQUIPMENT</t>
  </si>
  <si>
    <t xml:space="preserve">  DEBT SERVICES</t>
  </si>
  <si>
    <t xml:space="preserve">  OTHER GOVERNMENT AUTHORITIES</t>
  </si>
  <si>
    <t xml:space="preserve">  TOTAL TRANSFERS</t>
  </si>
  <si>
    <t>PROVINCE</t>
  </si>
  <si>
    <t>LIBRARY /</t>
  </si>
  <si>
    <t>PAGE 1 0F 2</t>
  </si>
  <si>
    <t>PAGE 2 0F 2</t>
  </si>
  <si>
    <t>ADJUSTED</t>
  </si>
  <si>
    <t>(from page 3)</t>
  </si>
  <si>
    <t>CALCULATION OF EXPENDITURE BASE AND ADMINISTRATION PERCENTAGE</t>
  </si>
  <si>
    <t xml:space="preserve"> WPG. TECHNICAL COLL.</t>
  </si>
  <si>
    <t>CURRICULUM CONSULTING AND</t>
  </si>
  <si>
    <t>ACTUAL AND ESTIMATES AS OF SEPTEMBER 30</t>
  </si>
  <si>
    <t>Reallocation of administration costs associated with Adult Learning Centre operations from Function 500 to Function 300.</t>
  </si>
  <si>
    <t>(2)</t>
  </si>
  <si>
    <t>Health and Education Support Levy.</t>
  </si>
  <si>
    <t>DEVELOPMENT ADMINISTRATION</t>
  </si>
  <si>
    <t>(3)</t>
  </si>
  <si>
    <t>(4)</t>
  </si>
  <si>
    <r>
      <t xml:space="preserve">EXPENSES </t>
    </r>
    <r>
      <rPr>
        <b/>
        <vertAlign val="superscript"/>
        <sz val="9"/>
        <rFont val="Arial"/>
        <family val="2"/>
      </rPr>
      <t>(1)</t>
    </r>
  </si>
  <si>
    <r>
      <t xml:space="preserve">TRANSFERS </t>
    </r>
    <r>
      <rPr>
        <b/>
        <vertAlign val="superscript"/>
        <sz val="9"/>
        <rFont val="Arial"/>
        <family val="2"/>
      </rPr>
      <t>(2)</t>
    </r>
  </si>
  <si>
    <r>
      <t xml:space="preserve">&amp; SERVICES </t>
    </r>
    <r>
      <rPr>
        <b/>
        <vertAlign val="superscript"/>
        <sz val="9"/>
        <rFont val="Arial"/>
        <family val="2"/>
      </rPr>
      <t>(4)</t>
    </r>
  </si>
  <si>
    <r>
      <t xml:space="preserve">COSTS </t>
    </r>
    <r>
      <rPr>
        <b/>
        <vertAlign val="superscript"/>
        <sz val="9"/>
        <rFont val="Arial"/>
        <family val="2"/>
      </rPr>
      <t>(5)</t>
    </r>
  </si>
  <si>
    <r>
      <t xml:space="preserve">SINGLE TRACK </t>
    </r>
    <r>
      <rPr>
        <b/>
        <vertAlign val="superscript"/>
        <sz val="9"/>
        <rFont val="Arial"/>
        <family val="2"/>
      </rPr>
      <t>(1)</t>
    </r>
  </si>
  <si>
    <r>
      <t xml:space="preserve">DUAL TRACK </t>
    </r>
    <r>
      <rPr>
        <b/>
        <vertAlign val="superscript"/>
        <sz val="9"/>
        <rFont val="Arial"/>
        <family val="2"/>
      </rPr>
      <t>(2)</t>
    </r>
  </si>
  <si>
    <r>
      <t xml:space="preserve">INSTRUCTION </t>
    </r>
    <r>
      <rPr>
        <b/>
        <vertAlign val="superscript"/>
        <sz val="9"/>
        <rFont val="Arial"/>
        <family val="2"/>
      </rPr>
      <t>(1)</t>
    </r>
  </si>
  <si>
    <r>
      <t xml:space="preserve">EDUCATOR </t>
    </r>
    <r>
      <rPr>
        <b/>
        <vertAlign val="superscript"/>
        <sz val="9"/>
        <rFont val="Arial"/>
        <family val="2"/>
      </rPr>
      <t>(2)</t>
    </r>
  </si>
  <si>
    <r>
      <t xml:space="preserve">HEADCOUNT </t>
    </r>
    <r>
      <rPr>
        <b/>
        <vertAlign val="superscript"/>
        <sz val="9"/>
        <rFont val="Arial"/>
        <family val="2"/>
      </rPr>
      <t>(1)</t>
    </r>
  </si>
  <si>
    <r>
      <t xml:space="preserve">FRAME </t>
    </r>
    <r>
      <rPr>
        <b/>
        <vertAlign val="superscript"/>
        <sz val="9"/>
        <rFont val="Arial"/>
        <family val="2"/>
      </rPr>
      <t>(2)</t>
    </r>
  </si>
  <si>
    <r>
      <t xml:space="preserve">ELIGIBLE </t>
    </r>
    <r>
      <rPr>
        <b/>
        <vertAlign val="superscript"/>
        <sz val="9"/>
        <rFont val="Arial"/>
        <family val="2"/>
      </rPr>
      <t>(3)</t>
    </r>
  </si>
  <si>
    <r>
      <t xml:space="preserve">SQ. FT. </t>
    </r>
    <r>
      <rPr>
        <b/>
        <vertAlign val="superscript"/>
        <sz val="9"/>
        <rFont val="Arial"/>
        <family val="2"/>
      </rPr>
      <t>(1)</t>
    </r>
  </si>
  <si>
    <r>
      <t xml:space="preserve">PUPIL </t>
    </r>
    <r>
      <rPr>
        <b/>
        <vertAlign val="superscript"/>
        <sz val="9"/>
        <rFont val="Arial"/>
        <family val="2"/>
      </rPr>
      <t>(2)</t>
    </r>
  </si>
  <si>
    <t xml:space="preserve"> FUNCTION 800: (CONT'D)</t>
  </si>
  <si>
    <t xml:space="preserve"> FUNCTION 700: TRANSPORTATION (CONT'D)</t>
  </si>
  <si>
    <t xml:space="preserve"> FUNCTION 500: (CONT'D)</t>
  </si>
  <si>
    <r>
      <t xml:space="preserve">GIFTED EDUCATION </t>
    </r>
    <r>
      <rPr>
        <b/>
        <vertAlign val="superscript"/>
        <sz val="9"/>
        <rFont val="Arial"/>
        <family val="2"/>
      </rPr>
      <t>(1)</t>
    </r>
  </si>
  <si>
    <t xml:space="preserve"> FUNCTION 100: REGULAR INSTRUCTION (CONT'D)</t>
  </si>
  <si>
    <r>
      <t xml:space="preserve">DUAL TRACK SCHOOLS </t>
    </r>
    <r>
      <rPr>
        <b/>
        <vertAlign val="superscript"/>
        <sz val="9"/>
        <rFont val="Arial"/>
        <family val="2"/>
      </rPr>
      <t>(1)</t>
    </r>
  </si>
  <si>
    <r>
      <t xml:space="preserve">SINGLE TRACK SCHOOLS </t>
    </r>
    <r>
      <rPr>
        <b/>
        <vertAlign val="superscript"/>
        <sz val="9"/>
        <rFont val="Arial"/>
        <family val="2"/>
      </rPr>
      <t>(1)</t>
    </r>
  </si>
  <si>
    <r>
      <t xml:space="preserve">PROGRAM </t>
    </r>
    <r>
      <rPr>
        <b/>
        <vertAlign val="superscript"/>
        <sz val="9"/>
        <rFont val="Arial"/>
        <family val="2"/>
      </rPr>
      <t>(1)</t>
    </r>
  </si>
  <si>
    <r>
      <t xml:space="preserve">RESIDENT PUPIL </t>
    </r>
    <r>
      <rPr>
        <b/>
        <vertAlign val="superscript"/>
        <sz val="9"/>
        <rFont val="Arial"/>
        <family val="2"/>
      </rPr>
      <t>(1)</t>
    </r>
  </si>
  <si>
    <r>
      <t xml:space="preserve">PER PUPIL </t>
    </r>
    <r>
      <rPr>
        <b/>
        <vertAlign val="superscript"/>
        <sz val="9"/>
        <rFont val="Arial"/>
        <family val="2"/>
      </rPr>
      <t>(1)</t>
    </r>
  </si>
  <si>
    <r>
      <t xml:space="preserve">FUNCTION 300 </t>
    </r>
    <r>
      <rPr>
        <b/>
        <vertAlign val="superscript"/>
        <sz val="9"/>
        <rFont val="Arial"/>
        <family val="2"/>
      </rPr>
      <t>(1)</t>
    </r>
  </si>
  <si>
    <r>
      <t xml:space="preserve">SUPPORT </t>
    </r>
    <r>
      <rPr>
        <b/>
        <vertAlign val="superscript"/>
        <sz val="9"/>
        <rFont val="Arial"/>
        <family val="2"/>
      </rPr>
      <t>(1)</t>
    </r>
  </si>
  <si>
    <r>
      <t xml:space="preserve">CATEGORICAL </t>
    </r>
    <r>
      <rPr>
        <b/>
        <vertAlign val="superscript"/>
        <sz val="9"/>
        <rFont val="Arial"/>
        <family val="2"/>
      </rPr>
      <t>(1)</t>
    </r>
  </si>
  <si>
    <r>
      <t xml:space="preserve">NEEDS </t>
    </r>
    <r>
      <rPr>
        <b/>
        <vertAlign val="superscript"/>
        <sz val="9"/>
        <rFont val="Arial"/>
        <family val="2"/>
      </rPr>
      <t>(2)</t>
    </r>
  </si>
  <si>
    <r>
      <t xml:space="preserve">SUPPORT </t>
    </r>
    <r>
      <rPr>
        <b/>
        <vertAlign val="superscript"/>
        <sz val="9"/>
        <rFont val="Arial"/>
        <family val="2"/>
      </rPr>
      <t>(2)</t>
    </r>
  </si>
  <si>
    <t xml:space="preserve">      per pupil costs.</t>
  </si>
  <si>
    <t xml:space="preserve">      400 (Community Education and Services).</t>
  </si>
  <si>
    <t xml:space="preserve">      categories exclude administration at the school level (Function 100 - Regular Instruction, Program 110) and special needs administration (Function</t>
  </si>
  <si>
    <t>PROPERTY</t>
  </si>
  <si>
    <r>
      <t xml:space="preserve">TAX CREDIT </t>
    </r>
    <r>
      <rPr>
        <b/>
        <vertAlign val="superscript"/>
        <sz val="9"/>
        <rFont val="Arial"/>
        <family val="2"/>
      </rPr>
      <t>(2)</t>
    </r>
  </si>
  <si>
    <t xml:space="preserve"> WPG. TECH. COLLEGE</t>
  </si>
  <si>
    <r>
      <t xml:space="preserve">REVENUE </t>
    </r>
    <r>
      <rPr>
        <b/>
        <vertAlign val="superscript"/>
        <sz val="9"/>
        <rFont val="Arial"/>
        <family val="2"/>
      </rPr>
      <t>(4)</t>
    </r>
  </si>
  <si>
    <r>
      <t xml:space="preserve">REVENUE </t>
    </r>
    <r>
      <rPr>
        <b/>
        <vertAlign val="superscript"/>
        <sz val="9"/>
        <rFont val="Arial"/>
        <family val="2"/>
      </rPr>
      <t>(5)</t>
    </r>
  </si>
  <si>
    <r>
      <t xml:space="preserve">GOVERNMENT </t>
    </r>
    <r>
      <rPr>
        <b/>
        <vertAlign val="superscript"/>
        <sz val="9"/>
        <rFont val="Arial"/>
        <family val="2"/>
      </rPr>
      <t>(1)</t>
    </r>
  </si>
  <si>
    <r>
      <t xml:space="preserve">MILL RATE </t>
    </r>
    <r>
      <rPr>
        <b/>
        <vertAlign val="superscript"/>
        <sz val="9"/>
        <rFont val="Arial"/>
        <family val="2"/>
      </rPr>
      <t>(2)</t>
    </r>
  </si>
  <si>
    <r>
      <t xml:space="preserve">LEVY </t>
    </r>
    <r>
      <rPr>
        <b/>
        <vertAlign val="superscript"/>
        <sz val="9"/>
        <rFont val="Arial"/>
        <family val="2"/>
      </rPr>
      <t>(1)</t>
    </r>
  </si>
  <si>
    <t xml:space="preserve">      defined categories to 4% (urban school divisions), 4.5% (rural school divisions) and 5.0% (northern school divisions).  Frontier School Division,</t>
  </si>
  <si>
    <r>
      <t xml:space="preserve">INFORMATION SERVICES </t>
    </r>
    <r>
      <rPr>
        <b/>
        <vertAlign val="superscript"/>
        <sz val="9"/>
        <rFont val="Arial"/>
        <family val="2"/>
      </rPr>
      <t>(2)</t>
    </r>
  </si>
  <si>
    <t xml:space="preserve">      Learning Centres on page 15 owing to the inclusion of operating transfers for the purpose of calculating administration costs.</t>
  </si>
  <si>
    <t xml:space="preserve">  TRAVEL AND MEETINGS</t>
  </si>
  <si>
    <t>STUDENT</t>
  </si>
  <si>
    <t>ENGLISH AS AN</t>
  </si>
  <si>
    <t>ADDITIONAL</t>
  </si>
  <si>
    <t>CHILDHOOD</t>
  </si>
  <si>
    <t>PAGE 1 OF 17</t>
  </si>
  <si>
    <t>PAGE 15 OF 17</t>
  </si>
  <si>
    <t>PAGE 14 OF 17</t>
  </si>
  <si>
    <t>PAGE 13 OF 17</t>
  </si>
  <si>
    <t>PAGE 12 OF 17</t>
  </si>
  <si>
    <t>PAGE 11 OF 17</t>
  </si>
  <si>
    <t>PAGE 10 OF 17</t>
  </si>
  <si>
    <t>PAGE 9 OF 17</t>
  </si>
  <si>
    <t>PAGE 8 OF 17</t>
  </si>
  <si>
    <t>PAGE 7 OF 17</t>
  </si>
  <si>
    <t>PAGE 6 OF 17</t>
  </si>
  <si>
    <t>PAGE 5 OF 17</t>
  </si>
  <si>
    <t>PAGE 4 OF 17</t>
  </si>
  <si>
    <t>PAGE 3 OF 17</t>
  </si>
  <si>
    <t>PAGE 2 OF 17</t>
  </si>
  <si>
    <t>PAGE 16 OF 17</t>
  </si>
  <si>
    <t>PAGE 17 OF 17</t>
  </si>
  <si>
    <t xml:space="preserve"> FUNCTION 200: STUDENT SUPPORT SERVICES</t>
  </si>
  <si>
    <t xml:space="preserve"> FUNCTION 200: STUDENT SUPPORT SERVICES (CONT'D)</t>
  </si>
  <si>
    <t>STUDENT SUPPORT SERVICES</t>
  </si>
  <si>
    <t xml:space="preserve">STUDENT SUPPORT </t>
  </si>
  <si>
    <t>PORTIONED</t>
  </si>
  <si>
    <t xml:space="preserve"> SUPPORT LEVY</t>
  </si>
  <si>
    <t xml:space="preserve">      International Baccalaureate and Advanced Placement classes.</t>
  </si>
  <si>
    <t>LESS:   LIABILITY</t>
  </si>
  <si>
    <r>
      <t xml:space="preserve">GUARANTEE </t>
    </r>
    <r>
      <rPr>
        <b/>
        <vertAlign val="superscript"/>
        <sz val="9"/>
        <rFont val="Arial"/>
        <family val="2"/>
      </rPr>
      <t>(3)</t>
    </r>
  </si>
  <si>
    <t xml:space="preserve">      costs.  Also excluded are expenditures on educational services not provided to K-12 pupils: Function 300 (Adult Learning Centres) and Function</t>
  </si>
  <si>
    <t>NON K-12</t>
  </si>
  <si>
    <t>STUDENT SUPPORT</t>
  </si>
  <si>
    <t>K-12  F.T.E.</t>
  </si>
  <si>
    <t>N-12</t>
  </si>
  <si>
    <t>K-12</t>
  </si>
  <si>
    <r>
      <t xml:space="preserve">  RECHARGE </t>
    </r>
    <r>
      <rPr>
        <vertAlign val="superscript"/>
        <sz val="9"/>
        <rFont val="Arial"/>
        <family val="2"/>
      </rPr>
      <t>(1)</t>
    </r>
  </si>
  <si>
    <r>
      <t>(1)</t>
    </r>
    <r>
      <rPr>
        <sz val="9"/>
        <rFont val="Arial"/>
        <family val="2"/>
      </rPr>
      <t xml:space="preserve">  Reallocation of administration costs associated with Adult Learning Centre operations from Function 500 to Function 300.</t>
    </r>
  </si>
  <si>
    <t>GUIDANCE</t>
  </si>
  <si>
    <t>Reallocation of school building costs associated with Adult Learning Centre operations to Function 300</t>
  </si>
  <si>
    <t>PLACEMENT</t>
  </si>
  <si>
    <t xml:space="preserve">  PROPERTY TAXES</t>
  </si>
  <si>
    <t xml:space="preserve">      elsewhere in this report owing to the inclusion of operating transfers for the purpose of calculating administration costs.</t>
  </si>
  <si>
    <t xml:space="preserve"> FUNCTION 200: (CONT'D)</t>
  </si>
  <si>
    <t>INSTRUCTIONAL &amp; OTHER</t>
  </si>
  <si>
    <t>INSTRUCTIONAL AND OTHER SUPPORT SERVICES</t>
  </si>
  <si>
    <t xml:space="preserve"> FUNCTION 600: INSTRUCTIONAL &amp; OTHER SUPPORT SERVICES</t>
  </si>
  <si>
    <t xml:space="preserve"> FUNCTION 600: INSTRUCTIONAL &amp; OTHER SUPPORT SERVICES (CONT'D)</t>
  </si>
  <si>
    <t>OPERATING FUND EXPENSE PER PUPIL</t>
  </si>
  <si>
    <r>
      <t xml:space="preserve">EXPENSES </t>
    </r>
    <r>
      <rPr>
        <b/>
        <vertAlign val="superscript"/>
        <sz val="10"/>
        <rFont val="Arial"/>
        <family val="2"/>
      </rPr>
      <t xml:space="preserve">(1)    </t>
    </r>
    <r>
      <rPr>
        <b/>
        <sz val="9"/>
        <rFont val="Arial"/>
        <family val="2"/>
      </rPr>
      <t xml:space="preserve">                                               </t>
    </r>
  </si>
  <si>
    <r>
      <t xml:space="preserve">OF TRANSFERS </t>
    </r>
    <r>
      <rPr>
        <b/>
        <vertAlign val="superscript"/>
        <sz val="9"/>
        <rFont val="Arial"/>
        <family val="2"/>
      </rPr>
      <t>(3)</t>
    </r>
  </si>
  <si>
    <t>EXPENSES NET</t>
  </si>
  <si>
    <t>RECONCILIATION  OF  EXPENSES</t>
  </si>
  <si>
    <t>BAD DEBT</t>
  </si>
  <si>
    <t>EXPENSE</t>
  </si>
  <si>
    <t>EXPENSE BY FUNCTION AND OBJECT</t>
  </si>
  <si>
    <t xml:space="preserve">  BAD DEBT EXPENSE</t>
  </si>
  <si>
    <r>
      <t xml:space="preserve"> INFORMATION TECHNOLOGY EXPENSES  </t>
    </r>
    <r>
      <rPr>
        <b/>
        <vertAlign val="superscript"/>
        <sz val="9"/>
        <rFont val="Arial"/>
        <family val="2"/>
      </rPr>
      <t>(1)</t>
    </r>
  </si>
  <si>
    <t>ANALYSIS OF EXPENSE BY PROGRAM</t>
  </si>
  <si>
    <t>ANALYSIS OF  TRANSPORTATION EXPENSES</t>
  </si>
  <si>
    <t>ANALYSIS OF  TRANSPORTATION EXPENSES (CONT'D)</t>
  </si>
  <si>
    <t xml:space="preserve"> ANALYSIS OF OPERATIONS AND MAINTENANCE EXPENSES FOR SCHOOL BUILDINGS</t>
  </si>
  <si>
    <t>ANALYSIS OF EXPENSE BY FUNCTION</t>
  </si>
  <si>
    <t>PHYSICAL</t>
  </si>
  <si>
    <t>FORMULA</t>
  </si>
  <si>
    <t>NET TRANSFERS</t>
  </si>
  <si>
    <r>
      <t xml:space="preserve">CAPITAL FUND </t>
    </r>
    <r>
      <rPr>
        <b/>
        <vertAlign val="superscript"/>
        <sz val="10"/>
        <rFont val="Arial"/>
        <family val="2"/>
      </rPr>
      <t>(1)</t>
    </r>
  </si>
  <si>
    <t>EXPENSE BY 2ND LEVEL OBJECT</t>
  </si>
  <si>
    <t>AS A PERCENTAGE OF TOTAL OPERATING FUND EXPENSES</t>
  </si>
  <si>
    <t xml:space="preserve">      200 - Student Support Services, Program 210).  This appendix provides an analysis of the defined administration expenses as a percentage of the</t>
  </si>
  <si>
    <t>TOTAL DEFINED ADMINISTRATION EXPENSES</t>
  </si>
  <si>
    <t>GROSS SPECIAL</t>
  </si>
  <si>
    <t>TAX INCENTIVE</t>
  </si>
  <si>
    <t>NET SPECIAL</t>
  </si>
  <si>
    <r>
      <t>GRANT</t>
    </r>
    <r>
      <rPr>
        <b/>
        <vertAlign val="superscript"/>
        <sz val="9"/>
        <rFont val="Arial"/>
        <family val="2"/>
      </rPr>
      <t xml:space="preserve"> (1)</t>
    </r>
  </si>
  <si>
    <t xml:space="preserve">      page 53 and Special Needs).</t>
  </si>
  <si>
    <t>SUPPORT FOR</t>
  </si>
  <si>
    <t>SMALL SCHOOLS</t>
  </si>
  <si>
    <t>ADD'N  INST.</t>
  </si>
  <si>
    <t xml:space="preserve"> DIVISION/DISTRICT</t>
  </si>
  <si>
    <t>FORT LA BOSSE</t>
  </si>
  <si>
    <t>FRONTIER</t>
  </si>
  <si>
    <t>GARDEN VALLEY</t>
  </si>
  <si>
    <t>HANOVER</t>
  </si>
  <si>
    <t>INTERLAKE</t>
  </si>
  <si>
    <t>KELSEY</t>
  </si>
  <si>
    <t>LAKESHORE</t>
  </si>
  <si>
    <t>LORD SELKIRK</t>
  </si>
  <si>
    <t>LOUIS RIEL</t>
  </si>
  <si>
    <t>MOUNTAIN VIEW</t>
  </si>
  <si>
    <t>MYSTERY LAKE</t>
  </si>
  <si>
    <t>PARK WEST</t>
  </si>
  <si>
    <t>PEMBINA TRAILS</t>
  </si>
  <si>
    <t>PINE CREEK</t>
  </si>
  <si>
    <t>PORTAGE LA PRAIRIE</t>
  </si>
  <si>
    <t>PRAIRIE ROSE</t>
  </si>
  <si>
    <t>PRAIRIE SPIRIT</t>
  </si>
  <si>
    <t>RED RIVER VALLEY</t>
  </si>
  <si>
    <t>RIVER EAST TRANSCONA</t>
  </si>
  <si>
    <t>ROLLING RIVER</t>
  </si>
  <si>
    <t>SEINE RIVER</t>
  </si>
  <si>
    <t>SEVEN OAKS</t>
  </si>
  <si>
    <t>SOUTHWEST HORIZON</t>
  </si>
  <si>
    <t>ST. JAMES-ASSINIBOIA</t>
  </si>
  <si>
    <t>SUNRISE</t>
  </si>
  <si>
    <t>SWAN VALLEY</t>
  </si>
  <si>
    <t>TURTLE MOUNTAIN</t>
  </si>
  <si>
    <t>TURTLE RIVER</t>
  </si>
  <si>
    <t>WESTERN</t>
  </si>
  <si>
    <t>WINNIPEG</t>
  </si>
  <si>
    <t>WHITESHELL</t>
  </si>
  <si>
    <t>W.T.C.</t>
  </si>
  <si>
    <t xml:space="preserve">TAX  </t>
  </si>
  <si>
    <t>INCENTIVE</t>
  </si>
  <si>
    <r>
      <t>GRANT</t>
    </r>
    <r>
      <rPr>
        <b/>
        <vertAlign val="superscript"/>
        <sz val="9"/>
        <rFont val="Arial"/>
        <family val="2"/>
      </rPr>
      <t>(3)</t>
    </r>
  </si>
  <si>
    <r>
      <t xml:space="preserve">REVENUE </t>
    </r>
    <r>
      <rPr>
        <b/>
        <vertAlign val="superscript"/>
        <sz val="9"/>
        <rFont val="Arial"/>
        <family val="2"/>
      </rPr>
      <t>(6)</t>
    </r>
  </si>
  <si>
    <t>(from page 57)</t>
  </si>
  <si>
    <r>
      <t xml:space="preserve">PLACEMENT </t>
    </r>
    <r>
      <rPr>
        <b/>
        <vertAlign val="superscript"/>
        <sz val="9"/>
        <rFont val="Arial"/>
        <family val="2"/>
      </rPr>
      <t>(1)</t>
    </r>
  </si>
  <si>
    <t>ADDITIONAL LANGUAGE</t>
  </si>
  <si>
    <t>FOR ADULTS</t>
  </si>
  <si>
    <t>(1)  Support for Function 200 Student Support Services expenses less Counselling and Guidance and Categorical support for Special Needs.</t>
  </si>
  <si>
    <r>
      <t>SERVICES</t>
    </r>
    <r>
      <rPr>
        <b/>
        <vertAlign val="superscript"/>
        <sz val="9"/>
        <rFont val="Arial"/>
        <family val="2"/>
      </rPr>
      <t xml:space="preserve"> (1)</t>
    </r>
  </si>
  <si>
    <t>(5)</t>
  </si>
  <si>
    <t xml:space="preserve">  RECHARGE</t>
  </si>
  <si>
    <r>
      <t xml:space="preserve">OTHER </t>
    </r>
    <r>
      <rPr>
        <b/>
        <vertAlign val="superscript"/>
        <sz val="9"/>
        <rFont val="Arial"/>
        <family val="2"/>
      </rPr>
      <t>(1)</t>
    </r>
  </si>
  <si>
    <r>
      <t xml:space="preserve">PORTIONED ASSESSMENT - OTHER AND EDUCATION SUPPORT LEVY   </t>
    </r>
    <r>
      <rPr>
        <b/>
        <vertAlign val="superscript"/>
        <sz val="10"/>
        <rFont val="Arial"/>
        <family val="2"/>
      </rPr>
      <t>(1)</t>
    </r>
  </si>
  <si>
    <t>TOTAL PORTIONED ASSESSMENT</t>
  </si>
  <si>
    <t>NET SPECIAL LEVY</t>
  </si>
  <si>
    <t xml:space="preserve">      adjusted operating expense base. Expenses shown for Function 500 or Program 710 may differ from corresponding amounts shown</t>
  </si>
  <si>
    <t xml:space="preserve">  EXECUTIVE, MANAGERIAL
 AND SUPERVISORY</t>
  </si>
  <si>
    <t xml:space="preserve"> TECHNICAL, 
SPECIALIZED AND SERVICE</t>
  </si>
  <si>
    <t>SECRETARIAL 
CLERICAL
 AND OTHER</t>
  </si>
  <si>
    <r>
      <t>FULL TIME EQUIVALENT (FTE) PERSONNEL EMPLOYED</t>
    </r>
    <r>
      <rPr>
        <b/>
        <vertAlign val="superscript"/>
        <sz val="9"/>
        <rFont val="Arial"/>
        <family val="2"/>
      </rPr>
      <t xml:space="preserve"> (1)</t>
    </r>
  </si>
  <si>
    <r>
      <t xml:space="preserve">  
  IT  </t>
    </r>
    <r>
      <rPr>
        <b/>
        <vertAlign val="superscript"/>
        <sz val="11"/>
        <rFont val="Arial"/>
        <family val="2"/>
      </rPr>
      <t>(3)</t>
    </r>
  </si>
  <si>
    <t>ANALYSIS OF INFORMATION TECHNOLOGY EXPENSES</t>
  </si>
  <si>
    <t xml:space="preserve">      Services) and Management Information Services in Function 500. Total expenses for Management Information Services are included</t>
  </si>
  <si>
    <t xml:space="preserve">      on page 39 and form part of total Information Technology Expenses.</t>
  </si>
  <si>
    <r>
      <t>PROVINCIAL</t>
    </r>
    <r>
      <rPr>
        <vertAlign val="superscript"/>
        <sz val="9"/>
        <rFont val="Arial"/>
        <family val="2"/>
      </rPr>
      <t>(1)</t>
    </r>
  </si>
  <si>
    <t>DIRECT SUPPORT TO PUPILS</t>
  </si>
  <si>
    <t>DIRECT SUPPORT</t>
  </si>
  <si>
    <t>TO PUPILS</t>
  </si>
  <si>
    <t>PER PUPIL</t>
  </si>
  <si>
    <t xml:space="preserve">% of Total Expense </t>
  </si>
  <si>
    <t>(1) Total of Regular Instruction, Student Support Services and Instructional and Other Support Services. See pages 15 and 16</t>
  </si>
  <si>
    <t>SEP. 30, 2010</t>
  </si>
  <si>
    <t xml:space="preserve"> DSFM</t>
  </si>
  <si>
    <t>TO/(FROM)</t>
  </si>
  <si>
    <t>NET TRANSFERS TO/(FROM) CAPITAL FUND</t>
  </si>
  <si>
    <t>(2)  Provided in recognition of the higher costs associated with sparsely populated rural and northern divisions.</t>
  </si>
  <si>
    <t>(1)  Includes vehicle support for school buses.</t>
  </si>
  <si>
    <t>(1)  Equalization is provided to recognize the varying ability of school divisions to meet the cost of unsupported program requirements through the</t>
  </si>
  <si>
    <t>(2)  Additional Equalization is provided to specifically assist school divisions or districts that have both higher than average tax effort and lower than</t>
  </si>
  <si>
    <t>(2)  For a definition of Divisional Administration, see expense definitions, page iii.</t>
  </si>
  <si>
    <t>(3)  Administration, supervision and coordination of Curriculum Consulting and Development (Function 600, Program 610).</t>
  </si>
  <si>
    <t>(4)  Administration of Pupil Transportation.  For a definition of Transportation of Pupils, see expense definitions, page iii.</t>
  </si>
  <si>
    <t>(5)  Administration of Operations and Maintenance.  For a definition of Operations and Maintenance, see expense definitions, page iii.</t>
  </si>
  <si>
    <t>(1)  Effective with fiscal year 2003/2004, school divisions are required to limit the proportion of the budget spent on administration expenses in</t>
  </si>
  <si>
    <t>(3)  Information Technology.</t>
  </si>
  <si>
    <t>(1)  From page 4 (for more information, see page 4).</t>
  </si>
  <si>
    <t>(2)  From page 9 (for more information, see page 9).</t>
  </si>
  <si>
    <t>(3)  From page 51 (for more information, see page 51).</t>
  </si>
  <si>
    <t>(1)  Total operating expenses as reported on the Schedule of Revenues and Expenses in each school division's budget.</t>
  </si>
  <si>
    <t>(2)  Operating fund transfers are payments to other school divisions, organizations and individuals.  These are removed to provide more accurate</t>
  </si>
  <si>
    <t>(3)  As reported on pages 10 and 13 (on a provincial basis).</t>
  </si>
  <si>
    <t>(4)  Expenses for Adult Learning Centres and Community Education and Services (Functions 300 and 400).</t>
  </si>
  <si>
    <t>(5)  As reported on page 4.</t>
  </si>
  <si>
    <t>(2)  Mill rates for Flin Flon and Mystery Lake are adjusted for mining revenue.</t>
  </si>
  <si>
    <t>(1)  Includes transfers to bus reserves and other capital reserves.</t>
  </si>
  <si>
    <t>(1)  See appendix for more detail.</t>
  </si>
  <si>
    <t>(4)  Includes other miscellaneous support (Institutional Programs, Adult Learning Centres, General Support Grant, etc.).</t>
  </si>
  <si>
    <t>(5)  Includes revenue from other provincial government departments.</t>
  </si>
  <si>
    <t>(1)  Excludes information technology expenses in Function 300 (Adult Learning Centres) and Function 400 (Community Education and Services).</t>
  </si>
  <si>
    <t>(2)  Total Management Information Services expenses in Function 500 (from page 27).</t>
  </si>
  <si>
    <t>(1)  Excludes information technology expenses in Function 300 (Adult Learning Centres) and Function 400 (Community Education and</t>
  </si>
  <si>
    <t>(2)  Square footage (as per note above) divided by total F.T.E. enrolment (from page 7).</t>
  </si>
  <si>
    <t>(1)  No one language program comprises 90% or more of Regular Instruction enrolment.</t>
  </si>
  <si>
    <t>(1)  90% or more of Regular Instruction enrolment is in one language.</t>
  </si>
  <si>
    <t>(1)  Based on object code 330 instructional-teaching personnel and F.T.E. students in Function 100.  Included are teachers in physical education,</t>
  </si>
  <si>
    <t>(2)  Based on total instructional-teaching (excluding Community Education and Adult Learning Centres) as well as school-based administrative</t>
  </si>
  <si>
    <t>(1)  Pupils taught in schools, whether or not they are counted for grant purposes.</t>
  </si>
  <si>
    <t>(1)  90% or more of Regular Instruction enrolment is in one language program.</t>
  </si>
  <si>
    <t>(2)  No one language program comprises 90% or more of Regular Instruction enrolment.</t>
  </si>
  <si>
    <t>(1)  Operating fund transfers (i.e. payments to other school divisions, organizations and individuals) are excluded to provide more accurate per pupil</t>
  </si>
  <si>
    <t xml:space="preserve">      DSFM and the Winnipeg Technical College are exempt from these limits and are not reflected in the above totals.  The defined administration</t>
  </si>
  <si>
    <r>
      <t xml:space="preserve"> 
 CLINICIAN</t>
    </r>
    <r>
      <rPr>
        <b/>
        <vertAlign val="superscript"/>
        <sz val="11"/>
        <rFont val="Arial"/>
        <family val="2"/>
      </rPr>
      <t xml:space="preserve"> (2)</t>
    </r>
  </si>
  <si>
    <t xml:space="preserve"> TEACHING</t>
  </si>
  <si>
    <t>(1)  Includes all personnel in all functions. See FRAME Manual at http://www.edu.gov.mb.ca/k12/finance/index.html for definitions.</t>
  </si>
  <si>
    <r>
      <t>FUNCTIONS 100 + 200 + 600</t>
    </r>
    <r>
      <rPr>
        <b/>
        <vertAlign val="superscript"/>
        <sz val="9"/>
        <rFont val="Arial"/>
        <family val="2"/>
      </rPr>
      <t xml:space="preserve"> (1)</t>
    </r>
  </si>
  <si>
    <t xml:space="preserve">       for more information.</t>
  </si>
  <si>
    <t>(1)  The portion shown here is comprised of operating support only. The total provincial contribution to K-12 public school education, which also</t>
  </si>
  <si>
    <t xml:space="preserve">      for details.</t>
  </si>
  <si>
    <r>
      <t xml:space="preserve">REGULAR INSTRUCTION </t>
    </r>
    <r>
      <rPr>
        <b/>
        <vertAlign val="superscript"/>
        <sz val="9"/>
        <rFont val="Arial"/>
        <family val="2"/>
      </rPr>
      <t>(1)</t>
    </r>
  </si>
  <si>
    <t xml:space="preserve">       staff - eg. department heads, coordinators, principals and vice-principals - and K-12 F.T.E. enrolment.  Division administrators (Function 500)</t>
  </si>
  <si>
    <t xml:space="preserve">       are excluded.  While this definition is consistent with Statistics Canada's, the provincial ratio may not agree exactly due to different data sources.</t>
  </si>
  <si>
    <t xml:space="preserve">       are excluded.</t>
  </si>
  <si>
    <t xml:space="preserve">(1)  Includes food services, health services, and other activities related to instructional and other support not included in </t>
  </si>
  <si>
    <t xml:space="preserve">      previous programs.</t>
  </si>
  <si>
    <t xml:space="preserve">(2)  Effective with the 2005 tax year, the Resident Homeowner Advance portion of the Manitoba Education Property Tax Credit (EPTC) is provided directly to </t>
  </si>
  <si>
    <t xml:space="preserve">       school divisions as revenue from the Province of Manitoba to more accurately reflect the amount of provincial funding provided in support of education.</t>
  </si>
  <si>
    <t xml:space="preserve">       Amounts shown here do not include the Farmland School Tax Rebate nor the income tax portion of the EPTC nor the Pensioner’s School Tax Assistance</t>
  </si>
  <si>
    <t xml:space="preserve">       because these are not quantifiable on a school division basis.  For these amounts shown on a provincial basis, see page i.</t>
  </si>
  <si>
    <t xml:space="preserve">       page 42 for EPTC revenue.</t>
  </si>
  <si>
    <t>(1)  For a definition of Adult Learning Centres, see expense definitions, page iii.  Expenditures shown here may differ from those shown for Adult</t>
  </si>
  <si>
    <t xml:space="preserve">(1)  The Tax Incentive Grant was offered to school divisions that maintained their prior year Special Levy amount adjusted for real growth in </t>
  </si>
  <si>
    <t xml:space="preserve">       basis of time attending school - eg. Kindergarten as 1/2.  This total is the same as reported on page 7.</t>
  </si>
  <si>
    <t xml:space="preserve">(1)  Expenses shown are extra costs associated with special needs students in regular classes, not the total cost of educating </t>
  </si>
  <si>
    <t xml:space="preserve">       those students.</t>
  </si>
  <si>
    <t>(1)  Assessment per resident pupil is based on total portioned assessment adjusted for allocations to the DSFM and corresponds to data provided</t>
  </si>
  <si>
    <t>(1)  All expenses related to gifted programming may not be included due to the difficulty of costing certain programming. Contact your school</t>
  </si>
  <si>
    <t xml:space="preserve">      division for more information. Does not include costs related to generalized enrichment activities undertaken by school divisions, or</t>
  </si>
  <si>
    <t xml:space="preserve">      in the calculation of support to school divisions. Assessment per resident pupil for Flin Flon, Frontier and Mystery Lake reflects non-assessed</t>
  </si>
  <si>
    <t>2011/2012 BUDGET</t>
  </si>
  <si>
    <t>SEP. 30, 2011</t>
  </si>
  <si>
    <t xml:space="preserve">       music, EAL, etc. in addition to regular classroom teachers. School-based administrative personnel and Special Placement classroom teachers </t>
  </si>
  <si>
    <t>Sep 30, 10</t>
  </si>
  <si>
    <t xml:space="preserve">      mining properties. DSFM assessment per resident pupil is derived on a pro rata basis according to enrolment within DSFM boundaries.</t>
  </si>
  <si>
    <r>
      <t xml:space="preserve">SUPPORT </t>
    </r>
    <r>
      <rPr>
        <b/>
        <vertAlign val="superscript"/>
        <sz val="9"/>
        <rFont val="Arial"/>
        <family val="2"/>
      </rPr>
      <t>(4)</t>
    </r>
  </si>
  <si>
    <t>(4)  Includes School Buildings "D" Support, Technology Education Equipment and other minor capital support.</t>
  </si>
  <si>
    <t xml:space="preserve">       property tax base of the school division.</t>
  </si>
  <si>
    <t>2011/12</t>
  </si>
  <si>
    <t>(2)  Includes clinicians contracted/outsourced/private or employed by other divisions on a full time equivalent basis.</t>
  </si>
  <si>
    <t>(1) Special Placement students are no longer reported separately. They are included in Regular Instruction Enrolment.</t>
  </si>
  <si>
    <t xml:space="preserve">      </t>
  </si>
  <si>
    <t xml:space="preserve">      As a result, total enrolment in Regular Instruction is equal to Total K-12 F.T.E. enrolment.</t>
  </si>
  <si>
    <t>(1)  All other categorical support not shown elsewhere (eg. Aboriginal and International Languages, Northern Allowance, etc.).</t>
  </si>
  <si>
    <t>2012/2013 BUDGET</t>
  </si>
  <si>
    <t>SEP. 30, 2012</t>
  </si>
  <si>
    <r>
      <t xml:space="preserve">ADMINISTRATION EXPENSES </t>
    </r>
    <r>
      <rPr>
        <b/>
        <vertAlign val="superscript"/>
        <sz val="9"/>
        <rFont val="Arial"/>
        <family val="2"/>
      </rPr>
      <t>(1)</t>
    </r>
    <r>
      <rPr>
        <b/>
        <sz val="9"/>
        <rFont val="Arial"/>
        <family val="2"/>
      </rPr>
      <t xml:space="preserve"> 2012/2013 BUDGET</t>
    </r>
  </si>
  <si>
    <t>2012/13</t>
  </si>
  <si>
    <r>
      <t xml:space="preserve">2012/13 </t>
    </r>
    <r>
      <rPr>
        <b/>
        <vertAlign val="superscript"/>
        <sz val="9"/>
        <rFont val="Arial"/>
        <family val="2"/>
      </rPr>
      <t>(2)</t>
    </r>
  </si>
  <si>
    <t>2011</t>
  </si>
  <si>
    <r>
      <t xml:space="preserve">2012 </t>
    </r>
    <r>
      <rPr>
        <b/>
        <vertAlign val="superscript"/>
        <sz val="9"/>
        <rFont val="Arial"/>
        <family val="2"/>
      </rPr>
      <t>(3)</t>
    </r>
  </si>
  <si>
    <t>Sep 30, 11</t>
  </si>
  <si>
    <t>(3)  Provincially supported pupils (actual September 30, 2011 for 2012/13 and actual September 30, 2010 for 2011/12).</t>
  </si>
  <si>
    <t>(2)  The total number of pupils enrolled in schools adjusted for full time equivalence (F.T.E.). Full time equivalent means pupils are counted on the</t>
  </si>
  <si>
    <t>(1)  Based on area (square footage) of active school buildings as at September 30, 2011. Includes rented and leased space.</t>
  </si>
  <si>
    <t xml:space="preserve">       includes teachers' retirement allowances, capital support and the education property tax credit, is projected to be 75.7% in 2012/13. See page i  </t>
  </si>
  <si>
    <t>(6)  Total provincial contribution to public education is 75.7%. See page i for more details.</t>
  </si>
  <si>
    <t>(1) Effective 2006, the Education Support Levy is no longer raised on residential property. The mill rate for other property in 2012 is 11.36.</t>
  </si>
  <si>
    <t>(1)  Special levy requisitioned by school divisions for the 2012 tax year. Actual remittance to school divisions by municipalities is reduced by</t>
  </si>
  <si>
    <t xml:space="preserve">       the Education Property Tax Credit. See pages 42 and 43 for more detail.</t>
  </si>
  <si>
    <t>(1)  Based on a grant per eligible pupil at September 30, 2011.</t>
  </si>
  <si>
    <t xml:space="preserve">       average assessment per pupil. Please see 2012/13 Funding of Schools Booklet for more information.</t>
  </si>
  <si>
    <t>(3)  The Tax Incentive Grant is the same amount provided in 2011.</t>
  </si>
  <si>
    <t>FOR THE 2012 TAXATION YEAR (2012 IS A REASSESSMENT YEAR)</t>
  </si>
  <si>
    <t xml:space="preserve">       property assessment. The 2012 grant is unchanged from the amount provided in 2011.</t>
  </si>
  <si>
    <t>(3)  Formula Guarantee is provided to ensure that every school division receives at least the same level of funding as provided in 2011/12.</t>
  </si>
  <si>
    <t>(4)  From page 48 (for more information, see page 48).</t>
  </si>
  <si>
    <r>
      <t xml:space="preserve">2012 </t>
    </r>
    <r>
      <rPr>
        <b/>
        <vertAlign val="superscript"/>
        <sz val="9"/>
        <rFont val="Arial"/>
        <family val="2"/>
      </rPr>
      <t>(4)</t>
    </r>
  </si>
  <si>
    <t>All pages of the FRAME report containing the tables of financial and statistical data are included in this file.</t>
  </si>
  <si>
    <t>In most cases, formulas have been left intact to show how statistics such as percentages and average costs per pupil are derived.</t>
  </si>
  <si>
    <t>FRAME Report: 2012/13 Budget</t>
  </si>
  <si>
    <t>This file is unprotected for data analysis by the user.  Data can also be copied to other files or additional data copied to this one.  In cases of dispute however, the published FRAME reports and the corresponding files located on the Manitoba Govenment web site remain the final authority.</t>
  </si>
  <si>
    <t>http://www.edu.gov.mb.ca/k12/finance/frame_report/index.html</t>
  </si>
  <si>
    <t>Each worksheet tab is numbered to match the corresponding page found in the published document so for example to see page 15, click the worksheet tab  - 15 - .</t>
  </si>
  <si>
    <t>The cover page, table of contents, forward and introduction as well as the graphs (pie charts, bar charts) are not included in this file. The full report is available in a PDF version on the same site as this file at:</t>
  </si>
  <si>
    <t>OPERATING FUND 2012/2013 BUDGET</t>
  </si>
  <si>
    <t>ESTIMATE SEPTEMBER 30, 2012</t>
  </si>
  <si>
    <t>ADMINISTRATION EXPENSES 2012/2013 BUDGET</t>
  </si>
  <si>
    <t>2011/12 AND 2012/13 BUDGET</t>
  </si>
  <si>
    <t>ANALYSIS OF OPERATING FUND REVENUE: 2012/2013 BUDGET</t>
  </si>
</sst>
</file>

<file path=xl/styles.xml><?xml version="1.0" encoding="utf-8"?>
<styleSheet xmlns="http://schemas.openxmlformats.org/spreadsheetml/2006/main">
  <numFmts count="13">
    <numFmt numFmtId="43" formatCode="_-* #,##0.00_-;\-* #,##0.00_-;_-* &quot;-&quot;??_-;_-@_-"/>
    <numFmt numFmtId="164" formatCode="_(* #,##0.00_);_(* \(#,##0.00\);_(* &quot;-&quot;??_);_(@_)"/>
    <numFmt numFmtId="165" formatCode=";;;"/>
    <numFmt numFmtId="166" formatCode="0.0%"/>
    <numFmt numFmtId="167" formatCode="#,##0.0_);\(#,##0.0\)"/>
    <numFmt numFmtId="168" formatCode="0.0_)"/>
    <numFmt numFmtId="169" formatCode="0.00_)"/>
    <numFmt numFmtId="170" formatCode="#,##0_ ;\(#,##0\)"/>
    <numFmt numFmtId="171" formatCode="#,##0\ ;\(#,##0\ \)"/>
    <numFmt numFmtId="172" formatCode="#,##0.0000;\-#,##0.0000"/>
    <numFmt numFmtId="173" formatCode="#,##0.0_ ;\(#,##0.0\)"/>
    <numFmt numFmtId="174" formatCode="#,##0.0_);[Red]\(#,##0.0\)"/>
    <numFmt numFmtId="175" formatCode="dd\-mmm\-yy_)"/>
  </numFmts>
  <fonts count="33">
    <font>
      <sz val="9"/>
      <name val="Times New Roman"/>
    </font>
    <font>
      <sz val="10"/>
      <name val="Times New Roman"/>
      <family val="1"/>
    </font>
    <font>
      <sz val="10"/>
      <name val="Courier"/>
      <family val="3"/>
    </font>
    <font>
      <b/>
      <sz val="9"/>
      <name val="Arial"/>
      <family val="2"/>
    </font>
    <font>
      <sz val="8"/>
      <color indexed="81"/>
      <name val="Tahoma"/>
      <family val="2"/>
    </font>
    <font>
      <sz val="9"/>
      <name val="Arial"/>
      <family val="2"/>
    </font>
    <font>
      <sz val="9"/>
      <color indexed="12"/>
      <name val="Arial"/>
      <family val="2"/>
    </font>
    <font>
      <b/>
      <vertAlign val="superscript"/>
      <sz val="9"/>
      <name val="Arial"/>
      <family val="2"/>
    </font>
    <font>
      <sz val="8"/>
      <name val="Arial"/>
      <family val="2"/>
    </font>
    <font>
      <vertAlign val="superscript"/>
      <sz val="9"/>
      <name val="Arial"/>
      <family val="2"/>
    </font>
    <font>
      <b/>
      <sz val="10"/>
      <name val="Arial"/>
      <family val="2"/>
    </font>
    <font>
      <u/>
      <sz val="9"/>
      <name val="Arial"/>
      <family val="2"/>
    </font>
    <font>
      <b/>
      <sz val="12"/>
      <name val="Arial"/>
      <family val="2"/>
    </font>
    <font>
      <sz val="10"/>
      <name val="Arial"/>
      <family val="2"/>
    </font>
    <font>
      <b/>
      <vertAlign val="superscript"/>
      <sz val="10"/>
      <name val="Arial"/>
      <family val="2"/>
    </font>
    <font>
      <sz val="10"/>
      <name val="Arial"/>
      <family val="2"/>
    </font>
    <font>
      <sz val="8"/>
      <name val="Arial"/>
      <family val="2"/>
    </font>
    <font>
      <sz val="11"/>
      <name val="Arial"/>
      <family val="2"/>
    </font>
    <font>
      <b/>
      <sz val="8"/>
      <color indexed="81"/>
      <name val="Tahoma"/>
      <family val="2"/>
    </font>
    <font>
      <sz val="9"/>
      <name val="Times New Roman"/>
      <family val="1"/>
    </font>
    <font>
      <sz val="8"/>
      <name val="Times New Roman"/>
      <family val="1"/>
    </font>
    <font>
      <b/>
      <sz val="16"/>
      <name val="Arial"/>
      <family val="2"/>
    </font>
    <font>
      <b/>
      <sz val="9"/>
      <color indexed="10"/>
      <name val="Arial"/>
      <family val="2"/>
    </font>
    <font>
      <b/>
      <vertAlign val="superscript"/>
      <sz val="11"/>
      <name val="Arial"/>
      <family val="2"/>
    </font>
    <font>
      <sz val="9"/>
      <color indexed="10"/>
      <name val="Arial"/>
      <family val="2"/>
    </font>
    <font>
      <sz val="9"/>
      <color indexed="81"/>
      <name val="Tahoma"/>
      <family val="2"/>
    </font>
    <font>
      <b/>
      <sz val="9"/>
      <color indexed="81"/>
      <name val="Tahoma"/>
      <family val="2"/>
    </font>
    <font>
      <sz val="9"/>
      <color theme="0"/>
      <name val="Arial"/>
      <family val="2"/>
    </font>
    <font>
      <u/>
      <sz val="9"/>
      <color theme="10"/>
      <name val="Times New Roman"/>
      <family val="1"/>
    </font>
    <font>
      <b/>
      <sz val="12"/>
      <color indexed="9"/>
      <name val="Arial"/>
      <family val="2"/>
    </font>
    <font>
      <sz val="12"/>
      <name val="Arial"/>
      <family val="2"/>
    </font>
    <font>
      <sz val="12"/>
      <color indexed="9"/>
      <name val="Arial"/>
      <family val="2"/>
    </font>
    <font>
      <u/>
      <sz val="12"/>
      <color theme="0"/>
      <name val="Arial"/>
      <family val="2"/>
    </font>
  </fonts>
  <fills count="11">
    <fill>
      <patternFill patternType="none"/>
    </fill>
    <fill>
      <patternFill patternType="gray125"/>
    </fill>
    <fill>
      <patternFill patternType="solid">
        <fgColor indexed="22"/>
        <bgColor indexed="22"/>
      </patternFill>
    </fill>
    <fill>
      <patternFill patternType="solid">
        <fgColor indexed="9"/>
        <bgColor indexed="9"/>
      </patternFill>
    </fill>
    <fill>
      <patternFill patternType="solid">
        <fgColor indexed="65"/>
        <bgColor indexed="64"/>
      </patternFill>
    </fill>
    <fill>
      <patternFill patternType="solid">
        <fgColor indexed="9"/>
        <bgColor indexed="8"/>
      </patternFill>
    </fill>
    <fill>
      <patternFill patternType="gray125">
        <fgColor indexed="9"/>
        <bgColor indexed="9"/>
      </patternFill>
    </fill>
    <fill>
      <patternFill patternType="solid">
        <fgColor indexed="42"/>
        <bgColor indexed="8"/>
      </patternFill>
    </fill>
    <fill>
      <patternFill patternType="solid">
        <fgColor indexed="42"/>
        <bgColor indexed="64"/>
      </patternFill>
    </fill>
    <fill>
      <patternFill patternType="solid">
        <fgColor indexed="42"/>
        <bgColor indexed="42"/>
      </patternFill>
    </fill>
    <fill>
      <patternFill patternType="solid">
        <fgColor indexed="57"/>
        <bgColor indexed="64"/>
      </patternFill>
    </fill>
  </fills>
  <borders count="54">
    <border>
      <left/>
      <right/>
      <top/>
      <bottom/>
      <diagonal/>
    </border>
    <border>
      <left style="thin">
        <color indexed="8"/>
      </left>
      <right style="thin">
        <color indexed="8"/>
      </right>
      <top/>
      <bottom/>
      <diagonal/>
    </border>
    <border>
      <left/>
      <right/>
      <top style="thin">
        <color indexed="8"/>
      </top>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64"/>
      </bottom>
      <diagonal/>
    </border>
    <border>
      <left style="thin">
        <color indexed="8"/>
      </left>
      <right/>
      <top/>
      <bottom style="thin">
        <color indexed="8"/>
      </bottom>
      <diagonal/>
    </border>
    <border>
      <left style="double">
        <color indexed="8"/>
      </left>
      <right/>
      <top/>
      <bottom style="thin">
        <color indexed="8"/>
      </bottom>
      <diagonal/>
    </border>
    <border>
      <left style="thin">
        <color indexed="8"/>
      </left>
      <right/>
      <top/>
      <bottom/>
      <diagonal/>
    </border>
    <border>
      <left style="double">
        <color indexed="8"/>
      </left>
      <right/>
      <top/>
      <bottom/>
      <diagonal/>
    </border>
    <border>
      <left style="thin">
        <color indexed="8"/>
      </left>
      <right style="double">
        <color indexed="8"/>
      </right>
      <top/>
      <bottom/>
      <diagonal/>
    </border>
    <border>
      <left/>
      <right/>
      <top style="thin">
        <color indexed="8"/>
      </top>
      <bottom style="thin">
        <color indexed="8"/>
      </bottom>
      <diagonal/>
    </border>
    <border>
      <left style="thin">
        <color indexed="8"/>
      </left>
      <right/>
      <top style="thin">
        <color indexed="8"/>
      </top>
      <bottom/>
      <diagonal/>
    </border>
    <border>
      <left style="thin">
        <color indexed="64"/>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8"/>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thin">
        <color indexed="64"/>
      </left>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8"/>
      </right>
      <top style="thin">
        <color indexed="8"/>
      </top>
      <bottom/>
      <diagonal/>
    </border>
    <border>
      <left style="thin">
        <color indexed="8"/>
      </left>
      <right style="double">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right style="thin">
        <color indexed="64"/>
      </right>
      <top/>
      <bottom style="thin">
        <color indexed="8"/>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double">
        <color indexed="8"/>
      </left>
      <right style="thin">
        <color indexed="64"/>
      </right>
      <top style="thin">
        <color indexed="64"/>
      </top>
      <bottom style="thin">
        <color indexed="64"/>
      </bottom>
      <diagonal/>
    </border>
    <border>
      <left style="thick">
        <color theme="0"/>
      </left>
      <right style="thick">
        <color theme="0"/>
      </right>
      <top style="thick">
        <color theme="0"/>
      </top>
      <bottom style="thick">
        <color theme="0"/>
      </bottom>
      <diagonal/>
    </border>
  </borders>
  <cellStyleXfs count="9">
    <xf numFmtId="37" fontId="0" fillId="0" borderId="0"/>
    <xf numFmtId="0" fontId="2" fillId="2" borderId="1"/>
    <xf numFmtId="43" fontId="1" fillId="0" borderId="0" applyFont="0" applyFill="0" applyBorder="0" applyAlignment="0" applyProtection="0"/>
    <xf numFmtId="164" fontId="15" fillId="0" borderId="0" applyFont="0" applyFill="0" applyBorder="0" applyAlignment="0" applyProtection="0"/>
    <xf numFmtId="0" fontId="15" fillId="0" borderId="0"/>
    <xf numFmtId="39" fontId="19" fillId="0" borderId="0"/>
    <xf numFmtId="9" fontId="1" fillId="0" borderId="0" applyFont="0" applyFill="0" applyBorder="0" applyAlignment="0" applyProtection="0"/>
    <xf numFmtId="37" fontId="19" fillId="0" borderId="0"/>
    <xf numFmtId="0" fontId="28" fillId="0" borderId="0" applyNumberFormat="0" applyFill="0" applyBorder="0" applyAlignment="0" applyProtection="0">
      <alignment vertical="top"/>
      <protection locked="0"/>
    </xf>
  </cellStyleXfs>
  <cellXfs count="651">
    <xf numFmtId="37" fontId="0" fillId="0" borderId="0" xfId="0"/>
    <xf numFmtId="37" fontId="5" fillId="0" borderId="0" xfId="0" applyFont="1"/>
    <xf numFmtId="49" fontId="5" fillId="0" borderId="0" xfId="0" applyNumberFormat="1" applyFont="1" applyAlignment="1"/>
    <xf numFmtId="165" fontId="5" fillId="0" borderId="0" xfId="0" applyNumberFormat="1" applyFont="1" applyProtection="1"/>
    <xf numFmtId="37" fontId="5" fillId="3" borderId="0" xfId="0" applyFont="1" applyFill="1"/>
    <xf numFmtId="37" fontId="3" fillId="3" borderId="2" xfId="0" applyFont="1" applyFill="1" applyBorder="1" applyAlignment="1">
      <alignment horizontal="centerContinuous" vertical="center"/>
    </xf>
    <xf numFmtId="37" fontId="5" fillId="3" borderId="2" xfId="0" applyFont="1" applyFill="1" applyBorder="1" applyAlignment="1">
      <alignment horizontal="centerContinuous"/>
    </xf>
    <xf numFmtId="37" fontId="3" fillId="3" borderId="3" xfId="0" applyFont="1" applyFill="1" applyBorder="1" applyAlignment="1">
      <alignment horizontal="centerContinuous" vertical="center"/>
    </xf>
    <xf numFmtId="37" fontId="5" fillId="3" borderId="3" xfId="0" applyFont="1" applyFill="1" applyBorder="1" applyAlignment="1">
      <alignment horizontal="centerContinuous"/>
    </xf>
    <xf numFmtId="37" fontId="6" fillId="3" borderId="3" xfId="0" applyFont="1" applyFill="1" applyBorder="1" applyAlignment="1">
      <alignment horizontal="centerContinuous"/>
    </xf>
    <xf numFmtId="37" fontId="5" fillId="3" borderId="0" xfId="0" applyFont="1" applyFill="1" applyAlignment="1">
      <alignment horizontal="center"/>
    </xf>
    <xf numFmtId="37" fontId="3" fillId="3" borderId="4" xfId="0" applyFont="1" applyFill="1" applyBorder="1" applyAlignment="1">
      <alignment horizontal="center"/>
    </xf>
    <xf numFmtId="0" fontId="3" fillId="3" borderId="5" xfId="0" applyNumberFormat="1" applyFont="1" applyFill="1" applyBorder="1" applyAlignment="1">
      <alignment horizontal="center"/>
    </xf>
    <xf numFmtId="37" fontId="3" fillId="3" borderId="5" xfId="0" applyFont="1" applyFill="1" applyBorder="1" applyAlignment="1">
      <alignment horizontal="center"/>
    </xf>
    <xf numFmtId="37" fontId="3" fillId="3" borderId="1" xfId="0" applyFont="1" applyFill="1" applyBorder="1" applyAlignment="1">
      <alignment horizontal="center"/>
    </xf>
    <xf numFmtId="0" fontId="3" fillId="3" borderId="6" xfId="0" applyNumberFormat="1" applyFont="1" applyFill="1" applyBorder="1" applyAlignment="1">
      <alignment horizontal="center"/>
    </xf>
    <xf numFmtId="37" fontId="3" fillId="3" borderId="6" xfId="0" applyFont="1" applyFill="1" applyBorder="1" applyAlignment="1">
      <alignment horizontal="center"/>
    </xf>
    <xf numFmtId="49" fontId="3" fillId="0" borderId="7" xfId="0" applyNumberFormat="1" applyFont="1" applyBorder="1"/>
    <xf numFmtId="37" fontId="3" fillId="3" borderId="2" xfId="0" applyFont="1" applyFill="1" applyBorder="1" applyAlignment="1">
      <alignment horizontal="center"/>
    </xf>
    <xf numFmtId="49" fontId="3" fillId="0" borderId="8" xfId="0" applyNumberFormat="1" applyFont="1" applyBorder="1"/>
    <xf numFmtId="37" fontId="3" fillId="3" borderId="9" xfId="0" applyFont="1" applyFill="1" applyBorder="1" applyAlignment="1">
      <alignment horizontal="center" vertical="top"/>
    </xf>
    <xf numFmtId="37" fontId="3" fillId="3" borderId="10" xfId="0" applyFont="1" applyFill="1" applyBorder="1" applyAlignment="1">
      <alignment horizontal="center" vertical="top"/>
    </xf>
    <xf numFmtId="49" fontId="3" fillId="0" borderId="0" xfId="0" applyNumberFormat="1" applyFont="1"/>
    <xf numFmtId="49" fontId="5" fillId="0" borderId="1" xfId="0" applyNumberFormat="1" applyFont="1" applyBorder="1" applyAlignment="1">
      <alignment vertical="center"/>
    </xf>
    <xf numFmtId="170" fontId="5" fillId="0" borderId="1" xfId="0" applyNumberFormat="1" applyFont="1" applyBorder="1" applyAlignment="1">
      <alignment vertical="center"/>
    </xf>
    <xf numFmtId="49" fontId="5" fillId="0" borderId="0" xfId="0" applyNumberFormat="1" applyFont="1" applyAlignment="1">
      <alignment vertical="center"/>
    </xf>
    <xf numFmtId="171" fontId="5" fillId="0" borderId="0" xfId="0" applyNumberFormat="1" applyFont="1" applyAlignment="1">
      <alignment vertical="center"/>
    </xf>
    <xf numFmtId="37" fontId="5" fillId="0" borderId="11" xfId="0" applyFont="1" applyBorder="1"/>
    <xf numFmtId="37" fontId="5" fillId="0" borderId="0" xfId="0" applyFont="1" applyAlignment="1">
      <alignment horizontal="left"/>
    </xf>
    <xf numFmtId="49" fontId="5" fillId="0" borderId="0" xfId="0" applyNumberFormat="1" applyFont="1" applyAlignment="1">
      <alignment horizontal="left"/>
    </xf>
    <xf numFmtId="37" fontId="5" fillId="3" borderId="0" xfId="0" applyFont="1" applyFill="1" applyBorder="1"/>
    <xf numFmtId="37" fontId="5" fillId="0" borderId="0" xfId="0" applyNumberFormat="1" applyFont="1" applyBorder="1" applyProtection="1"/>
    <xf numFmtId="37" fontId="3" fillId="0" borderId="4" xfId="0" applyFont="1" applyBorder="1"/>
    <xf numFmtId="37" fontId="3" fillId="3" borderId="5" xfId="0" applyFont="1" applyFill="1" applyBorder="1" applyAlignment="1">
      <alignment horizontal="right"/>
    </xf>
    <xf numFmtId="37" fontId="3" fillId="3" borderId="5" xfId="0" applyFont="1" applyFill="1" applyBorder="1"/>
    <xf numFmtId="37" fontId="3" fillId="0" borderId="8" xfId="0" applyFont="1" applyBorder="1"/>
    <xf numFmtId="37" fontId="3" fillId="0" borderId="10" xfId="0" applyFont="1" applyBorder="1" applyAlignment="1">
      <alignment horizontal="right"/>
    </xf>
    <xf numFmtId="37" fontId="3" fillId="0" borderId="0" xfId="0" applyFont="1"/>
    <xf numFmtId="170" fontId="5" fillId="0" borderId="1" xfId="0" applyNumberFormat="1" applyFont="1" applyBorder="1" applyAlignment="1">
      <alignment horizontal="right" vertical="center"/>
    </xf>
    <xf numFmtId="37" fontId="5" fillId="0" borderId="0" xfId="0" applyFont="1" applyAlignment="1"/>
    <xf numFmtId="37" fontId="5" fillId="3" borderId="0" xfId="0" applyFont="1" applyFill="1" applyProtection="1"/>
    <xf numFmtId="165" fontId="5" fillId="0" borderId="2" xfId="0" applyNumberFormat="1" applyFont="1" applyBorder="1" applyProtection="1"/>
    <xf numFmtId="37" fontId="3" fillId="3" borderId="2" xfId="0" applyFont="1" applyFill="1" applyBorder="1" applyAlignment="1" applyProtection="1">
      <alignment horizontal="centerContinuous" vertical="center"/>
    </xf>
    <xf numFmtId="37" fontId="5" fillId="3" borderId="2" xfId="0" applyFont="1" applyFill="1" applyBorder="1" applyAlignment="1" applyProtection="1">
      <alignment horizontal="centerContinuous"/>
    </xf>
    <xf numFmtId="37" fontId="5" fillId="3" borderId="2" xfId="0" applyFont="1" applyFill="1" applyBorder="1" applyAlignment="1" applyProtection="1">
      <alignment horizontal="right"/>
    </xf>
    <xf numFmtId="165" fontId="5" fillId="0" borderId="3" xfId="0" applyNumberFormat="1" applyFont="1" applyBorder="1" applyProtection="1"/>
    <xf numFmtId="37" fontId="5" fillId="3" borderId="3" xfId="0" applyFont="1" applyFill="1" applyBorder="1" applyAlignment="1" applyProtection="1">
      <alignment horizontal="centerContinuous"/>
    </xf>
    <xf numFmtId="37" fontId="5" fillId="3" borderId="3" xfId="0" quotePrefix="1" applyFont="1" applyFill="1" applyBorder="1" applyAlignment="1" applyProtection="1">
      <alignment horizontal="centerContinuous"/>
    </xf>
    <xf numFmtId="37" fontId="5" fillId="3" borderId="3" xfId="0" applyFont="1" applyFill="1" applyBorder="1" applyProtection="1"/>
    <xf numFmtId="169" fontId="5" fillId="3" borderId="0" xfId="0" applyNumberFormat="1" applyFont="1" applyFill="1" applyProtection="1"/>
    <xf numFmtId="37" fontId="3" fillId="0" borderId="12" xfId="0" applyFont="1" applyBorder="1" applyAlignment="1" applyProtection="1">
      <alignment horizontal="centerContinuous"/>
    </xf>
    <xf numFmtId="37" fontId="3" fillId="0" borderId="3" xfId="0" applyFont="1" applyBorder="1" applyAlignment="1" applyProtection="1">
      <alignment horizontal="centerContinuous"/>
    </xf>
    <xf numFmtId="37" fontId="3" fillId="0" borderId="13" xfId="0" applyFont="1" applyBorder="1" applyAlignment="1" applyProtection="1">
      <alignment horizontal="centerContinuous"/>
    </xf>
    <xf numFmtId="37" fontId="3" fillId="0" borderId="10" xfId="0" applyFont="1" applyBorder="1" applyAlignment="1" applyProtection="1">
      <alignment horizontal="centerContinuous"/>
    </xf>
    <xf numFmtId="37" fontId="3" fillId="0" borderId="7" xfId="0" applyFont="1" applyBorder="1" applyAlignment="1">
      <alignment vertical="center"/>
    </xf>
    <xf numFmtId="37" fontId="3" fillId="0" borderId="0" xfId="0" applyFont="1" applyBorder="1" applyAlignment="1" applyProtection="1">
      <alignment horizontal="center" vertical="center"/>
    </xf>
    <xf numFmtId="37" fontId="3" fillId="0" borderId="14" xfId="0" applyFont="1" applyBorder="1" applyAlignment="1" applyProtection="1">
      <alignment vertical="center"/>
    </xf>
    <xf numFmtId="37" fontId="3" fillId="0" borderId="14" xfId="0" applyFont="1" applyBorder="1" applyAlignment="1" applyProtection="1">
      <alignment horizontal="center" vertical="center"/>
    </xf>
    <xf numFmtId="37" fontId="3" fillId="0" borderId="15" xfId="0" applyFont="1" applyBorder="1" applyAlignment="1" applyProtection="1">
      <alignment horizontal="center" vertical="center"/>
    </xf>
    <xf numFmtId="37" fontId="3" fillId="0" borderId="1" xfId="0" applyFont="1" applyBorder="1" applyAlignment="1" applyProtection="1">
      <alignment horizontal="center" vertical="center"/>
    </xf>
    <xf numFmtId="37" fontId="3" fillId="0" borderId="8" xfId="0" applyFont="1" applyBorder="1" applyAlignment="1">
      <alignment vertical="center"/>
    </xf>
    <xf numFmtId="37" fontId="3" fillId="0" borderId="3" xfId="0" applyFont="1" applyBorder="1" applyAlignment="1" applyProtection="1">
      <alignment horizontal="center" vertical="center"/>
    </xf>
    <xf numFmtId="37" fontId="3" fillId="0" borderId="12" xfId="0" applyFont="1" applyBorder="1" applyAlignment="1" applyProtection="1">
      <alignment horizontal="center" vertical="center"/>
    </xf>
    <xf numFmtId="37" fontId="3" fillId="0" borderId="13" xfId="0" applyFont="1" applyBorder="1" applyAlignment="1" applyProtection="1">
      <alignment horizontal="center" vertical="center"/>
    </xf>
    <xf numFmtId="37" fontId="3" fillId="0" borderId="9" xfId="0" applyFont="1" applyBorder="1" applyAlignment="1" applyProtection="1">
      <alignment horizontal="center" vertical="center"/>
    </xf>
    <xf numFmtId="37" fontId="5" fillId="0" borderId="0" xfId="0" applyFont="1" applyProtection="1"/>
    <xf numFmtId="173" fontId="5" fillId="0" borderId="1" xfId="0" applyNumberFormat="1" applyFont="1" applyBorder="1" applyAlignment="1">
      <alignment vertical="center"/>
    </xf>
    <xf numFmtId="173" fontId="5" fillId="0" borderId="16" xfId="0" applyNumberFormat="1" applyFont="1" applyBorder="1" applyAlignment="1">
      <alignment vertical="center"/>
    </xf>
    <xf numFmtId="173" fontId="5" fillId="0" borderId="6" xfId="0" applyNumberFormat="1" applyFont="1" applyBorder="1" applyAlignment="1">
      <alignment vertical="center"/>
    </xf>
    <xf numFmtId="173" fontId="5" fillId="0" borderId="0" xfId="0" applyNumberFormat="1" applyFont="1" applyAlignment="1">
      <alignment vertical="center"/>
    </xf>
    <xf numFmtId="37" fontId="5" fillId="0" borderId="11" xfId="0" applyFont="1" applyBorder="1" applyProtection="1"/>
    <xf numFmtId="37" fontId="5" fillId="0" borderId="17" xfId="0" applyFont="1" applyBorder="1"/>
    <xf numFmtId="37" fontId="3" fillId="0" borderId="17" xfId="0" applyFont="1" applyBorder="1" applyAlignment="1">
      <alignment horizontal="centerContinuous" vertical="center"/>
    </xf>
    <xf numFmtId="37" fontId="3" fillId="3" borderId="0" xfId="0" applyFont="1" applyFill="1" applyAlignment="1">
      <alignment horizontal="centerContinuous"/>
    </xf>
    <xf numFmtId="37" fontId="5" fillId="3" borderId="0" xfId="0" applyFont="1" applyFill="1" applyAlignment="1">
      <alignment horizontal="centerContinuous"/>
    </xf>
    <xf numFmtId="37" fontId="5" fillId="0" borderId="18" xfId="0" applyFont="1" applyBorder="1"/>
    <xf numFmtId="37" fontId="5" fillId="0" borderId="5" xfId="0" applyFont="1" applyBorder="1"/>
    <xf numFmtId="37" fontId="3" fillId="0" borderId="19" xfId="0" applyFont="1" applyBorder="1"/>
    <xf numFmtId="170" fontId="5" fillId="0" borderId="1" xfId="0" applyNumberFormat="1" applyFont="1" applyBorder="1" applyProtection="1"/>
    <xf numFmtId="170" fontId="5" fillId="0" borderId="6" xfId="0" applyNumberFormat="1" applyFont="1" applyBorder="1" applyProtection="1"/>
    <xf numFmtId="37" fontId="5" fillId="0" borderId="6" xfId="0" applyFont="1" applyBorder="1"/>
    <xf numFmtId="165" fontId="5" fillId="0" borderId="14" xfId="0" applyNumberFormat="1" applyFont="1" applyBorder="1" applyProtection="1"/>
    <xf numFmtId="170" fontId="5" fillId="0" borderId="14" xfId="0" applyNumberFormat="1" applyFont="1" applyBorder="1" applyProtection="1"/>
    <xf numFmtId="49" fontId="9" fillId="0" borderId="6" xfId="0" applyNumberFormat="1" applyFont="1" applyBorder="1"/>
    <xf numFmtId="37" fontId="5" fillId="0" borderId="1" xfId="0" applyNumberFormat="1" applyFont="1" applyBorder="1" applyProtection="1"/>
    <xf numFmtId="37" fontId="5" fillId="0" borderId="6" xfId="0" applyNumberFormat="1" applyFont="1" applyBorder="1" applyProtection="1"/>
    <xf numFmtId="37" fontId="3" fillId="0" borderId="19" xfId="0" applyFont="1" applyBorder="1" applyAlignment="1">
      <alignment vertical="top"/>
    </xf>
    <xf numFmtId="37" fontId="5" fillId="0" borderId="14" xfId="0" applyFont="1" applyBorder="1" applyAlignment="1">
      <alignment horizontal="right" textRotation="180"/>
    </xf>
    <xf numFmtId="170" fontId="5" fillId="0" borderId="0" xfId="0" applyNumberFormat="1" applyFont="1" applyProtection="1"/>
    <xf numFmtId="49" fontId="9" fillId="0" borderId="0" xfId="0" applyNumberFormat="1" applyFont="1"/>
    <xf numFmtId="37" fontId="5" fillId="0" borderId="14" xfId="0" applyNumberFormat="1" applyFont="1" applyBorder="1" applyProtection="1"/>
    <xf numFmtId="37" fontId="5" fillId="0" borderId="0" xfId="0" applyNumberFormat="1" applyFont="1" applyProtection="1"/>
    <xf numFmtId="37" fontId="5" fillId="0" borderId="20" xfId="0" applyFont="1" applyBorder="1"/>
    <xf numFmtId="37" fontId="3" fillId="0" borderId="21" xfId="0" applyFont="1" applyBorder="1"/>
    <xf numFmtId="170" fontId="3" fillId="0" borderId="22" xfId="0" applyNumberFormat="1" applyFont="1" applyBorder="1" applyProtection="1"/>
    <xf numFmtId="170" fontId="3" fillId="0" borderId="21" xfId="0" applyNumberFormat="1" applyFont="1" applyBorder="1" applyProtection="1"/>
    <xf numFmtId="170" fontId="3" fillId="0" borderId="17" xfId="0" applyNumberFormat="1" applyFont="1" applyBorder="1" applyProtection="1"/>
    <xf numFmtId="170" fontId="5" fillId="0" borderId="17" xfId="0" applyNumberFormat="1" applyFont="1" applyBorder="1"/>
    <xf numFmtId="39" fontId="5" fillId="0" borderId="0" xfId="0" applyNumberFormat="1" applyFont="1"/>
    <xf numFmtId="37" fontId="5" fillId="3" borderId="2" xfId="0" applyFont="1" applyFill="1" applyBorder="1" applyAlignment="1">
      <alignment horizontal="center"/>
    </xf>
    <xf numFmtId="37" fontId="5" fillId="3" borderId="3" xfId="0" applyFont="1" applyFill="1" applyBorder="1"/>
    <xf numFmtId="37" fontId="3" fillId="0" borderId="7" xfId="0" applyFont="1" applyBorder="1"/>
    <xf numFmtId="37" fontId="3" fillId="3" borderId="0" xfId="0" applyFont="1" applyFill="1" applyBorder="1" applyAlignment="1">
      <alignment horizontal="right"/>
    </xf>
    <xf numFmtId="37" fontId="3" fillId="3" borderId="1" xfId="0" applyFont="1" applyFill="1" applyBorder="1"/>
    <xf numFmtId="37" fontId="3" fillId="3" borderId="0" xfId="0" applyFont="1" applyFill="1"/>
    <xf numFmtId="37" fontId="5" fillId="3" borderId="2" xfId="0" applyFont="1" applyFill="1" applyBorder="1" applyAlignment="1"/>
    <xf numFmtId="37" fontId="3" fillId="3" borderId="3" xfId="0" applyFont="1" applyFill="1" applyBorder="1" applyAlignment="1" applyProtection="1">
      <alignment horizontal="centerContinuous" vertical="center"/>
    </xf>
    <xf numFmtId="37" fontId="5" fillId="3" borderId="3" xfId="0" applyFont="1" applyFill="1" applyBorder="1" applyAlignment="1"/>
    <xf numFmtId="49" fontId="3" fillId="0" borderId="23" xfId="0" applyNumberFormat="1" applyFont="1" applyBorder="1" applyAlignment="1">
      <alignment horizontal="center"/>
    </xf>
    <xf numFmtId="49" fontId="3" fillId="0" borderId="24" xfId="0" applyNumberFormat="1" applyFont="1" applyBorder="1" applyAlignment="1">
      <alignment horizontal="center"/>
    </xf>
    <xf numFmtId="37" fontId="3" fillId="3" borderId="4" xfId="0" applyFont="1" applyFill="1" applyBorder="1" applyAlignment="1">
      <alignment horizontal="centerContinuous"/>
    </xf>
    <xf numFmtId="37" fontId="3" fillId="3" borderId="5" xfId="0" applyFont="1" applyFill="1" applyBorder="1" applyAlignment="1">
      <alignment horizontal="centerContinuous"/>
    </xf>
    <xf numFmtId="37" fontId="3" fillId="0" borderId="10" xfId="0" applyFont="1" applyBorder="1" applyAlignment="1">
      <alignment horizontal="centerContinuous"/>
    </xf>
    <xf numFmtId="37" fontId="3" fillId="0" borderId="9" xfId="0" applyFont="1" applyBorder="1" applyAlignment="1">
      <alignment horizontal="centerContinuous"/>
    </xf>
    <xf numFmtId="37" fontId="5" fillId="0" borderId="0" xfId="0" applyFont="1" applyAlignment="1">
      <alignment horizontal="centerContinuous"/>
    </xf>
    <xf numFmtId="167" fontId="5" fillId="0" borderId="0" xfId="0" applyNumberFormat="1" applyFont="1" applyAlignment="1" applyProtection="1">
      <alignment horizontal="centerContinuous"/>
    </xf>
    <xf numFmtId="37" fontId="5" fillId="3" borderId="2" xfId="0" applyFont="1" applyFill="1" applyBorder="1" applyAlignment="1">
      <alignment horizontal="right"/>
    </xf>
    <xf numFmtId="37" fontId="3" fillId="0" borderId="9" xfId="0" applyFont="1" applyBorder="1"/>
    <xf numFmtId="37" fontId="3" fillId="0" borderId="9" xfId="0" applyFont="1" applyBorder="1" applyAlignment="1">
      <alignment horizontal="center"/>
    </xf>
    <xf numFmtId="37" fontId="3" fillId="4" borderId="1" xfId="0" applyFont="1" applyFill="1" applyBorder="1" applyAlignment="1">
      <alignment horizontal="center"/>
    </xf>
    <xf numFmtId="37" fontId="5" fillId="4" borderId="0" xfId="0" applyFont="1" applyFill="1" applyBorder="1"/>
    <xf numFmtId="167" fontId="5" fillId="5" borderId="0" xfId="0" applyNumberFormat="1" applyFont="1" applyFill="1" applyBorder="1" applyProtection="1"/>
    <xf numFmtId="167" fontId="3" fillId="5" borderId="0" xfId="0" applyNumberFormat="1" applyFont="1" applyFill="1" applyBorder="1" applyProtection="1"/>
    <xf numFmtId="49" fontId="3" fillId="0" borderId="25" xfId="0" applyNumberFormat="1" applyFont="1" applyBorder="1" applyAlignment="1">
      <alignment horizontal="center" vertical="center"/>
    </xf>
    <xf numFmtId="37" fontId="3" fillId="0" borderId="9" xfId="0" applyFont="1" applyBorder="1" applyAlignment="1">
      <alignment horizontal="centerContinuous" vertical="center"/>
    </xf>
    <xf numFmtId="37" fontId="3" fillId="3" borderId="2" xfId="0" applyFont="1" applyFill="1" applyBorder="1" applyAlignment="1">
      <alignment horizontal="centerContinuous"/>
    </xf>
    <xf numFmtId="167" fontId="5" fillId="0" borderId="11" xfId="0" applyNumberFormat="1" applyFont="1" applyBorder="1" applyAlignment="1" applyProtection="1">
      <alignment horizontal="right"/>
    </xf>
    <xf numFmtId="37" fontId="3" fillId="0" borderId="17" xfId="0" applyFont="1" applyBorder="1" applyAlignment="1">
      <alignment horizontal="centerContinuous"/>
    </xf>
    <xf numFmtId="37" fontId="5" fillId="0" borderId="17" xfId="0" applyFont="1" applyBorder="1" applyAlignment="1">
      <alignment horizontal="centerContinuous"/>
    </xf>
    <xf numFmtId="37" fontId="5" fillId="0" borderId="17" xfId="0" applyFont="1" applyBorder="1" applyAlignment="1"/>
    <xf numFmtId="37" fontId="5" fillId="0" borderId="17" xfId="0" applyFont="1" applyBorder="1" applyAlignment="1">
      <alignment horizontal="right"/>
    </xf>
    <xf numFmtId="37" fontId="3" fillId="0" borderId="0" xfId="0" applyFont="1" applyAlignment="1">
      <alignment horizontal="centerContinuous"/>
    </xf>
    <xf numFmtId="37" fontId="3" fillId="0" borderId="20" xfId="0" applyFont="1" applyBorder="1" applyAlignment="1">
      <alignment horizontal="centerContinuous"/>
    </xf>
    <xf numFmtId="37" fontId="5" fillId="0" borderId="21" xfId="0" applyFont="1" applyBorder="1" applyAlignment="1">
      <alignment horizontal="centerContinuous"/>
    </xf>
    <xf numFmtId="37" fontId="3" fillId="3" borderId="26" xfId="0" applyFont="1" applyFill="1" applyBorder="1" applyAlignment="1">
      <alignment horizontal="center"/>
    </xf>
    <xf numFmtId="37" fontId="3" fillId="3" borderId="12" xfId="0" applyFont="1" applyFill="1" applyBorder="1" applyAlignment="1">
      <alignment horizontal="centerContinuous"/>
    </xf>
    <xf numFmtId="37" fontId="3" fillId="3" borderId="9" xfId="0" applyFont="1" applyFill="1" applyBorder="1" applyAlignment="1">
      <alignment horizontal="centerContinuous"/>
    </xf>
    <xf numFmtId="37" fontId="5" fillId="0" borderId="2" xfId="0" applyFont="1" applyBorder="1"/>
    <xf numFmtId="170" fontId="5" fillId="3" borderId="7" xfId="0" applyNumberFormat="1" applyFont="1" applyFill="1" applyBorder="1" applyProtection="1"/>
    <xf numFmtId="37" fontId="5" fillId="3" borderId="23" xfId="0" applyFont="1" applyFill="1" applyBorder="1"/>
    <xf numFmtId="170" fontId="5" fillId="3" borderId="23" xfId="0" applyNumberFormat="1" applyFont="1" applyFill="1" applyBorder="1" applyProtection="1"/>
    <xf numFmtId="37" fontId="5" fillId="0" borderId="23" xfId="0" applyFont="1" applyBorder="1"/>
    <xf numFmtId="170" fontId="5" fillId="0" borderId="23" xfId="0" applyNumberFormat="1" applyFont="1" applyBorder="1" applyProtection="1"/>
    <xf numFmtId="170" fontId="5" fillId="0" borderId="23" xfId="0" applyNumberFormat="1" applyFont="1" applyBorder="1"/>
    <xf numFmtId="37" fontId="5" fillId="0" borderId="8" xfId="0" applyFont="1" applyBorder="1" applyAlignment="1">
      <alignment horizontal="left"/>
    </xf>
    <xf numFmtId="170" fontId="5" fillId="0" borderId="8" xfId="0" applyNumberFormat="1" applyFont="1" applyBorder="1" applyProtection="1"/>
    <xf numFmtId="37" fontId="3" fillId="0" borderId="26" xfId="0" applyFont="1" applyFill="1" applyBorder="1"/>
    <xf numFmtId="37" fontId="5" fillId="0" borderId="23" xfId="0" applyNumberFormat="1" applyFont="1" applyBorder="1" applyProtection="1"/>
    <xf numFmtId="37" fontId="5" fillId="0" borderId="23" xfId="0" quotePrefix="1" applyFont="1" applyBorder="1" applyAlignment="1">
      <alignment horizontal="left"/>
    </xf>
    <xf numFmtId="37" fontId="5" fillId="0" borderId="8" xfId="0" applyFont="1" applyBorder="1"/>
    <xf numFmtId="37" fontId="3" fillId="0" borderId="7" xfId="0" applyFont="1" applyFill="1" applyBorder="1"/>
    <xf numFmtId="37" fontId="5" fillId="0" borderId="8" xfId="0" applyNumberFormat="1" applyFont="1" applyBorder="1" applyProtection="1"/>
    <xf numFmtId="170" fontId="3" fillId="0" borderId="26" xfId="0" applyNumberFormat="1" applyFont="1" applyFill="1" applyBorder="1"/>
    <xf numFmtId="166" fontId="5" fillId="0" borderId="0" xfId="0" applyNumberFormat="1" applyFont="1" applyProtection="1"/>
    <xf numFmtId="49" fontId="5" fillId="0" borderId="0" xfId="0" applyNumberFormat="1" applyFont="1"/>
    <xf numFmtId="49" fontId="8" fillId="0" borderId="0" xfId="0" applyNumberFormat="1" applyFont="1"/>
    <xf numFmtId="37" fontId="5" fillId="0" borderId="0" xfId="0" applyFont="1" applyAlignment="1">
      <alignment horizontal="right"/>
    </xf>
    <xf numFmtId="37" fontId="5" fillId="0" borderId="0" xfId="0" applyNumberFormat="1" applyFont="1" applyAlignment="1" applyProtection="1">
      <alignment horizontal="right"/>
    </xf>
    <xf numFmtId="49" fontId="5" fillId="0" borderId="0" xfId="0" quotePrefix="1" applyNumberFormat="1" applyFont="1" applyBorder="1" applyAlignment="1">
      <alignment horizontal="left"/>
    </xf>
    <xf numFmtId="37" fontId="5" fillId="0" borderId="0" xfId="0" quotePrefix="1" applyFont="1" applyAlignment="1">
      <alignment horizontal="left"/>
    </xf>
    <xf numFmtId="165" fontId="5" fillId="0" borderId="2" xfId="0" applyNumberFormat="1" applyFont="1" applyBorder="1" applyAlignment="1" applyProtection="1">
      <alignment vertical="center"/>
    </xf>
    <xf numFmtId="37" fontId="5" fillId="0" borderId="27" xfId="0" applyFont="1" applyBorder="1" applyAlignment="1">
      <alignment horizontal="centerContinuous"/>
    </xf>
    <xf numFmtId="37" fontId="6" fillId="0" borderId="2" xfId="0" applyFont="1" applyBorder="1" applyProtection="1">
      <protection locked="0"/>
    </xf>
    <xf numFmtId="165" fontId="5" fillId="0" borderId="3" xfId="0" applyNumberFormat="1" applyFont="1" applyBorder="1" applyAlignment="1" applyProtection="1">
      <alignment vertical="center"/>
    </xf>
    <xf numFmtId="37" fontId="6" fillId="0" borderId="3" xfId="0" applyFont="1" applyBorder="1" applyProtection="1">
      <protection locked="0"/>
    </xf>
    <xf numFmtId="37" fontId="3" fillId="3" borderId="20" xfId="0" applyFont="1" applyFill="1" applyBorder="1" applyAlignment="1">
      <alignment horizontal="left"/>
    </xf>
    <xf numFmtId="37" fontId="5" fillId="3" borderId="17" xfId="0" applyFont="1" applyFill="1" applyBorder="1" applyAlignment="1"/>
    <xf numFmtId="37" fontId="5" fillId="3" borderId="21" xfId="0" applyFont="1" applyFill="1" applyBorder="1" applyAlignment="1"/>
    <xf numFmtId="37" fontId="3" fillId="3" borderId="6" xfId="0" applyFont="1" applyFill="1" applyBorder="1" applyAlignment="1">
      <alignment horizontal="centerContinuous"/>
    </xf>
    <xf numFmtId="37" fontId="3" fillId="3" borderId="6" xfId="0" applyFont="1" applyFill="1" applyBorder="1"/>
    <xf numFmtId="170" fontId="5" fillId="0" borderId="1" xfId="0" applyNumberFormat="1" applyFont="1" applyBorder="1"/>
    <xf numFmtId="170" fontId="5" fillId="0" borderId="0" xfId="0" applyNumberFormat="1" applyFont="1"/>
    <xf numFmtId="37" fontId="5" fillId="0" borderId="27" xfId="0" applyFont="1" applyBorder="1" applyAlignment="1"/>
    <xf numFmtId="37" fontId="3" fillId="3" borderId="17" xfId="0" applyFont="1" applyFill="1" applyBorder="1" applyAlignment="1"/>
    <xf numFmtId="37" fontId="5" fillId="3" borderId="2" xfId="0" applyFont="1" applyFill="1" applyBorder="1" applyAlignment="1">
      <alignment horizontal="centerContinuous" vertical="center"/>
    </xf>
    <xf numFmtId="37" fontId="5" fillId="3" borderId="3" xfId="0" applyFont="1" applyFill="1" applyBorder="1" applyAlignment="1">
      <alignment horizontal="centerContinuous" vertical="center"/>
    </xf>
    <xf numFmtId="37" fontId="5" fillId="0" borderId="11" xfId="0" applyFont="1" applyBorder="1" applyAlignment="1">
      <alignment horizontal="centerContinuous"/>
    </xf>
    <xf numFmtId="39" fontId="5" fillId="0" borderId="1" xfId="0" applyNumberFormat="1" applyFont="1" applyBorder="1"/>
    <xf numFmtId="0" fontId="5" fillId="3" borderId="2" xfId="0" applyNumberFormat="1" applyFont="1" applyFill="1" applyBorder="1" applyAlignment="1"/>
    <xf numFmtId="0" fontId="5" fillId="3" borderId="3" xfId="0" applyNumberFormat="1" applyFont="1" applyFill="1" applyBorder="1" applyAlignment="1"/>
    <xf numFmtId="37" fontId="5" fillId="3" borderId="6" xfId="0" applyFont="1" applyFill="1" applyBorder="1"/>
    <xf numFmtId="37" fontId="3" fillId="0" borderId="5" xfId="0" applyFont="1" applyBorder="1" applyAlignment="1">
      <alignment horizontal="centerContinuous"/>
    </xf>
    <xf numFmtId="39" fontId="5" fillId="0" borderId="0" xfId="0" applyNumberFormat="1" applyFont="1" applyProtection="1"/>
    <xf numFmtId="37" fontId="5" fillId="3" borderId="2" xfId="0" applyFont="1" applyFill="1" applyBorder="1" applyAlignment="1">
      <alignment horizontal="right" vertical="center"/>
    </xf>
    <xf numFmtId="37" fontId="3" fillId="3" borderId="20" xfId="0" applyFont="1" applyFill="1" applyBorder="1"/>
    <xf numFmtId="37" fontId="3" fillId="3" borderId="17" xfId="0" applyFont="1" applyFill="1" applyBorder="1"/>
    <xf numFmtId="37" fontId="5" fillId="3" borderId="17" xfId="0" applyFont="1" applyFill="1" applyBorder="1"/>
    <xf numFmtId="37" fontId="5" fillId="3" borderId="21" xfId="0" applyFont="1" applyFill="1" applyBorder="1"/>
    <xf numFmtId="37" fontId="3" fillId="0" borderId="21" xfId="0" applyFont="1" applyBorder="1" applyAlignment="1">
      <alignment horizontal="centerContinuous"/>
    </xf>
    <xf numFmtId="165" fontId="5" fillId="0" borderId="2" xfId="0" applyNumberFormat="1" applyFont="1" applyBorder="1" applyAlignment="1" applyProtection="1">
      <alignment horizontal="centerContinuous"/>
    </xf>
    <xf numFmtId="165" fontId="5" fillId="0" borderId="3" xfId="0" applyNumberFormat="1" applyFont="1" applyBorder="1" applyAlignment="1" applyProtection="1">
      <alignment horizontal="centerContinuous"/>
    </xf>
    <xf numFmtId="37" fontId="3" fillId="3" borderId="21" xfId="0" applyFont="1" applyFill="1" applyBorder="1" applyAlignment="1">
      <alignment horizontal="centerContinuous"/>
    </xf>
    <xf numFmtId="37" fontId="3" fillId="0" borderId="22" xfId="0" applyFont="1" applyBorder="1" applyAlignment="1">
      <alignment horizontal="centerContinuous"/>
    </xf>
    <xf numFmtId="37" fontId="3" fillId="3" borderId="17" xfId="0" applyFont="1" applyFill="1" applyBorder="1" applyAlignment="1">
      <alignment horizontal="centerContinuous"/>
    </xf>
    <xf numFmtId="37" fontId="5" fillId="3" borderId="17" xfId="0" applyFont="1" applyFill="1" applyBorder="1" applyAlignment="1">
      <alignment horizontal="centerContinuous"/>
    </xf>
    <xf numFmtId="37" fontId="5" fillId="3" borderId="21" xfId="0" applyFont="1" applyFill="1" applyBorder="1" applyAlignment="1">
      <alignment horizontal="centerContinuous"/>
    </xf>
    <xf numFmtId="10" fontId="5" fillId="3" borderId="2" xfId="0" applyNumberFormat="1" applyFont="1" applyFill="1" applyBorder="1" applyAlignment="1" applyProtection="1">
      <alignment horizontal="centerContinuous"/>
    </xf>
    <xf numFmtId="37" fontId="5" fillId="3" borderId="3" xfId="0" applyFont="1" applyFill="1" applyBorder="1" applyAlignment="1" applyProtection="1">
      <alignment horizontal="centerContinuous"/>
      <protection locked="0"/>
    </xf>
    <xf numFmtId="37" fontId="3" fillId="3" borderId="17" xfId="0" applyFont="1" applyFill="1" applyBorder="1" applyProtection="1"/>
    <xf numFmtId="37" fontId="5" fillId="3" borderId="17" xfId="0" applyFont="1" applyFill="1" applyBorder="1" applyProtection="1"/>
    <xf numFmtId="37" fontId="5" fillId="3" borderId="21" xfId="0" applyFont="1" applyFill="1" applyBorder="1" applyProtection="1"/>
    <xf numFmtId="37" fontId="3" fillId="3" borderId="5" xfId="0" applyFont="1" applyFill="1" applyBorder="1" applyProtection="1"/>
    <xf numFmtId="37" fontId="3" fillId="3" borderId="1" xfId="0" applyFont="1" applyFill="1" applyBorder="1" applyProtection="1"/>
    <xf numFmtId="37" fontId="3" fillId="3" borderId="6" xfId="0" applyFont="1" applyFill="1" applyBorder="1" applyAlignment="1" applyProtection="1">
      <alignment horizontal="center"/>
    </xf>
    <xf numFmtId="37" fontId="3" fillId="3" borderId="1" xfId="0" applyFont="1" applyFill="1" applyBorder="1" applyAlignment="1" applyProtection="1">
      <alignment horizontal="centerContinuous"/>
    </xf>
    <xf numFmtId="37" fontId="3" fillId="0" borderId="9" xfId="0" applyFont="1" applyBorder="1" applyAlignment="1" applyProtection="1">
      <alignment horizontal="centerContinuous"/>
    </xf>
    <xf numFmtId="37" fontId="5" fillId="0" borderId="0" xfId="0" applyFont="1" applyBorder="1"/>
    <xf numFmtId="37" fontId="3" fillId="3" borderId="20" xfId="0" applyFont="1" applyFill="1" applyBorder="1" applyAlignment="1"/>
    <xf numFmtId="37" fontId="5" fillId="0" borderId="21" xfId="0" applyFont="1" applyBorder="1"/>
    <xf numFmtId="37" fontId="5" fillId="3" borderId="2" xfId="0" quotePrefix="1" applyFont="1" applyFill="1" applyBorder="1" applyAlignment="1"/>
    <xf numFmtId="37" fontId="5" fillId="0" borderId="0" xfId="0" applyNumberFormat="1" applyFont="1" applyAlignment="1" applyProtection="1">
      <alignment horizontal="centerContinuous"/>
    </xf>
    <xf numFmtId="37" fontId="5" fillId="3" borderId="2" xfId="0" applyFont="1" applyFill="1" applyBorder="1" applyAlignment="1" applyProtection="1"/>
    <xf numFmtId="37" fontId="5" fillId="3" borderId="3" xfId="0" applyFont="1" applyFill="1" applyBorder="1" applyAlignment="1" applyProtection="1"/>
    <xf numFmtId="37" fontId="5" fillId="3" borderId="3" xfId="0" applyFont="1" applyFill="1" applyBorder="1" applyAlignment="1" applyProtection="1">
      <alignment horizontal="center"/>
    </xf>
    <xf numFmtId="37" fontId="3" fillId="3" borderId="20" xfId="0" applyFont="1" applyFill="1" applyBorder="1" applyProtection="1"/>
    <xf numFmtId="37" fontId="5" fillId="3" borderId="17" xfId="0" applyFont="1" applyFill="1" applyBorder="1" applyAlignment="1" applyProtection="1">
      <alignment horizontal="centerContinuous"/>
    </xf>
    <xf numFmtId="37" fontId="5" fillId="3" borderId="21" xfId="0" applyFont="1" applyFill="1" applyBorder="1" applyAlignment="1" applyProtection="1">
      <alignment horizontal="centerContinuous"/>
    </xf>
    <xf numFmtId="37" fontId="3" fillId="3" borderId="6" xfId="0" applyFont="1" applyFill="1" applyBorder="1" applyProtection="1"/>
    <xf numFmtId="37" fontId="3" fillId="3" borderId="28" xfId="0" applyFont="1" applyFill="1" applyBorder="1" applyAlignment="1" applyProtection="1">
      <alignment horizontal="center"/>
    </xf>
    <xf numFmtId="37" fontId="3" fillId="3" borderId="3" xfId="0" applyFont="1" applyFill="1" applyBorder="1" applyAlignment="1" applyProtection="1">
      <alignment horizontal="centerContinuous"/>
    </xf>
    <xf numFmtId="37" fontId="3" fillId="3" borderId="10" xfId="0" applyFont="1" applyFill="1" applyBorder="1" applyAlignment="1" applyProtection="1">
      <alignment horizontal="centerContinuous"/>
    </xf>
    <xf numFmtId="37" fontId="5" fillId="0" borderId="6" xfId="0" applyFont="1" applyBorder="1" applyProtection="1"/>
    <xf numFmtId="37" fontId="3" fillId="0" borderId="28" xfId="0" applyFont="1" applyBorder="1" applyAlignment="1" applyProtection="1">
      <alignment horizontal="center"/>
    </xf>
    <xf numFmtId="37" fontId="5" fillId="0" borderId="4" xfId="0" applyFont="1" applyBorder="1" applyProtection="1"/>
    <xf numFmtId="37" fontId="3" fillId="0" borderId="6" xfId="0" applyFont="1" applyBorder="1" applyAlignment="1" applyProtection="1">
      <alignment horizontal="center"/>
    </xf>
    <xf numFmtId="37" fontId="3" fillId="0" borderId="29" xfId="0" applyFont="1" applyBorder="1" applyAlignment="1" applyProtection="1">
      <alignment horizontal="centerContinuous"/>
    </xf>
    <xf numFmtId="37" fontId="3" fillId="0" borderId="9" xfId="0" applyFont="1" applyBorder="1" applyAlignment="1" applyProtection="1">
      <alignment horizontal="center"/>
    </xf>
    <xf numFmtId="170" fontId="5" fillId="0" borderId="14" xfId="0" applyNumberFormat="1" applyFont="1" applyBorder="1" applyAlignment="1">
      <alignment vertical="center"/>
    </xf>
    <xf numFmtId="174" fontId="5" fillId="0" borderId="28" xfId="0" applyNumberFormat="1" applyFont="1" applyBorder="1" applyAlignment="1">
      <alignment vertical="center"/>
    </xf>
    <xf numFmtId="174" fontId="5" fillId="0" borderId="0" xfId="0" applyNumberFormat="1" applyFont="1" applyAlignment="1">
      <alignment vertical="center"/>
    </xf>
    <xf numFmtId="0" fontId="3" fillId="3" borderId="17" xfId="0" applyNumberFormat="1" applyFont="1" applyFill="1" applyBorder="1" applyAlignment="1" applyProtection="1">
      <alignment horizontal="centerContinuous"/>
    </xf>
    <xf numFmtId="0" fontId="5" fillId="3" borderId="21" xfId="0" applyNumberFormat="1" applyFont="1" applyFill="1" applyBorder="1" applyAlignment="1" applyProtection="1">
      <alignment horizontal="centerContinuous"/>
    </xf>
    <xf numFmtId="37" fontId="3" fillId="3" borderId="6" xfId="0" applyFont="1" applyFill="1" applyBorder="1" applyAlignment="1" applyProtection="1">
      <alignment horizontal="centerContinuous"/>
    </xf>
    <xf numFmtId="37" fontId="3" fillId="3" borderId="3" xfId="0" applyFont="1" applyFill="1" applyBorder="1" applyAlignment="1" applyProtection="1">
      <alignment horizontal="centerContinuous" vertical="center"/>
      <protection locked="0"/>
    </xf>
    <xf numFmtId="37" fontId="3" fillId="3" borderId="1" xfId="0" applyFont="1" applyFill="1" applyBorder="1" applyAlignment="1">
      <alignment horizontal="centerContinuous"/>
    </xf>
    <xf numFmtId="37" fontId="3" fillId="0" borderId="10" xfId="0" applyFont="1" applyBorder="1" applyAlignment="1">
      <alignment horizontal="center"/>
    </xf>
    <xf numFmtId="165" fontId="5" fillId="0" borderId="2" xfId="0" applyNumberFormat="1" applyFont="1" applyBorder="1" applyAlignment="1" applyProtection="1">
      <alignment horizontal="centerContinuous" vertical="center"/>
    </xf>
    <xf numFmtId="37" fontId="5" fillId="0" borderId="27" xfId="0" applyFont="1" applyBorder="1" applyAlignment="1">
      <alignment horizontal="centerContinuous" vertical="center"/>
    </xf>
    <xf numFmtId="165" fontId="5" fillId="0" borderId="3" xfId="0" applyNumberFormat="1" applyFont="1" applyBorder="1" applyAlignment="1" applyProtection="1">
      <alignment horizontal="centerContinuous" vertical="center"/>
    </xf>
    <xf numFmtId="37" fontId="3" fillId="0" borderId="30" xfId="0" applyFont="1" applyFill="1" applyBorder="1" applyAlignment="1">
      <alignment horizontal="centerContinuous"/>
    </xf>
    <xf numFmtId="37" fontId="3" fillId="0" borderId="31" xfId="0" applyFont="1" applyFill="1" applyBorder="1" applyAlignment="1">
      <alignment horizontal="centerContinuous"/>
    </xf>
    <xf numFmtId="37" fontId="3" fillId="0" borderId="32" xfId="0" applyFont="1" applyFill="1" applyBorder="1" applyAlignment="1">
      <alignment horizontal="left"/>
    </xf>
    <xf numFmtId="37" fontId="5" fillId="0" borderId="30" xfId="0" applyFont="1" applyFill="1" applyBorder="1" applyAlignment="1"/>
    <xf numFmtId="37" fontId="5" fillId="0" borderId="33" xfId="0" applyFont="1" applyFill="1" applyBorder="1" applyAlignment="1"/>
    <xf numFmtId="165" fontId="5" fillId="0" borderId="0" xfId="0" applyNumberFormat="1" applyFont="1" applyBorder="1" applyProtection="1"/>
    <xf numFmtId="37" fontId="3" fillId="3" borderId="20" xfId="0" applyFont="1" applyFill="1" applyBorder="1" applyAlignment="1">
      <alignment horizontal="centerContinuous"/>
    </xf>
    <xf numFmtId="165" fontId="6" fillId="0" borderId="0" xfId="0" applyNumberFormat="1" applyFont="1" applyProtection="1">
      <protection locked="0"/>
    </xf>
    <xf numFmtId="165" fontId="5" fillId="0" borderId="17" xfId="0" applyNumberFormat="1" applyFont="1" applyBorder="1" applyAlignment="1" applyProtection="1">
      <alignment vertical="center"/>
    </xf>
    <xf numFmtId="37" fontId="3" fillId="3" borderId="17" xfId="0" quotePrefix="1" applyFont="1" applyFill="1" applyBorder="1" applyAlignment="1" applyProtection="1">
      <alignment horizontal="centerContinuous" vertical="center"/>
    </xf>
    <xf numFmtId="37" fontId="5" fillId="0" borderId="17" xfId="0" applyFont="1" applyBorder="1" applyAlignment="1">
      <alignment horizontal="right" vertical="center"/>
    </xf>
    <xf numFmtId="37" fontId="3" fillId="0" borderId="4" xfId="0" applyFont="1" applyBorder="1" applyAlignment="1">
      <alignment horizontal="centerContinuous"/>
    </xf>
    <xf numFmtId="37" fontId="3" fillId="0" borderId="4" xfId="0" applyFont="1" applyBorder="1" applyAlignment="1">
      <alignment horizontal="center"/>
    </xf>
    <xf numFmtId="37" fontId="3" fillId="0" borderId="1" xfId="0" applyFont="1" applyBorder="1" applyAlignment="1">
      <alignment horizontal="centerContinuous"/>
    </xf>
    <xf numFmtId="37" fontId="3" fillId="0" borderId="1" xfId="0" applyFont="1" applyBorder="1" applyAlignment="1">
      <alignment horizontal="center"/>
    </xf>
    <xf numFmtId="37" fontId="5" fillId="0" borderId="0" xfId="0" applyFont="1" applyAlignment="1">
      <alignment wrapText="1"/>
    </xf>
    <xf numFmtId="37" fontId="5" fillId="0" borderId="17" xfId="0" applyFont="1" applyBorder="1" applyAlignment="1">
      <alignment vertical="center"/>
    </xf>
    <xf numFmtId="37" fontId="3" fillId="3" borderId="22" xfId="0" applyFont="1" applyFill="1" applyBorder="1" applyAlignment="1">
      <alignment horizontal="centerContinuous"/>
    </xf>
    <xf numFmtId="37" fontId="5" fillId="0" borderId="17" xfId="0" applyFont="1" applyBorder="1" applyAlignment="1">
      <alignment horizontal="left" vertical="center"/>
    </xf>
    <xf numFmtId="37" fontId="5" fillId="0" borderId="17" xfId="0" applyFont="1" applyBorder="1" applyAlignment="1">
      <alignment horizontal="left"/>
    </xf>
    <xf numFmtId="49" fontId="5" fillId="0" borderId="0" xfId="2" applyNumberFormat="1" applyFont="1"/>
    <xf numFmtId="37" fontId="3" fillId="0" borderId="2" xfId="0" applyFont="1" applyBorder="1" applyAlignment="1">
      <alignment horizontal="centerContinuous" vertical="center"/>
    </xf>
    <xf numFmtId="37" fontId="5" fillId="0" borderId="2" xfId="0" applyFont="1" applyBorder="1" applyAlignment="1">
      <alignment horizontal="centerContinuous" vertical="center"/>
    </xf>
    <xf numFmtId="37" fontId="3" fillId="0" borderId="3" xfId="0" applyFont="1" applyBorder="1" applyAlignment="1">
      <alignment horizontal="centerContinuous" vertical="center"/>
    </xf>
    <xf numFmtId="37" fontId="5" fillId="0" borderId="3" xfId="0" applyFont="1" applyBorder="1" applyAlignment="1">
      <alignment horizontal="centerContinuous" vertical="center"/>
    </xf>
    <xf numFmtId="37" fontId="11" fillId="0" borderId="3" xfId="0" applyFont="1" applyBorder="1" applyAlignment="1">
      <alignment horizontal="centerContinuous" vertical="center"/>
    </xf>
    <xf numFmtId="49" fontId="3" fillId="0" borderId="9" xfId="0" applyNumberFormat="1" applyFont="1" applyBorder="1"/>
    <xf numFmtId="167" fontId="5" fillId="0" borderId="0" xfId="0" applyNumberFormat="1" applyFont="1"/>
    <xf numFmtId="173" fontId="5" fillId="0" borderId="1" xfId="0" applyNumberFormat="1" applyFont="1" applyBorder="1"/>
    <xf numFmtId="172" fontId="5" fillId="0" borderId="0" xfId="0" applyNumberFormat="1" applyFont="1"/>
    <xf numFmtId="173" fontId="5" fillId="0" borderId="0" xfId="0" applyNumberFormat="1" applyFont="1"/>
    <xf numFmtId="37" fontId="5" fillId="0" borderId="0" xfId="0" applyFont="1" applyAlignment="1">
      <alignment horizontal="center"/>
    </xf>
    <xf numFmtId="37" fontId="3" fillId="0" borderId="23" xfId="0" applyFont="1" applyBorder="1" applyAlignment="1">
      <alignment horizontal="center" vertical="center"/>
    </xf>
    <xf numFmtId="43" fontId="5" fillId="0" borderId="0" xfId="2" applyFont="1" applyAlignment="1">
      <alignment horizontal="left"/>
    </xf>
    <xf numFmtId="37" fontId="5" fillId="0" borderId="2" xfId="0" applyFont="1" applyBorder="1" applyAlignment="1">
      <alignment horizontal="centerContinuous"/>
    </xf>
    <xf numFmtId="37" fontId="5" fillId="0" borderId="2" xfId="0" applyFont="1" applyBorder="1" applyAlignment="1"/>
    <xf numFmtId="37" fontId="5" fillId="0" borderId="3" xfId="0" applyFont="1" applyBorder="1" applyAlignment="1">
      <alignment horizontal="centerContinuous"/>
    </xf>
    <xf numFmtId="37" fontId="5" fillId="0" borderId="3" xfId="0" applyFont="1" applyBorder="1" applyAlignment="1"/>
    <xf numFmtId="37" fontId="5" fillId="0" borderId="11" xfId="0" applyFont="1" applyBorder="1" applyAlignment="1">
      <alignment vertical="center"/>
    </xf>
    <xf numFmtId="37" fontId="5" fillId="0" borderId="0" xfId="0" quotePrefix="1" applyFont="1" applyBorder="1" applyAlignment="1">
      <alignment horizontal="centerContinuous"/>
    </xf>
    <xf numFmtId="49" fontId="3" fillId="5" borderId="22" xfId="0" applyNumberFormat="1" applyFont="1" applyFill="1" applyBorder="1" applyAlignment="1">
      <alignment horizontal="center"/>
    </xf>
    <xf numFmtId="37" fontId="3" fillId="3" borderId="17" xfId="0" applyFont="1" applyFill="1" applyBorder="1" applyAlignment="1">
      <alignment horizontal="centerContinuous" vertical="center"/>
    </xf>
    <xf numFmtId="37" fontId="3" fillId="3" borderId="0" xfId="0" applyFont="1" applyFill="1" applyBorder="1" applyAlignment="1">
      <alignment horizontal="centerContinuous" vertical="center"/>
    </xf>
    <xf numFmtId="37" fontId="5" fillId="3" borderId="0" xfId="0" applyFont="1" applyFill="1" applyBorder="1" applyAlignment="1">
      <alignment horizontal="centerContinuous"/>
    </xf>
    <xf numFmtId="37" fontId="5" fillId="3" borderId="0" xfId="0" quotePrefix="1" applyFont="1" applyFill="1" applyBorder="1" applyAlignment="1">
      <alignment horizontal="right"/>
    </xf>
    <xf numFmtId="37" fontId="5" fillId="0" borderId="0" xfId="0" applyFont="1" applyBorder="1" applyAlignment="1">
      <alignment vertical="center"/>
    </xf>
    <xf numFmtId="37" fontId="3" fillId="3" borderId="34" xfId="0" quotePrefix="1" applyFont="1" applyFill="1" applyBorder="1" applyAlignment="1">
      <alignment horizontal="centerContinuous" vertical="center"/>
    </xf>
    <xf numFmtId="37" fontId="5" fillId="0" borderId="30" xfId="0" applyFont="1" applyBorder="1" applyAlignment="1">
      <alignment horizontal="centerContinuous"/>
    </xf>
    <xf numFmtId="37" fontId="5" fillId="0" borderId="33" xfId="0" applyFont="1" applyBorder="1" applyAlignment="1">
      <alignment horizontal="centerContinuous"/>
    </xf>
    <xf numFmtId="37" fontId="3" fillId="0" borderId="35" xfId="0" applyFont="1" applyBorder="1" applyAlignment="1">
      <alignment horizontal="center"/>
    </xf>
    <xf numFmtId="37" fontId="5" fillId="0" borderId="7" xfId="0" applyFont="1" applyBorder="1"/>
    <xf numFmtId="37" fontId="3" fillId="0" borderId="23" xfId="0" applyFont="1" applyBorder="1" applyAlignment="1">
      <alignment horizontal="center"/>
    </xf>
    <xf numFmtId="37" fontId="3" fillId="6" borderId="23" xfId="0" applyFont="1" applyFill="1" applyBorder="1" applyAlignment="1">
      <alignment horizontal="center"/>
    </xf>
    <xf numFmtId="37" fontId="3" fillId="6" borderId="8" xfId="0" applyFont="1" applyFill="1" applyBorder="1" applyAlignment="1">
      <alignment horizontal="center"/>
    </xf>
    <xf numFmtId="49" fontId="5" fillId="0" borderId="0" xfId="0" applyNumberFormat="1" applyFont="1" applyBorder="1" applyAlignment="1">
      <alignment horizontal="left"/>
    </xf>
    <xf numFmtId="37" fontId="5" fillId="0" borderId="0" xfId="0" applyFont="1" applyBorder="1" applyAlignment="1"/>
    <xf numFmtId="37" fontId="5" fillId="3" borderId="0" xfId="0" applyFont="1" applyFill="1" applyBorder="1" applyAlignment="1">
      <alignment horizontal="right"/>
    </xf>
    <xf numFmtId="37" fontId="3" fillId="3" borderId="35" xfId="0" applyFont="1" applyFill="1" applyBorder="1" applyAlignment="1">
      <alignment horizontal="centerContinuous" vertical="center"/>
    </xf>
    <xf numFmtId="37" fontId="3" fillId="0" borderId="8" xfId="0" applyFont="1" applyBorder="1" applyAlignment="1">
      <alignment horizontal="center"/>
    </xf>
    <xf numFmtId="37" fontId="5" fillId="0" borderId="0" xfId="0" applyFont="1" applyBorder="1" applyAlignment="1">
      <alignment horizontal="left"/>
    </xf>
    <xf numFmtId="165" fontId="5" fillId="0" borderId="17" xfId="0" applyNumberFormat="1" applyFont="1" applyBorder="1" applyProtection="1"/>
    <xf numFmtId="37" fontId="5" fillId="0" borderId="17" xfId="0" applyFont="1" applyBorder="1" applyAlignment="1">
      <alignment horizontal="centerContinuous" vertical="center"/>
    </xf>
    <xf numFmtId="165" fontId="5" fillId="0" borderId="0" xfId="0" applyNumberFormat="1" applyFont="1" applyAlignment="1" applyProtection="1">
      <alignment horizontal="centerContinuous"/>
    </xf>
    <xf numFmtId="37" fontId="3" fillId="0" borderId="20" xfId="0" applyFont="1" applyBorder="1" applyAlignment="1">
      <alignment horizontal="centerContinuous" vertical="center"/>
    </xf>
    <xf numFmtId="37" fontId="3" fillId="0" borderId="6" xfId="0" applyFont="1" applyBorder="1" applyAlignment="1">
      <alignment horizontal="center"/>
    </xf>
    <xf numFmtId="37" fontId="6" fillId="0" borderId="17" xfId="0" applyFont="1" applyBorder="1" applyAlignment="1" applyProtection="1">
      <alignment horizontal="centerContinuous" vertical="center"/>
      <protection locked="0"/>
    </xf>
    <xf numFmtId="49" fontId="7" fillId="0" borderId="10" xfId="0" applyNumberFormat="1" applyFont="1" applyBorder="1" applyAlignment="1">
      <alignment horizontal="center"/>
    </xf>
    <xf numFmtId="0" fontId="5" fillId="0" borderId="0" xfId="2" applyNumberFormat="1" applyFont="1" applyAlignment="1"/>
    <xf numFmtId="43" fontId="5" fillId="0" borderId="0" xfId="2" applyFont="1" applyAlignment="1"/>
    <xf numFmtId="37" fontId="5" fillId="0" borderId="0" xfId="0" quotePrefix="1" applyFont="1" applyAlignment="1"/>
    <xf numFmtId="37" fontId="3" fillId="0" borderId="30" xfId="0" applyFont="1" applyBorder="1" applyAlignment="1">
      <alignment horizontal="centerContinuous" vertical="center"/>
    </xf>
    <xf numFmtId="37" fontId="5" fillId="0" borderId="30" xfId="0" applyFont="1" applyBorder="1" applyAlignment="1">
      <alignment horizontal="centerContinuous" vertical="center"/>
    </xf>
    <xf numFmtId="37" fontId="6" fillId="0" borderId="17" xfId="0" applyFont="1" applyBorder="1" applyAlignment="1" applyProtection="1">
      <alignment vertical="center"/>
      <protection locked="0"/>
    </xf>
    <xf numFmtId="37" fontId="3" fillId="0" borderId="1" xfId="0" applyFont="1" applyBorder="1"/>
    <xf numFmtId="37" fontId="5" fillId="0" borderId="10" xfId="0" applyFont="1" applyBorder="1" applyAlignment="1">
      <alignment horizontal="centerContinuous"/>
    </xf>
    <xf numFmtId="49" fontId="5" fillId="0" borderId="0" xfId="0" applyNumberFormat="1" applyFont="1" applyBorder="1" applyAlignment="1">
      <alignment vertical="center"/>
    </xf>
    <xf numFmtId="170" fontId="5" fillId="0" borderId="0" xfId="0" applyNumberFormat="1" applyFont="1" applyBorder="1"/>
    <xf numFmtId="165" fontId="5" fillId="0" borderId="27" xfId="0" applyNumberFormat="1" applyFont="1" applyBorder="1" applyAlignment="1" applyProtection="1">
      <alignment vertical="center"/>
    </xf>
    <xf numFmtId="37" fontId="3" fillId="0" borderId="27" xfId="0" applyFont="1" applyBorder="1" applyAlignment="1">
      <alignment horizontal="centerContinuous" vertical="center"/>
    </xf>
    <xf numFmtId="165" fontId="5" fillId="0" borderId="11" xfId="0" applyNumberFormat="1" applyFont="1" applyBorder="1" applyAlignment="1" applyProtection="1">
      <alignment vertical="center"/>
    </xf>
    <xf numFmtId="37" fontId="5" fillId="0" borderId="11" xfId="0" applyFont="1" applyBorder="1" applyAlignment="1"/>
    <xf numFmtId="37" fontId="5" fillId="0" borderId="36" xfId="0" applyFont="1" applyBorder="1"/>
    <xf numFmtId="166" fontId="5" fillId="0" borderId="0" xfId="6" applyNumberFormat="1" applyFont="1" applyBorder="1"/>
    <xf numFmtId="0" fontId="5" fillId="0" borderId="0" xfId="0" applyNumberFormat="1" applyFont="1"/>
    <xf numFmtId="170" fontId="5" fillId="0" borderId="1" xfId="0" applyNumberFormat="1" applyFont="1" applyBorder="1" applyAlignment="1">
      <alignment horizontal="right"/>
    </xf>
    <xf numFmtId="37" fontId="3" fillId="0" borderId="37" xfId="0" applyFont="1" applyBorder="1"/>
    <xf numFmtId="37" fontId="3" fillId="0" borderId="38" xfId="0" applyFont="1" applyBorder="1"/>
    <xf numFmtId="37" fontId="3" fillId="0" borderId="7" xfId="0" applyFont="1" applyFill="1" applyBorder="1" applyAlignment="1">
      <alignment horizontal="centerContinuous" vertical="center"/>
    </xf>
    <xf numFmtId="37" fontId="3" fillId="0" borderId="23" xfId="0" applyFont="1" applyFill="1" applyBorder="1" applyAlignment="1">
      <alignment horizontal="centerContinuous"/>
    </xf>
    <xf numFmtId="37" fontId="3" fillId="0" borderId="8" xfId="0" applyFont="1" applyFill="1" applyBorder="1" applyAlignment="1">
      <alignment horizontal="centerContinuous"/>
    </xf>
    <xf numFmtId="37" fontId="3" fillId="0" borderId="7" xfId="0" applyFont="1" applyFill="1" applyBorder="1" applyAlignment="1">
      <alignment vertical="center"/>
    </xf>
    <xf numFmtId="37" fontId="3" fillId="0" borderId="23" xfId="0" applyFont="1" applyFill="1" applyBorder="1" applyAlignment="1"/>
    <xf numFmtId="37" fontId="3" fillId="0" borderId="23" xfId="0" applyFont="1" applyFill="1" applyBorder="1" applyAlignment="1">
      <alignment horizontal="center"/>
    </xf>
    <xf numFmtId="37" fontId="12" fillId="3" borderId="0" xfId="0" applyFont="1" applyFill="1" applyAlignment="1">
      <alignment horizontal="centerContinuous"/>
    </xf>
    <xf numFmtId="49" fontId="8" fillId="0" borderId="0" xfId="0" applyNumberFormat="1" applyFont="1" applyAlignment="1">
      <alignment horizontal="right"/>
    </xf>
    <xf numFmtId="37" fontId="12" fillId="0" borderId="0" xfId="0" applyFont="1" applyAlignment="1">
      <alignment horizontal="centerContinuous"/>
    </xf>
    <xf numFmtId="37" fontId="13" fillId="0" borderId="19" xfId="0" applyFont="1" applyBorder="1" applyAlignment="1">
      <alignment horizontal="right" vertical="top" textRotation="180"/>
    </xf>
    <xf numFmtId="168" fontId="5" fillId="3" borderId="23" xfId="0" applyNumberFormat="1" applyFont="1" applyFill="1" applyBorder="1" applyProtection="1"/>
    <xf numFmtId="168" fontId="5" fillId="0" borderId="23" xfId="0" applyNumberFormat="1" applyFont="1" applyBorder="1" applyProtection="1"/>
    <xf numFmtId="168" fontId="5" fillId="0" borderId="8" xfId="0" applyNumberFormat="1" applyFont="1" applyBorder="1" applyProtection="1"/>
    <xf numFmtId="168" fontId="5" fillId="3" borderId="7" xfId="0" applyNumberFormat="1" applyFont="1" applyFill="1" applyBorder="1" applyProtection="1"/>
    <xf numFmtId="168" fontId="3" fillId="0" borderId="26" xfId="6" applyNumberFormat="1" applyFont="1" applyFill="1" applyBorder="1"/>
    <xf numFmtId="168" fontId="3" fillId="0" borderId="7" xfId="6" applyNumberFormat="1" applyFont="1" applyFill="1" applyBorder="1"/>
    <xf numFmtId="168" fontId="5" fillId="0" borderId="0" xfId="0" applyNumberFormat="1" applyFont="1" applyProtection="1"/>
    <xf numFmtId="168" fontId="5" fillId="0" borderId="0" xfId="6" applyNumberFormat="1" applyFont="1"/>
    <xf numFmtId="168" fontId="5" fillId="0" borderId="1" xfId="6" applyNumberFormat="1" applyFont="1" applyBorder="1"/>
    <xf numFmtId="37" fontId="3" fillId="7" borderId="18" xfId="0" applyFont="1" applyFill="1" applyBorder="1" applyAlignment="1">
      <alignment horizontal="centerContinuous"/>
    </xf>
    <xf numFmtId="37" fontId="3" fillId="7" borderId="2" xfId="0" applyFont="1" applyFill="1" applyBorder="1" applyAlignment="1">
      <alignment horizontal="centerContinuous"/>
    </xf>
    <xf numFmtId="37" fontId="3" fillId="7" borderId="5" xfId="0" applyFont="1" applyFill="1" applyBorder="1" applyAlignment="1">
      <alignment horizontal="centerContinuous"/>
    </xf>
    <xf numFmtId="37" fontId="3" fillId="7" borderId="12" xfId="0" applyFont="1" applyFill="1" applyBorder="1" applyAlignment="1">
      <alignment horizontal="centerContinuous"/>
    </xf>
    <xf numFmtId="37" fontId="3" fillId="7" borderId="3" xfId="0" applyFont="1" applyFill="1" applyBorder="1" applyAlignment="1">
      <alignment horizontal="centerContinuous"/>
    </xf>
    <xf numFmtId="37" fontId="3" fillId="7" borderId="10" xfId="0" applyFont="1" applyFill="1" applyBorder="1" applyAlignment="1">
      <alignment horizontal="centerContinuous"/>
    </xf>
    <xf numFmtId="49" fontId="5" fillId="7" borderId="1" xfId="0" applyNumberFormat="1" applyFont="1" applyFill="1" applyBorder="1" applyAlignment="1">
      <alignment vertical="center"/>
    </xf>
    <xf numFmtId="170" fontId="5" fillId="7" borderId="1" xfId="0" applyNumberFormat="1" applyFont="1" applyFill="1" applyBorder="1" applyAlignment="1">
      <alignment vertical="center"/>
    </xf>
    <xf numFmtId="168" fontId="5" fillId="7" borderId="1" xfId="6" applyNumberFormat="1" applyFont="1" applyFill="1" applyBorder="1"/>
    <xf numFmtId="49" fontId="3" fillId="7" borderId="22" xfId="2" applyNumberFormat="1" applyFont="1" applyFill="1" applyBorder="1" applyAlignment="1">
      <alignment vertical="center"/>
    </xf>
    <xf numFmtId="170" fontId="3" fillId="7" borderId="22" xfId="0" applyNumberFormat="1" applyFont="1" applyFill="1" applyBorder="1" applyAlignment="1">
      <alignment vertical="center"/>
    </xf>
    <xf numFmtId="168" fontId="3" fillId="7" borderId="22" xfId="6" applyNumberFormat="1" applyFont="1" applyFill="1" applyBorder="1"/>
    <xf numFmtId="37" fontId="5" fillId="7" borderId="18" xfId="0" applyFont="1" applyFill="1" applyBorder="1"/>
    <xf numFmtId="37" fontId="3" fillId="7" borderId="2" xfId="0" applyFont="1" applyFill="1" applyBorder="1"/>
    <xf numFmtId="37" fontId="5" fillId="7" borderId="5" xfId="0" applyFont="1" applyFill="1" applyBorder="1" applyAlignment="1">
      <alignment horizontal="centerContinuous"/>
    </xf>
    <xf numFmtId="37" fontId="5" fillId="7" borderId="2" xfId="0" applyFont="1" applyFill="1" applyBorder="1" applyAlignment="1">
      <alignment horizontal="centerContinuous"/>
    </xf>
    <xf numFmtId="37" fontId="5" fillId="7" borderId="10" xfId="0" applyFont="1" applyFill="1" applyBorder="1" applyAlignment="1">
      <alignment horizontal="centerContinuous"/>
    </xf>
    <xf numFmtId="37" fontId="3" fillId="8" borderId="26" xfId="0" applyFont="1" applyFill="1" applyBorder="1"/>
    <xf numFmtId="37" fontId="3" fillId="8" borderId="39" xfId="0" applyFont="1" applyFill="1" applyBorder="1"/>
    <xf numFmtId="37" fontId="3" fillId="7" borderId="20" xfId="0" applyFont="1" applyFill="1" applyBorder="1" applyAlignment="1">
      <alignment horizontal="centerContinuous"/>
    </xf>
    <xf numFmtId="37" fontId="5" fillId="7" borderId="17" xfId="0" applyFont="1" applyFill="1" applyBorder="1" applyAlignment="1">
      <alignment horizontal="centerContinuous"/>
    </xf>
    <xf numFmtId="37" fontId="5" fillId="7" borderId="21" xfId="0" applyFont="1" applyFill="1" applyBorder="1" applyAlignment="1">
      <alignment horizontal="centerContinuous"/>
    </xf>
    <xf numFmtId="37" fontId="3" fillId="7" borderId="4" xfId="0" applyFont="1" applyFill="1" applyBorder="1" applyAlignment="1">
      <alignment horizontal="centerContinuous"/>
    </xf>
    <xf numFmtId="37" fontId="3" fillId="7" borderId="5" xfId="0" applyFont="1" applyFill="1" applyBorder="1" applyAlignment="1">
      <alignment horizontal="center"/>
    </xf>
    <xf numFmtId="37" fontId="3" fillId="7" borderId="2" xfId="0" applyFont="1" applyFill="1" applyBorder="1" applyAlignment="1">
      <alignment horizontal="center"/>
    </xf>
    <xf numFmtId="37" fontId="3" fillId="7" borderId="9" xfId="0" applyFont="1" applyFill="1" applyBorder="1" applyAlignment="1">
      <alignment horizontal="centerContinuous"/>
    </xf>
    <xf numFmtId="37" fontId="5" fillId="7" borderId="3" xfId="0" applyFont="1" applyFill="1" applyBorder="1" applyAlignment="1">
      <alignment horizontal="centerContinuous"/>
    </xf>
    <xf numFmtId="37" fontId="3" fillId="7" borderId="34" xfId="0" applyFont="1" applyFill="1" applyBorder="1" applyAlignment="1">
      <alignment horizontal="centerContinuous"/>
    </xf>
    <xf numFmtId="37" fontId="3" fillId="7" borderId="30" xfId="0" applyFont="1" applyFill="1" applyBorder="1" applyAlignment="1">
      <alignment horizontal="centerContinuous"/>
    </xf>
    <xf numFmtId="37" fontId="3" fillId="7" borderId="31" xfId="0" applyFont="1" applyFill="1" applyBorder="1" applyAlignment="1">
      <alignment horizontal="centerContinuous"/>
    </xf>
    <xf numFmtId="37" fontId="3" fillId="7" borderId="40" xfId="0" applyFont="1" applyFill="1" applyBorder="1" applyAlignment="1">
      <alignment horizontal="center"/>
    </xf>
    <xf numFmtId="37" fontId="3" fillId="7" borderId="21" xfId="0" applyFont="1" applyFill="1" applyBorder="1" applyAlignment="1">
      <alignment horizontal="center"/>
    </xf>
    <xf numFmtId="37" fontId="3" fillId="7" borderId="22" xfId="0" applyFont="1" applyFill="1" applyBorder="1" applyAlignment="1">
      <alignment horizontal="center"/>
    </xf>
    <xf numFmtId="173" fontId="5" fillId="7" borderId="1" xfId="0" applyNumberFormat="1" applyFont="1" applyFill="1" applyBorder="1" applyAlignment="1">
      <alignment vertical="center"/>
    </xf>
    <xf numFmtId="173" fontId="3" fillId="7" borderId="22" xfId="0" applyNumberFormat="1" applyFont="1" applyFill="1" applyBorder="1" applyAlignment="1">
      <alignment vertical="center"/>
    </xf>
    <xf numFmtId="37" fontId="3" fillId="7" borderId="20" xfId="0" applyFont="1" applyFill="1" applyBorder="1" applyAlignment="1">
      <alignment horizontal="centerContinuous" vertical="center"/>
    </xf>
    <xf numFmtId="37" fontId="3" fillId="7" borderId="21" xfId="0" applyFont="1" applyFill="1" applyBorder="1" applyAlignment="1">
      <alignment horizontal="centerContinuous"/>
    </xf>
    <xf numFmtId="37" fontId="3" fillId="7" borderId="20" xfId="0" applyFont="1" applyFill="1" applyBorder="1" applyAlignment="1" applyProtection="1">
      <alignment horizontal="centerContinuous"/>
    </xf>
    <xf numFmtId="37" fontId="3" fillId="7" borderId="17" xfId="0" applyFont="1" applyFill="1" applyBorder="1" applyAlignment="1" applyProtection="1">
      <alignment horizontal="centerContinuous"/>
    </xf>
    <xf numFmtId="37" fontId="3" fillId="7" borderId="20" xfId="0" applyFont="1" applyFill="1" applyBorder="1" applyAlignment="1" applyProtection="1">
      <alignment horizontal="centerContinuous" vertical="center"/>
    </xf>
    <xf numFmtId="37" fontId="3" fillId="7" borderId="21" xfId="0" applyFont="1" applyFill="1" applyBorder="1" applyAlignment="1" applyProtection="1">
      <alignment horizontal="centerContinuous"/>
    </xf>
    <xf numFmtId="173" fontId="5" fillId="7" borderId="16" xfId="0" applyNumberFormat="1" applyFont="1" applyFill="1" applyBorder="1" applyAlignment="1">
      <alignment vertical="center"/>
    </xf>
    <xf numFmtId="173" fontId="5" fillId="7" borderId="6" xfId="0" applyNumberFormat="1" applyFont="1" applyFill="1" applyBorder="1" applyAlignment="1">
      <alignment vertical="center"/>
    </xf>
    <xf numFmtId="37" fontId="3" fillId="7" borderId="21" xfId="0" applyFont="1" applyFill="1" applyBorder="1" applyAlignment="1">
      <alignment horizontal="centerContinuous" vertical="center"/>
    </xf>
    <xf numFmtId="37" fontId="5" fillId="7" borderId="14" xfId="0" applyFont="1" applyFill="1" applyBorder="1" applyProtection="1"/>
    <xf numFmtId="37" fontId="5" fillId="7" borderId="0" xfId="0" applyFont="1" applyFill="1" applyProtection="1"/>
    <xf numFmtId="37" fontId="5" fillId="7" borderId="6" xfId="0" applyFont="1" applyFill="1" applyBorder="1" applyProtection="1"/>
    <xf numFmtId="37" fontId="3" fillId="7" borderId="18" xfId="0" applyFont="1" applyFill="1" applyBorder="1" applyAlignment="1" applyProtection="1">
      <alignment horizontal="centerContinuous"/>
    </xf>
    <xf numFmtId="37" fontId="5" fillId="7" borderId="2" xfId="0" applyFont="1" applyFill="1" applyBorder="1" applyAlignment="1" applyProtection="1">
      <alignment horizontal="centerContinuous"/>
    </xf>
    <xf numFmtId="37" fontId="5" fillId="7" borderId="5" xfId="0" applyFont="1" applyFill="1" applyBorder="1" applyAlignment="1" applyProtection="1">
      <alignment horizontal="centerContinuous"/>
    </xf>
    <xf numFmtId="37" fontId="3" fillId="7" borderId="12" xfId="0" applyFont="1" applyFill="1" applyBorder="1" applyAlignment="1" applyProtection="1">
      <alignment horizontal="centerContinuous"/>
    </xf>
    <xf numFmtId="37" fontId="3" fillId="7" borderId="3" xfId="0" applyFont="1" applyFill="1" applyBorder="1" applyAlignment="1" applyProtection="1">
      <alignment horizontal="centerContinuous"/>
    </xf>
    <xf numFmtId="37" fontId="3" fillId="7" borderId="10" xfId="0" applyFont="1" applyFill="1" applyBorder="1" applyAlignment="1" applyProtection="1">
      <alignment horizontal="centerContinuous"/>
    </xf>
    <xf numFmtId="37" fontId="3" fillId="7" borderId="41" xfId="0" applyFont="1" applyFill="1" applyBorder="1" applyAlignment="1" applyProtection="1">
      <alignment horizontal="centerContinuous"/>
    </xf>
    <xf numFmtId="37" fontId="5" fillId="7" borderId="0" xfId="0" applyFont="1" applyFill="1" applyAlignment="1" applyProtection="1">
      <alignment horizontal="centerContinuous"/>
    </xf>
    <xf numFmtId="37" fontId="5" fillId="7" borderId="6" xfId="0" applyFont="1" applyFill="1" applyBorder="1" applyAlignment="1" applyProtection="1">
      <alignment horizontal="centerContinuous"/>
    </xf>
    <xf numFmtId="37" fontId="3" fillId="7" borderId="14" xfId="0" applyFont="1" applyFill="1" applyBorder="1" applyAlignment="1" applyProtection="1">
      <alignment horizontal="centerContinuous"/>
    </xf>
    <xf numFmtId="170" fontId="5" fillId="7" borderId="14" xfId="0" applyNumberFormat="1" applyFont="1" applyFill="1" applyBorder="1" applyAlignment="1">
      <alignment vertical="center"/>
    </xf>
    <xf numFmtId="174" fontId="5" fillId="7" borderId="28" xfId="0" applyNumberFormat="1" applyFont="1" applyFill="1" applyBorder="1" applyAlignment="1">
      <alignment vertical="center"/>
    </xf>
    <xf numFmtId="168" fontId="3" fillId="7" borderId="21" xfId="6" applyNumberFormat="1" applyFont="1" applyFill="1" applyBorder="1"/>
    <xf numFmtId="37" fontId="3" fillId="7" borderId="18" xfId="0" applyFont="1" applyFill="1" applyBorder="1" applyAlignment="1"/>
    <xf numFmtId="37" fontId="3" fillId="7" borderId="2" xfId="0" applyFont="1" applyFill="1" applyBorder="1" applyAlignment="1"/>
    <xf numFmtId="37" fontId="3" fillId="7" borderId="5" xfId="0" applyFont="1" applyFill="1" applyBorder="1" applyAlignment="1"/>
    <xf numFmtId="170" fontId="5" fillId="7" borderId="1" xfId="0" applyNumberFormat="1" applyFont="1" applyFill="1" applyBorder="1"/>
    <xf numFmtId="39" fontId="5" fillId="7" borderId="1" xfId="0" applyNumberFormat="1" applyFont="1" applyFill="1" applyBorder="1"/>
    <xf numFmtId="170" fontId="3" fillId="7" borderId="22" xfId="0" applyNumberFormat="1" applyFont="1" applyFill="1" applyBorder="1"/>
    <xf numFmtId="39" fontId="3" fillId="7" borderId="22" xfId="0" applyNumberFormat="1" applyFont="1" applyFill="1" applyBorder="1"/>
    <xf numFmtId="170" fontId="5" fillId="7" borderId="1" xfId="0" applyNumberFormat="1" applyFont="1" applyFill="1" applyBorder="1" applyAlignment="1">
      <alignment horizontal="right"/>
    </xf>
    <xf numFmtId="39" fontId="5" fillId="7" borderId="1" xfId="0" applyNumberFormat="1" applyFont="1" applyFill="1" applyBorder="1" applyAlignment="1">
      <alignment horizontal="right"/>
    </xf>
    <xf numFmtId="37" fontId="5" fillId="7" borderId="2" xfId="0" applyFont="1" applyFill="1" applyBorder="1"/>
    <xf numFmtId="37" fontId="3" fillId="7" borderId="37" xfId="0" applyFont="1" applyFill="1" applyBorder="1" applyAlignment="1">
      <alignment horizontal="centerContinuous"/>
    </xf>
    <xf numFmtId="37" fontId="3" fillId="7" borderId="27" xfId="0" applyFont="1" applyFill="1" applyBorder="1" applyAlignment="1">
      <alignment horizontal="centerContinuous"/>
    </xf>
    <xf numFmtId="37" fontId="3" fillId="7" borderId="42" xfId="0" applyFont="1" applyFill="1" applyBorder="1" applyAlignment="1">
      <alignment horizontal="centerContinuous"/>
    </xf>
    <xf numFmtId="37" fontId="3" fillId="7" borderId="37" xfId="0" applyFont="1" applyFill="1" applyBorder="1" applyAlignment="1">
      <alignment horizontal="left"/>
    </xf>
    <xf numFmtId="37" fontId="3" fillId="7" borderId="27" xfId="0" applyFont="1" applyFill="1" applyBorder="1" applyAlignment="1">
      <alignment horizontal="left"/>
    </xf>
    <xf numFmtId="37" fontId="3" fillId="7" borderId="42" xfId="0" applyFont="1" applyFill="1" applyBorder="1" applyAlignment="1">
      <alignment horizontal="left"/>
    </xf>
    <xf numFmtId="37" fontId="3" fillId="7" borderId="38" xfId="0" applyFont="1" applyFill="1" applyBorder="1" applyAlignment="1">
      <alignment horizontal="centerContinuous"/>
    </xf>
    <xf numFmtId="37" fontId="3" fillId="7" borderId="11" xfId="0" applyFont="1" applyFill="1" applyBorder="1" applyAlignment="1">
      <alignment horizontal="centerContinuous"/>
    </xf>
    <xf numFmtId="37" fontId="3" fillId="7" borderId="43" xfId="0" applyFont="1" applyFill="1" applyBorder="1" applyAlignment="1">
      <alignment horizontal="centerContinuous"/>
    </xf>
    <xf numFmtId="37" fontId="3" fillId="7" borderId="14" xfId="0" applyFont="1" applyFill="1" applyBorder="1" applyAlignment="1">
      <alignment horizontal="centerContinuous"/>
    </xf>
    <xf numFmtId="37" fontId="5" fillId="7" borderId="0" xfId="0" applyFont="1" applyFill="1" applyAlignment="1">
      <alignment horizontal="centerContinuous"/>
    </xf>
    <xf numFmtId="37" fontId="3" fillId="7" borderId="1" xfId="0" applyFont="1" applyFill="1" applyBorder="1" applyAlignment="1">
      <alignment horizontal="centerContinuous"/>
    </xf>
    <xf numFmtId="37" fontId="3" fillId="7" borderId="17" xfId="0" applyFont="1" applyFill="1" applyBorder="1" applyAlignment="1">
      <alignment horizontal="centerContinuous" vertical="center"/>
    </xf>
    <xf numFmtId="37" fontId="5" fillId="7" borderId="17" xfId="0" applyFont="1" applyFill="1" applyBorder="1" applyAlignment="1">
      <alignment horizontal="centerContinuous" vertical="center"/>
    </xf>
    <xf numFmtId="37" fontId="5" fillId="7" borderId="21" xfId="0" applyFont="1" applyFill="1" applyBorder="1" applyAlignment="1">
      <alignment horizontal="centerContinuous" vertical="center"/>
    </xf>
    <xf numFmtId="37" fontId="3" fillId="7" borderId="18" xfId="0" applyFont="1" applyFill="1" applyBorder="1" applyAlignment="1">
      <alignment horizontal="centerContinuous" vertical="center"/>
    </xf>
    <xf numFmtId="37" fontId="3" fillId="7" borderId="17" xfId="0" applyFont="1" applyFill="1" applyBorder="1" applyAlignment="1">
      <alignment horizontal="centerContinuous"/>
    </xf>
    <xf numFmtId="37" fontId="3" fillId="7" borderId="18" xfId="0" applyFont="1" applyFill="1" applyBorder="1"/>
    <xf numFmtId="37" fontId="3" fillId="7" borderId="6" xfId="0" applyFont="1" applyFill="1" applyBorder="1" applyAlignment="1">
      <alignment horizontal="centerContinuous"/>
    </xf>
    <xf numFmtId="37" fontId="3" fillId="7" borderId="0" xfId="0" applyFont="1" applyFill="1"/>
    <xf numFmtId="37" fontId="3" fillId="7" borderId="4" xfId="0" applyFont="1" applyFill="1" applyBorder="1" applyAlignment="1">
      <alignment horizontal="center"/>
    </xf>
    <xf numFmtId="37" fontId="3" fillId="7" borderId="1" xfId="0" applyFont="1" applyFill="1" applyBorder="1" applyAlignment="1">
      <alignment horizontal="center"/>
    </xf>
    <xf numFmtId="37" fontId="3" fillId="7" borderId="9" xfId="0" applyFont="1" applyFill="1" applyBorder="1" applyAlignment="1">
      <alignment horizontal="center"/>
    </xf>
    <xf numFmtId="37" fontId="3" fillId="7" borderId="4" xfId="0" applyFont="1" applyFill="1" applyBorder="1"/>
    <xf numFmtId="37" fontId="3" fillId="7" borderId="0" xfId="0" applyFont="1" applyFill="1" applyBorder="1" applyAlignment="1">
      <alignment horizontal="centerContinuous"/>
    </xf>
    <xf numFmtId="37" fontId="3" fillId="7" borderId="4" xfId="0" applyNumberFormat="1" applyFont="1" applyFill="1" applyBorder="1" applyAlignment="1" applyProtection="1">
      <alignment horizontal="centerContinuous"/>
    </xf>
    <xf numFmtId="37" fontId="3" fillId="7" borderId="4" xfId="0" applyNumberFormat="1" applyFont="1" applyFill="1" applyBorder="1" applyAlignment="1" applyProtection="1">
      <alignment horizontal="center"/>
    </xf>
    <xf numFmtId="37" fontId="3" fillId="7" borderId="1" xfId="0" applyNumberFormat="1" applyFont="1" applyFill="1" applyBorder="1" applyAlignment="1" applyProtection="1">
      <alignment horizontal="center"/>
    </xf>
    <xf numFmtId="37" fontId="3" fillId="7" borderId="9" xfId="0" applyNumberFormat="1" applyFont="1" applyFill="1" applyBorder="1" applyAlignment="1" applyProtection="1">
      <alignment horizontal="centerContinuous"/>
    </xf>
    <xf numFmtId="37" fontId="3" fillId="7" borderId="1" xfId="0" applyNumberFormat="1" applyFont="1" applyFill="1" applyBorder="1" applyAlignment="1" applyProtection="1">
      <alignment horizontal="centerContinuous"/>
    </xf>
    <xf numFmtId="37" fontId="3" fillId="7" borderId="1" xfId="0" applyNumberFormat="1" applyFont="1" applyFill="1" applyBorder="1" applyAlignment="1" applyProtection="1"/>
    <xf numFmtId="37" fontId="3" fillId="7" borderId="1" xfId="0" applyFont="1" applyFill="1" applyBorder="1" applyAlignment="1"/>
    <xf numFmtId="37" fontId="3" fillId="9" borderId="4" xfId="0" applyFont="1" applyFill="1" applyBorder="1" applyAlignment="1">
      <alignment horizontal="centerContinuous"/>
    </xf>
    <xf numFmtId="37" fontId="3" fillId="9" borderId="4" xfId="0" applyFont="1" applyFill="1" applyBorder="1" applyAlignment="1">
      <alignment horizontal="center"/>
    </xf>
    <xf numFmtId="37" fontId="3" fillId="9" borderId="6" xfId="0" applyFont="1" applyFill="1" applyBorder="1" applyAlignment="1">
      <alignment horizontal="centerContinuous"/>
    </xf>
    <xf numFmtId="37" fontId="3" fillId="9" borderId="1" xfId="0" applyFont="1" applyFill="1" applyBorder="1" applyAlignment="1">
      <alignment horizontal="center"/>
    </xf>
    <xf numFmtId="37" fontId="3" fillId="9" borderId="10" xfId="0" applyFont="1" applyFill="1" applyBorder="1" applyAlignment="1">
      <alignment horizontal="centerContinuous"/>
    </xf>
    <xf numFmtId="37" fontId="3" fillId="9" borderId="9" xfId="0" applyFont="1" applyFill="1" applyBorder="1" applyAlignment="1">
      <alignment horizontal="centerContinuous"/>
    </xf>
    <xf numFmtId="37" fontId="3" fillId="7" borderId="14" xfId="0" applyFont="1" applyFill="1" applyBorder="1" applyAlignment="1">
      <alignment horizontal="centerContinuous" vertical="center"/>
    </xf>
    <xf numFmtId="37" fontId="3" fillId="8" borderId="18" xfId="0" applyFont="1" applyFill="1" applyBorder="1" applyAlignment="1">
      <alignment horizontal="centerContinuous"/>
    </xf>
    <xf numFmtId="37" fontId="3" fillId="8" borderId="5" xfId="0" applyFont="1" applyFill="1" applyBorder="1" applyAlignment="1">
      <alignment horizontal="centerContinuous"/>
    </xf>
    <xf numFmtId="37" fontId="3" fillId="8" borderId="18" xfId="0" applyFont="1" applyFill="1" applyBorder="1" applyAlignment="1"/>
    <xf numFmtId="37" fontId="3" fillId="8" borderId="5" xfId="0" applyFont="1" applyFill="1" applyBorder="1" applyAlignment="1"/>
    <xf numFmtId="37" fontId="3" fillId="8" borderId="14" xfId="0" applyFont="1" applyFill="1" applyBorder="1" applyAlignment="1">
      <alignment horizontal="centerContinuous"/>
    </xf>
    <xf numFmtId="37" fontId="3" fillId="8" borderId="6" xfId="0" applyFont="1" applyFill="1" applyBorder="1" applyAlignment="1">
      <alignment horizontal="centerContinuous"/>
    </xf>
    <xf numFmtId="37" fontId="3" fillId="8" borderId="12" xfId="0" applyFont="1" applyFill="1" applyBorder="1" applyAlignment="1">
      <alignment horizontal="centerContinuous"/>
    </xf>
    <xf numFmtId="37" fontId="3" fillId="8" borderId="10" xfId="0" applyFont="1" applyFill="1" applyBorder="1" applyAlignment="1">
      <alignment horizontal="centerContinuous"/>
    </xf>
    <xf numFmtId="37" fontId="5" fillId="7" borderId="6" xfId="0" applyFont="1" applyFill="1" applyBorder="1" applyAlignment="1">
      <alignment horizontal="centerContinuous"/>
    </xf>
    <xf numFmtId="37" fontId="3" fillId="7" borderId="2" xfId="0" applyFont="1" applyFill="1" applyBorder="1" applyAlignment="1">
      <alignment horizontal="centerContinuous" vertical="center"/>
    </xf>
    <xf numFmtId="37" fontId="3" fillId="7" borderId="0" xfId="0" applyFont="1" applyFill="1" applyBorder="1" applyAlignment="1">
      <alignment horizontal="centerContinuous" vertical="center"/>
    </xf>
    <xf numFmtId="170" fontId="5" fillId="5" borderId="1" xfId="0" applyNumberFormat="1" applyFont="1" applyFill="1" applyBorder="1"/>
    <xf numFmtId="170" fontId="5" fillId="4" borderId="1" xfId="0" applyNumberFormat="1" applyFont="1" applyFill="1" applyBorder="1"/>
    <xf numFmtId="37" fontId="5" fillId="4" borderId="0" xfId="0" applyFont="1" applyFill="1"/>
    <xf numFmtId="170" fontId="3" fillId="5" borderId="22" xfId="0" applyNumberFormat="1" applyFont="1" applyFill="1" applyBorder="1"/>
    <xf numFmtId="170" fontId="5" fillId="4" borderId="0" xfId="0" applyNumberFormat="1" applyFont="1" applyFill="1"/>
    <xf numFmtId="37" fontId="3" fillId="7" borderId="34" xfId="6" applyNumberFormat="1" applyFont="1" applyFill="1" applyBorder="1" applyAlignment="1">
      <alignment horizontal="centerContinuous" vertical="center"/>
    </xf>
    <xf numFmtId="37" fontId="5" fillId="7" borderId="30" xfId="6" applyNumberFormat="1" applyFont="1" applyFill="1" applyBorder="1" applyAlignment="1">
      <alignment horizontal="centerContinuous"/>
    </xf>
    <xf numFmtId="37" fontId="5" fillId="7" borderId="33" xfId="6" applyNumberFormat="1" applyFont="1" applyFill="1" applyBorder="1" applyAlignment="1">
      <alignment horizontal="centerContinuous"/>
    </xf>
    <xf numFmtId="49" fontId="7" fillId="0" borderId="8" xfId="0" applyNumberFormat="1" applyFont="1" applyBorder="1" applyAlignment="1">
      <alignment horizontal="center" vertical="top"/>
    </xf>
    <xf numFmtId="168" fontId="5" fillId="0" borderId="1" xfId="6" applyNumberFormat="1" applyFont="1" applyBorder="1" applyAlignment="1">
      <alignment horizontal="right"/>
    </xf>
    <xf numFmtId="168" fontId="5" fillId="7" borderId="1" xfId="6" applyNumberFormat="1" applyFont="1" applyFill="1" applyBorder="1" applyAlignment="1">
      <alignment horizontal="right"/>
    </xf>
    <xf numFmtId="173" fontId="3" fillId="7" borderId="26" xfId="0" applyNumberFormat="1" applyFont="1" applyFill="1" applyBorder="1"/>
    <xf numFmtId="166" fontId="5" fillId="5" borderId="1" xfId="6" applyNumberFormat="1" applyFont="1" applyFill="1" applyBorder="1"/>
    <xf numFmtId="166" fontId="5" fillId="4" borderId="1" xfId="6" applyNumberFormat="1" applyFont="1" applyFill="1" applyBorder="1"/>
    <xf numFmtId="166" fontId="5" fillId="4" borderId="1" xfId="6" quotePrefix="1" applyNumberFormat="1" applyFont="1" applyFill="1" applyBorder="1" applyAlignment="1">
      <alignment horizontal="right"/>
    </xf>
    <xf numFmtId="166" fontId="5" fillId="4" borderId="0" xfId="6" applyNumberFormat="1" applyFont="1" applyFill="1"/>
    <xf numFmtId="166" fontId="3" fillId="5" borderId="26" xfId="6" applyNumberFormat="1" applyFont="1" applyFill="1" applyBorder="1"/>
    <xf numFmtId="170" fontId="5" fillId="5" borderId="22" xfId="0" applyNumberFormat="1" applyFont="1" applyFill="1" applyBorder="1"/>
    <xf numFmtId="170" fontId="3" fillId="8" borderId="26" xfId="0" applyNumberFormat="1" applyFont="1" applyFill="1" applyBorder="1"/>
    <xf numFmtId="168" fontId="3" fillId="8" borderId="26" xfId="6" applyNumberFormat="1" applyFont="1" applyFill="1" applyBorder="1"/>
    <xf numFmtId="37" fontId="3" fillId="7" borderId="0" xfId="0" applyFont="1" applyFill="1" applyAlignment="1" applyProtection="1">
      <alignment horizontal="centerContinuous"/>
    </xf>
    <xf numFmtId="37" fontId="3" fillId="7" borderId="6" xfId="0" applyFont="1" applyFill="1" applyBorder="1" applyAlignment="1" applyProtection="1">
      <alignment horizontal="centerContinuous"/>
    </xf>
    <xf numFmtId="37" fontId="3" fillId="7" borderId="18" xfId="0" applyFont="1" applyFill="1" applyBorder="1" applyAlignment="1" applyProtection="1"/>
    <xf numFmtId="37" fontId="5" fillId="7" borderId="2" xfId="0" applyFont="1" applyFill="1" applyBorder="1" applyAlignment="1" applyProtection="1"/>
    <xf numFmtId="37" fontId="5" fillId="7" borderId="5" xfId="0" applyFont="1" applyFill="1" applyBorder="1" applyAlignment="1" applyProtection="1"/>
    <xf numFmtId="170" fontId="5" fillId="7" borderId="1" xfId="0" applyNumberFormat="1" applyFont="1" applyFill="1" applyBorder="1" applyAlignment="1"/>
    <xf numFmtId="49" fontId="3" fillId="7" borderId="20" xfId="2" applyNumberFormat="1" applyFont="1" applyFill="1" applyBorder="1" applyAlignment="1">
      <alignment vertical="center"/>
    </xf>
    <xf numFmtId="173" fontId="3" fillId="7" borderId="44" xfId="0" applyNumberFormat="1" applyFont="1" applyFill="1" applyBorder="1" applyAlignment="1">
      <alignment vertical="center"/>
    </xf>
    <xf numFmtId="173" fontId="3" fillId="7" borderId="40" xfId="0" applyNumberFormat="1" applyFont="1" applyFill="1" applyBorder="1" applyAlignment="1">
      <alignment vertical="center"/>
    </xf>
    <xf numFmtId="170" fontId="5" fillId="7" borderId="1" xfId="0" applyNumberFormat="1" applyFont="1" applyFill="1" applyBorder="1" applyAlignment="1">
      <alignment horizontal="right" vertical="center"/>
    </xf>
    <xf numFmtId="37" fontId="3" fillId="7" borderId="45" xfId="0" applyFont="1" applyFill="1" applyBorder="1" applyAlignment="1" applyProtection="1">
      <alignment horizontal="center"/>
    </xf>
    <xf numFmtId="37" fontId="3" fillId="0" borderId="23" xfId="0" applyFont="1" applyFill="1" applyBorder="1"/>
    <xf numFmtId="168" fontId="3" fillId="0" borderId="23" xfId="6" applyNumberFormat="1" applyFont="1" applyFill="1" applyBorder="1"/>
    <xf numFmtId="49" fontId="5" fillId="0" borderId="0" xfId="0" quotePrefix="1" applyNumberFormat="1" applyFont="1" applyAlignment="1">
      <alignment horizontal="left"/>
    </xf>
    <xf numFmtId="173" fontId="3" fillId="7" borderId="21" xfId="0" applyNumberFormat="1" applyFont="1" applyFill="1" applyBorder="1" applyAlignment="1">
      <alignment vertical="center"/>
    </xf>
    <xf numFmtId="173" fontId="3" fillId="7" borderId="46" xfId="0" applyNumberFormat="1" applyFont="1" applyFill="1" applyBorder="1" applyAlignment="1">
      <alignment vertical="center"/>
    </xf>
    <xf numFmtId="37" fontId="3" fillId="0" borderId="9" xfId="0" quotePrefix="1" applyFont="1" applyBorder="1" applyAlignment="1">
      <alignment horizontal="center"/>
    </xf>
    <xf numFmtId="37" fontId="3" fillId="7" borderId="47" xfId="0" quotePrefix="1" applyFont="1" applyFill="1" applyBorder="1" applyAlignment="1" applyProtection="1">
      <alignment horizontal="center"/>
    </xf>
    <xf numFmtId="37" fontId="5" fillId="0" borderId="0" xfId="0" quotePrefix="1" applyFont="1" applyAlignment="1">
      <alignment horizontal="right"/>
    </xf>
    <xf numFmtId="49" fontId="5" fillId="7" borderId="1" xfId="0" quotePrefix="1" applyNumberFormat="1" applyFont="1" applyFill="1" applyBorder="1" applyAlignment="1">
      <alignment horizontal="left" vertical="center"/>
    </xf>
    <xf numFmtId="170" fontId="5" fillId="0" borderId="1" xfId="0" quotePrefix="1" applyNumberFormat="1" applyFont="1" applyBorder="1" applyAlignment="1">
      <alignment horizontal="right"/>
    </xf>
    <xf numFmtId="37" fontId="5" fillId="0" borderId="23" xfId="0" quotePrefix="1" applyNumberFormat="1" applyFont="1" applyBorder="1" applyAlignment="1" applyProtection="1">
      <alignment horizontal="left"/>
    </xf>
    <xf numFmtId="37" fontId="5" fillId="3" borderId="17" xfId="0" applyFont="1" applyFill="1" applyBorder="1" applyAlignment="1">
      <alignment horizontal="centerContinuous" vertical="center"/>
    </xf>
    <xf numFmtId="37" fontId="5" fillId="3" borderId="17" xfId="0" applyFont="1" applyFill="1" applyBorder="1" applyAlignment="1">
      <alignment horizontal="right" vertical="center"/>
    </xf>
    <xf numFmtId="37" fontId="5" fillId="3" borderId="17" xfId="0" quotePrefix="1" applyFont="1" applyFill="1" applyBorder="1" applyAlignment="1">
      <alignment horizontal="right" vertical="center"/>
    </xf>
    <xf numFmtId="37" fontId="3" fillId="3" borderId="20" xfId="0" quotePrefix="1" applyFont="1" applyFill="1" applyBorder="1" applyAlignment="1">
      <alignment horizontal="left"/>
    </xf>
    <xf numFmtId="37" fontId="3" fillId="0" borderId="0" xfId="0" quotePrefix="1" applyFont="1" applyAlignment="1">
      <alignment horizontal="left" wrapText="1"/>
    </xf>
    <xf numFmtId="37" fontId="3" fillId="3" borderId="20" xfId="0" quotePrefix="1" applyFont="1" applyFill="1" applyBorder="1" applyAlignment="1" applyProtection="1">
      <alignment horizontal="left"/>
    </xf>
    <xf numFmtId="37" fontId="3" fillId="7" borderId="7" xfId="0" applyFont="1" applyFill="1" applyBorder="1" applyAlignment="1">
      <alignment horizontal="centerContinuous"/>
    </xf>
    <xf numFmtId="37" fontId="3" fillId="7" borderId="8" xfId="0" applyFont="1" applyFill="1" applyBorder="1" applyAlignment="1">
      <alignment horizontal="centerContinuous"/>
    </xf>
    <xf numFmtId="170" fontId="5" fillId="7" borderId="1" xfId="0" applyNumberFormat="1" applyFont="1" applyFill="1" applyBorder="1" applyAlignment="1">
      <alignment horizontal="right" indent="1"/>
    </xf>
    <xf numFmtId="170" fontId="5" fillId="0" borderId="1" xfId="0" applyNumberFormat="1" applyFont="1" applyBorder="1" applyAlignment="1">
      <alignment horizontal="right" indent="1"/>
    </xf>
    <xf numFmtId="37" fontId="0" fillId="0" borderId="0" xfId="0" applyAlignment="1">
      <alignment horizontal="right" indent="1"/>
    </xf>
    <xf numFmtId="170" fontId="3" fillId="7" borderId="22" xfId="0" applyNumberFormat="1" applyFont="1" applyFill="1" applyBorder="1" applyAlignment="1">
      <alignment horizontal="right" indent="1"/>
    </xf>
    <xf numFmtId="171" fontId="5" fillId="0" borderId="0" xfId="0" applyNumberFormat="1" applyFont="1" applyAlignment="1">
      <alignment horizontal="right" indent="1"/>
    </xf>
    <xf numFmtId="37" fontId="0" fillId="0" borderId="11" xfId="0" applyBorder="1"/>
    <xf numFmtId="0" fontId="3" fillId="5" borderId="22" xfId="0" applyNumberFormat="1" applyFont="1" applyFill="1" applyBorder="1" applyAlignment="1">
      <alignment horizontal="center"/>
    </xf>
    <xf numFmtId="37" fontId="3" fillId="0" borderId="5" xfId="0" applyFont="1" applyFill="1" applyBorder="1" applyAlignment="1">
      <alignment horizontal="center"/>
    </xf>
    <xf numFmtId="37" fontId="3" fillId="0" borderId="4" xfId="0" applyFont="1" applyFill="1" applyBorder="1" applyAlignment="1">
      <alignment horizontal="center"/>
    </xf>
    <xf numFmtId="37" fontId="3" fillId="0" borderId="10" xfId="0" applyFont="1" applyFill="1" applyBorder="1" applyAlignment="1">
      <alignment horizontal="centerContinuous" vertical="center"/>
    </xf>
    <xf numFmtId="37" fontId="3" fillId="0" borderId="9" xfId="0" applyFont="1" applyFill="1" applyBorder="1" applyAlignment="1">
      <alignment horizontal="centerContinuous" vertical="center"/>
    </xf>
    <xf numFmtId="37" fontId="3" fillId="7" borderId="4" xfId="0" quotePrefix="1" applyFont="1" applyFill="1" applyBorder="1" applyAlignment="1">
      <alignment horizontal="center"/>
    </xf>
    <xf numFmtId="49" fontId="5" fillId="0" borderId="11" xfId="0" applyNumberFormat="1" applyFont="1" applyBorder="1"/>
    <xf numFmtId="37" fontId="5" fillId="0" borderId="0" xfId="0" applyFont="1" applyFill="1"/>
    <xf numFmtId="170" fontId="5" fillId="0" borderId="1" xfId="0" applyNumberFormat="1" applyFont="1" applyFill="1" applyBorder="1" applyAlignment="1">
      <alignment vertical="center"/>
    </xf>
    <xf numFmtId="168" fontId="5" fillId="0" borderId="1" xfId="6" applyNumberFormat="1" applyFont="1" applyFill="1" applyBorder="1"/>
    <xf numFmtId="37" fontId="5" fillId="0" borderId="0" xfId="0" applyFont="1" applyFill="1" applyAlignment="1">
      <alignment horizontal="right"/>
    </xf>
    <xf numFmtId="175" fontId="5" fillId="0" borderId="0" xfId="5" applyNumberFormat="1" applyFont="1" applyBorder="1" applyProtection="1"/>
    <xf numFmtId="37" fontId="21" fillId="0" borderId="0" xfId="5" applyNumberFormat="1" applyFont="1" applyBorder="1" applyAlignment="1" applyProtection="1">
      <alignment horizontal="centerContinuous"/>
    </xf>
    <xf numFmtId="39" fontId="5" fillId="0" borderId="0" xfId="5" applyFont="1"/>
    <xf numFmtId="165" fontId="5" fillId="0" borderId="2" xfId="5" applyNumberFormat="1" applyFont="1" applyBorder="1" applyAlignment="1" applyProtection="1">
      <alignment horizontal="left"/>
    </xf>
    <xf numFmtId="39" fontId="5" fillId="0" borderId="0" xfId="5" applyFont="1" applyAlignment="1">
      <alignment horizontal="left"/>
    </xf>
    <xf numFmtId="165" fontId="5" fillId="0" borderId="3" xfId="5" applyNumberFormat="1" applyFont="1" applyBorder="1" applyAlignment="1" applyProtection="1">
      <alignment horizontal="left"/>
    </xf>
    <xf numFmtId="37" fontId="5" fillId="0" borderId="0" xfId="5" applyNumberFormat="1" applyFont="1" applyProtection="1"/>
    <xf numFmtId="39" fontId="3" fillId="0" borderId="18" xfId="5" applyFont="1" applyBorder="1" applyProtection="1"/>
    <xf numFmtId="39" fontId="3" fillId="3" borderId="12" xfId="5" applyFont="1" applyFill="1" applyBorder="1" applyProtection="1"/>
    <xf numFmtId="39" fontId="5" fillId="3" borderId="0" xfId="5" applyFont="1" applyFill="1" applyProtection="1"/>
    <xf numFmtId="39" fontId="5" fillId="7" borderId="1" xfId="5" applyFont="1" applyFill="1" applyBorder="1" applyProtection="1"/>
    <xf numFmtId="167" fontId="5" fillId="7" borderId="1" xfId="5" applyNumberFormat="1" applyFont="1" applyFill="1" applyBorder="1"/>
    <xf numFmtId="39" fontId="5" fillId="0" borderId="1" xfId="5" applyFont="1" applyBorder="1" applyProtection="1"/>
    <xf numFmtId="167" fontId="5" fillId="3" borderId="1" xfId="5" applyNumberFormat="1" applyFont="1" applyFill="1" applyBorder="1"/>
    <xf numFmtId="39" fontId="3" fillId="7" borderId="22" xfId="5" applyFont="1" applyFill="1" applyBorder="1" applyProtection="1"/>
    <xf numFmtId="167" fontId="3" fillId="7" borderId="22" xfId="5" applyNumberFormat="1" applyFont="1" applyFill="1" applyBorder="1"/>
    <xf numFmtId="167" fontId="5" fillId="0" borderId="0" xfId="5" applyNumberFormat="1" applyFont="1"/>
    <xf numFmtId="39" fontId="5" fillId="0" borderId="3" xfId="5" applyFont="1" applyBorder="1"/>
    <xf numFmtId="174" fontId="8" fillId="0" borderId="3" xfId="5" applyNumberFormat="1" applyFont="1" applyBorder="1" applyProtection="1"/>
    <xf numFmtId="37" fontId="5" fillId="0" borderId="0" xfId="5" applyNumberFormat="1" applyFont="1"/>
    <xf numFmtId="37" fontId="22" fillId="0" borderId="0" xfId="0" applyFont="1"/>
    <xf numFmtId="37" fontId="3" fillId="0" borderId="6" xfId="0" quotePrefix="1" applyFont="1" applyBorder="1" applyAlignment="1">
      <alignment horizontal="center"/>
    </xf>
    <xf numFmtId="37" fontId="3" fillId="0" borderId="10" xfId="0" quotePrefix="1" applyFont="1" applyBorder="1" applyAlignment="1">
      <alignment horizontal="center"/>
    </xf>
    <xf numFmtId="165" fontId="5" fillId="0" borderId="0" xfId="4" applyNumberFormat="1" applyFont="1" applyProtection="1"/>
    <xf numFmtId="0" fontId="5" fillId="3" borderId="0" xfId="4" applyFont="1" applyFill="1"/>
    <xf numFmtId="0" fontId="5" fillId="0" borderId="0" xfId="4" applyFont="1"/>
    <xf numFmtId="0" fontId="3" fillId="0" borderId="2" xfId="4" applyFont="1" applyFill="1" applyBorder="1" applyAlignment="1">
      <alignment horizontal="centerContinuous"/>
    </xf>
    <xf numFmtId="0" fontId="5" fillId="3" borderId="2" xfId="4" applyFont="1" applyFill="1" applyBorder="1" applyAlignment="1">
      <alignment horizontal="centerContinuous"/>
    </xf>
    <xf numFmtId="0" fontId="5" fillId="3" borderId="3" xfId="4" applyFont="1" applyFill="1" applyBorder="1" applyAlignment="1">
      <alignment horizontal="centerContinuous"/>
    </xf>
    <xf numFmtId="0" fontId="3" fillId="8" borderId="18" xfId="4" applyFont="1" applyFill="1" applyBorder="1" applyAlignment="1">
      <alignment horizontal="centerContinuous"/>
    </xf>
    <xf numFmtId="0" fontId="3" fillId="8" borderId="2" xfId="4" applyFont="1" applyFill="1" applyBorder="1" applyAlignment="1">
      <alignment horizontal="centerContinuous"/>
    </xf>
    <xf numFmtId="0" fontId="3" fillId="8" borderId="5" xfId="4" applyFont="1" applyFill="1" applyBorder="1" applyAlignment="1">
      <alignment horizontal="centerContinuous"/>
    </xf>
    <xf numFmtId="0" fontId="3" fillId="8" borderId="14" xfId="4" applyFont="1" applyFill="1" applyBorder="1" applyAlignment="1">
      <alignment horizontal="centerContinuous"/>
    </xf>
    <xf numFmtId="0" fontId="3" fillId="8" borderId="0" xfId="4" applyFont="1" applyFill="1" applyBorder="1" applyAlignment="1">
      <alignment horizontal="centerContinuous"/>
    </xf>
    <xf numFmtId="0" fontId="3" fillId="8" borderId="6" xfId="4" applyFont="1" applyFill="1" applyBorder="1" applyAlignment="1">
      <alignment horizontal="centerContinuous"/>
    </xf>
    <xf numFmtId="0" fontId="3" fillId="0" borderId="7" xfId="4" applyFont="1" applyBorder="1"/>
    <xf numFmtId="0" fontId="3" fillId="8" borderId="12" xfId="4" applyFont="1" applyFill="1" applyBorder="1" applyAlignment="1">
      <alignment horizontal="centerContinuous"/>
    </xf>
    <xf numFmtId="0" fontId="3" fillId="8" borderId="3" xfId="4" applyFont="1" applyFill="1" applyBorder="1" applyAlignment="1">
      <alignment horizontal="centerContinuous"/>
    </xf>
    <xf numFmtId="0" fontId="3" fillId="8" borderId="10" xfId="4" applyFont="1" applyFill="1" applyBorder="1" applyAlignment="1">
      <alignment horizontal="centerContinuous"/>
    </xf>
    <xf numFmtId="0" fontId="3" fillId="0" borderId="8" xfId="4" applyFont="1" applyBorder="1"/>
    <xf numFmtId="49" fontId="3" fillId="5" borderId="22" xfId="4" applyNumberFormat="1" applyFont="1" applyFill="1" applyBorder="1" applyAlignment="1">
      <alignment horizontal="center"/>
    </xf>
    <xf numFmtId="0" fontId="3" fillId="0" borderId="0" xfId="4" applyFont="1"/>
    <xf numFmtId="165" fontId="6" fillId="0" borderId="0" xfId="4" applyNumberFormat="1" applyFont="1" applyProtection="1">
      <protection locked="0"/>
    </xf>
    <xf numFmtId="49" fontId="5" fillId="7" borderId="1" xfId="4" applyNumberFormat="1" applyFont="1" applyFill="1" applyBorder="1" applyAlignment="1">
      <alignment vertical="center"/>
    </xf>
    <xf numFmtId="170" fontId="5" fillId="7" borderId="1" xfId="4" applyNumberFormat="1" applyFont="1" applyFill="1" applyBorder="1" applyAlignment="1">
      <alignment vertical="center"/>
    </xf>
    <xf numFmtId="173" fontId="5" fillId="7" borderId="1" xfId="4" applyNumberFormat="1" applyFont="1" applyFill="1" applyBorder="1" applyAlignment="1">
      <alignment vertical="center"/>
    </xf>
    <xf numFmtId="49" fontId="5" fillId="0" borderId="1" xfId="4" applyNumberFormat="1" applyFont="1" applyBorder="1" applyAlignment="1">
      <alignment vertical="center"/>
    </xf>
    <xf numFmtId="170" fontId="5" fillId="0" borderId="1" xfId="4" applyNumberFormat="1" applyFont="1" applyBorder="1" applyAlignment="1">
      <alignment vertical="center"/>
    </xf>
    <xf numFmtId="173" fontId="5" fillId="0" borderId="1" xfId="4" applyNumberFormat="1" applyFont="1" applyBorder="1" applyAlignment="1">
      <alignment vertical="center"/>
    </xf>
    <xf numFmtId="170" fontId="5" fillId="0" borderId="0" xfId="4" applyNumberFormat="1" applyFont="1"/>
    <xf numFmtId="49" fontId="3" fillId="7" borderId="22" xfId="3" applyNumberFormat="1" applyFont="1" applyFill="1" applyBorder="1" applyAlignment="1">
      <alignment vertical="center"/>
    </xf>
    <xf numFmtId="170" fontId="3" fillId="7" borderId="26" xfId="4" applyNumberFormat="1" applyFont="1" applyFill="1" applyBorder="1"/>
    <xf numFmtId="173" fontId="3" fillId="7" borderId="26" xfId="4" applyNumberFormat="1" applyFont="1" applyFill="1" applyBorder="1"/>
    <xf numFmtId="0" fontId="5" fillId="0" borderId="0" xfId="4" applyFont="1" applyAlignment="1"/>
    <xf numFmtId="37" fontId="3" fillId="3" borderId="3" xfId="4" quotePrefix="1" applyNumberFormat="1" applyFont="1" applyFill="1" applyBorder="1" applyAlignment="1" applyProtection="1">
      <alignment horizontal="centerContinuous" vertical="center"/>
    </xf>
    <xf numFmtId="0" fontId="3" fillId="5" borderId="22" xfId="4" applyNumberFormat="1" applyFont="1" applyFill="1" applyBorder="1" applyAlignment="1">
      <alignment horizontal="center" wrapText="1"/>
    </xf>
    <xf numFmtId="0" fontId="5" fillId="0" borderId="11" xfId="4" applyFont="1" applyBorder="1"/>
    <xf numFmtId="170" fontId="5" fillId="0" borderId="11" xfId="4" applyNumberFormat="1" applyFont="1" applyBorder="1"/>
    <xf numFmtId="0" fontId="24" fillId="0" borderId="0" xfId="4" applyFont="1"/>
    <xf numFmtId="170" fontId="24" fillId="0" borderId="0" xfId="4" applyNumberFormat="1" applyFont="1"/>
    <xf numFmtId="165" fontId="5" fillId="0" borderId="0" xfId="0" applyNumberFormat="1" applyFont="1" applyFill="1"/>
    <xf numFmtId="37" fontId="3" fillId="8" borderId="9" xfId="0" applyFont="1" applyFill="1" applyBorder="1" applyAlignment="1">
      <alignment horizontal="center" wrapText="1"/>
    </xf>
    <xf numFmtId="49" fontId="5" fillId="0" borderId="0" xfId="0" quotePrefix="1" applyNumberFormat="1" applyFont="1" applyAlignment="1"/>
    <xf numFmtId="37" fontId="19" fillId="0" borderId="0" xfId="0" applyFont="1"/>
    <xf numFmtId="37" fontId="19" fillId="0" borderId="11" xfId="0" applyFont="1" applyBorder="1"/>
    <xf numFmtId="37" fontId="3" fillId="8" borderId="50" xfId="0" applyFont="1" applyFill="1" applyBorder="1" applyAlignment="1">
      <alignment horizontal="centerContinuous" vertical="center" wrapText="1"/>
    </xf>
    <xf numFmtId="37" fontId="3" fillId="8" borderId="51" xfId="0" applyFont="1" applyFill="1" applyBorder="1" applyAlignment="1">
      <alignment horizontal="centerContinuous" vertical="center" wrapText="1"/>
    </xf>
    <xf numFmtId="49" fontId="5" fillId="0" borderId="0" xfId="0" applyNumberFormat="1" applyFont="1" applyFill="1" applyAlignment="1"/>
    <xf numFmtId="37" fontId="5" fillId="0" borderId="0" xfId="0" applyFont="1" applyFill="1" applyAlignment="1"/>
    <xf numFmtId="37" fontId="5" fillId="0" borderId="0" xfId="0" applyFont="1" applyFill="1" applyAlignment="1">
      <alignment wrapText="1"/>
    </xf>
    <xf numFmtId="168" fontId="3" fillId="7" borderId="20" xfId="6" applyNumberFormat="1" applyFont="1" applyFill="1" applyBorder="1"/>
    <xf numFmtId="170" fontId="3" fillId="7" borderId="34" xfId="0" applyNumberFormat="1" applyFont="1" applyFill="1" applyBorder="1" applyAlignment="1">
      <alignment vertical="center"/>
    </xf>
    <xf numFmtId="174" fontId="3" fillId="7" borderId="52" xfId="0" applyNumberFormat="1" applyFont="1" applyFill="1" applyBorder="1" applyAlignment="1">
      <alignment vertical="center"/>
    </xf>
    <xf numFmtId="37" fontId="27" fillId="0" borderId="0" xfId="0" applyFont="1"/>
    <xf numFmtId="37" fontId="27" fillId="0" borderId="0" xfId="0" applyFont="1" applyAlignment="1">
      <alignment horizontal="right"/>
    </xf>
    <xf numFmtId="168" fontId="27" fillId="0" borderId="0" xfId="6" applyNumberFormat="1" applyFont="1" applyBorder="1"/>
    <xf numFmtId="37" fontId="27" fillId="0" borderId="0" xfId="0" quotePrefix="1" applyFont="1" applyAlignment="1">
      <alignment horizontal="left"/>
    </xf>
    <xf numFmtId="168" fontId="27" fillId="0" borderId="0" xfId="6" applyNumberFormat="1" applyFont="1"/>
    <xf numFmtId="168" fontId="27" fillId="0" borderId="0" xfId="0" applyNumberFormat="1" applyFont="1"/>
    <xf numFmtId="37" fontId="17" fillId="10" borderId="0" xfId="7" applyFont="1" applyFill="1"/>
    <xf numFmtId="37" fontId="17" fillId="0" borderId="0" xfId="7" applyFont="1"/>
    <xf numFmtId="37" fontId="17" fillId="10" borderId="0" xfId="7" applyFont="1" applyFill="1" applyAlignment="1"/>
    <xf numFmtId="37" fontId="30" fillId="10" borderId="0" xfId="7" applyFont="1" applyFill="1"/>
    <xf numFmtId="37" fontId="31" fillId="10" borderId="0" xfId="7" applyFont="1" applyFill="1" applyAlignment="1"/>
    <xf numFmtId="37" fontId="29" fillId="10" borderId="53" xfId="7" quotePrefix="1" applyFont="1" applyFill="1" applyBorder="1" applyAlignment="1">
      <alignment horizontal="center"/>
    </xf>
    <xf numFmtId="37" fontId="31" fillId="10" borderId="0" xfId="7" applyFont="1" applyFill="1" applyAlignment="1">
      <alignment wrapText="1"/>
    </xf>
    <xf numFmtId="37" fontId="32" fillId="10" borderId="0" xfId="8" applyNumberFormat="1" applyFont="1" applyFill="1" applyAlignment="1" applyProtection="1">
      <alignment horizontal="center" wrapText="1"/>
    </xf>
    <xf numFmtId="37" fontId="3" fillId="3" borderId="17" xfId="0" applyFont="1" applyFill="1" applyBorder="1" applyAlignment="1" applyProtection="1">
      <alignment horizontal="centerContinuous" vertical="center"/>
    </xf>
    <xf numFmtId="37" fontId="31" fillId="10" borderId="0" xfId="7" applyFont="1" applyFill="1" applyAlignment="1">
      <alignment wrapText="1"/>
    </xf>
    <xf numFmtId="37" fontId="31" fillId="10" borderId="0" xfId="7" quotePrefix="1" applyFont="1" applyFill="1" applyAlignment="1">
      <alignment horizontal="left" wrapText="1"/>
    </xf>
    <xf numFmtId="37" fontId="3" fillId="3" borderId="27" xfId="0" applyFont="1" applyFill="1" applyBorder="1" applyAlignment="1">
      <alignment horizontal="center" vertical="center"/>
    </xf>
    <xf numFmtId="37" fontId="3" fillId="3" borderId="11" xfId="0" applyFont="1" applyFill="1" applyBorder="1" applyAlignment="1">
      <alignment horizontal="center" vertical="center"/>
    </xf>
    <xf numFmtId="37" fontId="3" fillId="7" borderId="4" xfId="0" applyFont="1" applyFill="1" applyBorder="1" applyAlignment="1" applyProtection="1">
      <alignment horizontal="center"/>
    </xf>
    <xf numFmtId="37" fontId="3" fillId="7" borderId="9" xfId="0" applyFont="1" applyFill="1" applyBorder="1" applyAlignment="1" applyProtection="1">
      <alignment horizontal="center"/>
    </xf>
    <xf numFmtId="37" fontId="3" fillId="7" borderId="37" xfId="0" applyFont="1" applyFill="1" applyBorder="1" applyAlignment="1" applyProtection="1">
      <alignment horizontal="center"/>
    </xf>
    <xf numFmtId="37" fontId="3" fillId="7" borderId="42" xfId="0" applyFont="1" applyFill="1" applyBorder="1" applyAlignment="1" applyProtection="1">
      <alignment horizontal="center"/>
    </xf>
    <xf numFmtId="37" fontId="3" fillId="7" borderId="38" xfId="0" applyFont="1" applyFill="1" applyBorder="1" applyAlignment="1" applyProtection="1">
      <alignment horizontal="center"/>
    </xf>
    <xf numFmtId="37" fontId="3" fillId="7" borderId="43" xfId="0" applyFont="1" applyFill="1" applyBorder="1" applyAlignment="1" applyProtection="1">
      <alignment horizontal="center"/>
    </xf>
    <xf numFmtId="49" fontId="3" fillId="0" borderId="19" xfId="0" applyNumberFormat="1" applyFont="1" applyBorder="1" applyAlignment="1">
      <alignment horizontal="center"/>
    </xf>
    <xf numFmtId="49" fontId="3" fillId="0" borderId="0" xfId="0" applyNumberFormat="1" applyFont="1" applyBorder="1" applyAlignment="1">
      <alignment horizontal="center"/>
    </xf>
    <xf numFmtId="49" fontId="3" fillId="0" borderId="35" xfId="0" applyNumberFormat="1" applyFont="1" applyBorder="1" applyAlignment="1">
      <alignment horizontal="center"/>
    </xf>
    <xf numFmtId="49" fontId="3" fillId="0" borderId="48"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10" fillId="0" borderId="14" xfId="0" applyNumberFormat="1" applyFont="1" applyBorder="1" applyAlignment="1">
      <alignment horizontal="right" vertical="center" textRotation="180"/>
    </xf>
    <xf numFmtId="37" fontId="3" fillId="0" borderId="12" xfId="0" applyFont="1" applyBorder="1" applyAlignment="1">
      <alignment horizontal="center"/>
    </xf>
    <xf numFmtId="37" fontId="3" fillId="0" borderId="10" xfId="0" applyFont="1" applyBorder="1" applyAlignment="1">
      <alignment horizontal="center"/>
    </xf>
    <xf numFmtId="49" fontId="10" fillId="0" borderId="19" xfId="0" applyNumberFormat="1" applyFont="1" applyBorder="1" applyAlignment="1">
      <alignment horizontal="right" vertical="center" textRotation="180"/>
    </xf>
    <xf numFmtId="37" fontId="0" fillId="0" borderId="19" xfId="0" applyBorder="1" applyAlignment="1">
      <alignment horizontal="right" vertical="center" textRotation="180"/>
    </xf>
    <xf numFmtId="37" fontId="3" fillId="0" borderId="27" xfId="0" applyFont="1" applyBorder="1" applyAlignment="1">
      <alignment horizontal="center" vertical="center"/>
    </xf>
    <xf numFmtId="37" fontId="3" fillId="0" borderId="11" xfId="0" applyFont="1" applyBorder="1" applyAlignment="1">
      <alignment horizontal="center" vertical="center"/>
    </xf>
    <xf numFmtId="37" fontId="3" fillId="8" borderId="4" xfId="0" applyFont="1" applyFill="1" applyBorder="1" applyAlignment="1">
      <alignment horizontal="center" wrapText="1"/>
    </xf>
    <xf numFmtId="37" fontId="3" fillId="8" borderId="9" xfId="0" applyFont="1" applyFill="1" applyBorder="1" applyAlignment="1">
      <alignment horizontal="center" wrapText="1"/>
    </xf>
    <xf numFmtId="49" fontId="3" fillId="0" borderId="0" xfId="5" applyNumberFormat="1" applyFont="1" applyFill="1" applyBorder="1" applyAlignment="1" applyProtection="1">
      <alignment horizontal="center"/>
    </xf>
    <xf numFmtId="39" fontId="3" fillId="0" borderId="2" xfId="5" applyFont="1" applyBorder="1" applyAlignment="1">
      <alignment horizontal="center" vertical="center"/>
    </xf>
    <xf numFmtId="39" fontId="3" fillId="0" borderId="3" xfId="5" quotePrefix="1" applyFont="1" applyBorder="1" applyAlignment="1">
      <alignment horizontal="center" vertical="center"/>
    </xf>
    <xf numFmtId="39" fontId="3" fillId="0" borderId="3" xfId="5" applyFont="1" applyBorder="1" applyAlignment="1">
      <alignment horizontal="center" vertical="center"/>
    </xf>
    <xf numFmtId="37" fontId="3" fillId="8" borderId="18" xfId="0" applyFont="1" applyFill="1" applyBorder="1" applyAlignment="1">
      <alignment horizontal="center" wrapText="1"/>
    </xf>
    <xf numFmtId="37" fontId="3" fillId="8" borderId="5" xfId="0" applyFont="1" applyFill="1" applyBorder="1" applyAlignment="1">
      <alignment horizontal="center" wrapText="1"/>
    </xf>
  </cellXfs>
  <cellStyles count="9">
    <cellStyle name="BODY" xfId="1"/>
    <cellStyle name="Comma" xfId="2" builtinId="3"/>
    <cellStyle name="Comma_Direct Support" xfId="3"/>
    <cellStyle name="Hyperlink" xfId="8" builtinId="8"/>
    <cellStyle name="Normal" xfId="0" builtinId="0"/>
    <cellStyle name="Normal 2" xfId="7"/>
    <cellStyle name="Normal_Direct Support" xfId="4"/>
    <cellStyle name="Normal_Draft Personnel_ 10B" xfId="5"/>
    <cellStyle name="Percent" xfId="6"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3.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dusfb/Age%20and%20Area/Age%20and%20Area%202006-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dusfb/Internet%20Projects/Forms/_Web%20Site/FB115A_Fe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08-09%20FRAME%20Budge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dusfb/Frame/REPORTS/2008-09%20FRAME%20Budge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pital-D"/>
      <sheetName val="Data"/>
      <sheetName val="Form"/>
      <sheetName val="WI"/>
      <sheetName val="List"/>
      <sheetName val="Decades"/>
      <sheetName val="TU's"/>
      <sheetName val="Summary"/>
      <sheetName val="Summary (2)"/>
      <sheetName val="Colony Form"/>
      <sheetName val="Rented Space"/>
    </sheetNames>
    <sheetDataSet>
      <sheetData sheetId="0"/>
      <sheetData sheetId="1">
        <row r="9">
          <cell r="A9" t="str">
            <v>BE</v>
          </cell>
        </row>
        <row r="10">
          <cell r="A10" t="str">
            <v>BE</v>
          </cell>
        </row>
        <row r="11">
          <cell r="A11" t="str">
            <v>BE</v>
          </cell>
        </row>
        <row r="12">
          <cell r="A12" t="str">
            <v>BE</v>
          </cell>
        </row>
        <row r="13">
          <cell r="A13" t="str">
            <v>BE</v>
          </cell>
        </row>
        <row r="14">
          <cell r="A14" t="str">
            <v>BE</v>
          </cell>
        </row>
        <row r="15">
          <cell r="A15" t="str">
            <v>BE</v>
          </cell>
        </row>
        <row r="16">
          <cell r="A16" t="str">
            <v>BE</v>
          </cell>
        </row>
        <row r="17">
          <cell r="A17" t="str">
            <v>BE</v>
          </cell>
        </row>
        <row r="18">
          <cell r="A18" t="str">
            <v>BE</v>
          </cell>
        </row>
        <row r="19">
          <cell r="A19" t="str">
            <v>BE</v>
          </cell>
        </row>
        <row r="20">
          <cell r="A20" t="str">
            <v>BE</v>
          </cell>
        </row>
        <row r="21">
          <cell r="A21" t="str">
            <v>BE</v>
          </cell>
        </row>
        <row r="22">
          <cell r="A22" t="str">
            <v>BE</v>
          </cell>
        </row>
        <row r="23">
          <cell r="A23" t="str">
            <v>BO</v>
          </cell>
        </row>
        <row r="24">
          <cell r="A24" t="str">
            <v>BO</v>
          </cell>
        </row>
        <row r="25">
          <cell r="A25" t="str">
            <v>BO</v>
          </cell>
        </row>
        <row r="26">
          <cell r="A26" t="str">
            <v>BO</v>
          </cell>
        </row>
        <row r="27">
          <cell r="A27" t="str">
            <v>BO</v>
          </cell>
        </row>
        <row r="28">
          <cell r="A28" t="str">
            <v>BO</v>
          </cell>
        </row>
        <row r="29">
          <cell r="A29" t="str">
            <v>BO</v>
          </cell>
        </row>
        <row r="30">
          <cell r="A30" t="str">
            <v>BO</v>
          </cell>
        </row>
        <row r="31">
          <cell r="A31" t="str">
            <v>BO</v>
          </cell>
        </row>
        <row r="32">
          <cell r="A32" t="str">
            <v>BO</v>
          </cell>
        </row>
        <row r="33">
          <cell r="A33" t="str">
            <v>BO</v>
          </cell>
        </row>
        <row r="34">
          <cell r="A34" t="str">
            <v>BO</v>
          </cell>
        </row>
        <row r="35">
          <cell r="A35" t="str">
            <v>BO</v>
          </cell>
        </row>
        <row r="36">
          <cell r="A36" t="str">
            <v>BO</v>
          </cell>
        </row>
        <row r="37">
          <cell r="A37" t="str">
            <v>BO</v>
          </cell>
        </row>
        <row r="38">
          <cell r="A38" t="str">
            <v>BR</v>
          </cell>
        </row>
        <row r="39">
          <cell r="A39" t="str">
            <v>BR</v>
          </cell>
        </row>
        <row r="40">
          <cell r="A40" t="str">
            <v>BR</v>
          </cell>
        </row>
        <row r="41">
          <cell r="A41" t="str">
            <v>BR</v>
          </cell>
        </row>
        <row r="42">
          <cell r="A42" t="str">
            <v>BR</v>
          </cell>
        </row>
        <row r="43">
          <cell r="A43" t="str">
            <v>BR</v>
          </cell>
        </row>
        <row r="44">
          <cell r="A44" t="str">
            <v>BR</v>
          </cell>
        </row>
        <row r="45">
          <cell r="A45" t="str">
            <v>BR</v>
          </cell>
        </row>
        <row r="46">
          <cell r="A46" t="str">
            <v>BR</v>
          </cell>
        </row>
        <row r="47">
          <cell r="A47" t="str">
            <v>BR</v>
          </cell>
        </row>
        <row r="48">
          <cell r="A48" t="str">
            <v>BR</v>
          </cell>
        </row>
        <row r="49">
          <cell r="A49" t="str">
            <v>BR</v>
          </cell>
        </row>
        <row r="50">
          <cell r="A50" t="str">
            <v>BR</v>
          </cell>
        </row>
        <row r="51">
          <cell r="A51" t="str">
            <v>BR</v>
          </cell>
        </row>
        <row r="52">
          <cell r="A52" t="str">
            <v>BR</v>
          </cell>
        </row>
        <row r="53">
          <cell r="A53" t="str">
            <v>BR</v>
          </cell>
        </row>
        <row r="54">
          <cell r="A54" t="str">
            <v>BR</v>
          </cell>
        </row>
        <row r="55">
          <cell r="A55" t="str">
            <v>BR</v>
          </cell>
        </row>
        <row r="56">
          <cell r="A56" t="str">
            <v>BR</v>
          </cell>
        </row>
        <row r="57">
          <cell r="A57" t="str">
            <v>BR</v>
          </cell>
        </row>
        <row r="58">
          <cell r="A58" t="str">
            <v>BR</v>
          </cell>
        </row>
        <row r="59">
          <cell r="A59" t="str">
            <v>BR</v>
          </cell>
        </row>
        <row r="60">
          <cell r="A60" t="str">
            <v>DI</v>
          </cell>
        </row>
        <row r="61">
          <cell r="A61" t="str">
            <v>DI</v>
          </cell>
        </row>
        <row r="62">
          <cell r="A62" t="str">
            <v>DI</v>
          </cell>
        </row>
        <row r="63">
          <cell r="A63" t="str">
            <v>DI</v>
          </cell>
        </row>
        <row r="64">
          <cell r="A64" t="str">
            <v>DI</v>
          </cell>
        </row>
        <row r="65">
          <cell r="A65" t="str">
            <v>DI</v>
          </cell>
        </row>
        <row r="66">
          <cell r="A66" t="str">
            <v>DI</v>
          </cell>
        </row>
        <row r="67">
          <cell r="A67" t="str">
            <v>DI</v>
          </cell>
        </row>
        <row r="68">
          <cell r="A68" t="str">
            <v>DI</v>
          </cell>
        </row>
        <row r="69">
          <cell r="A69" t="str">
            <v>DI</v>
          </cell>
        </row>
        <row r="70">
          <cell r="A70" t="str">
            <v>DI</v>
          </cell>
        </row>
        <row r="71">
          <cell r="A71" t="str">
            <v>DI</v>
          </cell>
        </row>
        <row r="72">
          <cell r="A72" t="str">
            <v>DI</v>
          </cell>
        </row>
        <row r="73">
          <cell r="A73" t="str">
            <v>DI</v>
          </cell>
        </row>
        <row r="74">
          <cell r="A74" t="str">
            <v>DI</v>
          </cell>
        </row>
        <row r="75">
          <cell r="A75" t="str">
            <v>DI</v>
          </cell>
        </row>
        <row r="76">
          <cell r="A76" t="str">
            <v>DI</v>
          </cell>
        </row>
        <row r="77">
          <cell r="A77" t="str">
            <v>DI</v>
          </cell>
        </row>
        <row r="78">
          <cell r="A78" t="str">
            <v>DI</v>
          </cell>
        </row>
        <row r="79">
          <cell r="A79" t="str">
            <v>DI</v>
          </cell>
        </row>
        <row r="80">
          <cell r="A80" t="str">
            <v>DI</v>
          </cell>
        </row>
        <row r="81">
          <cell r="A81" t="str">
            <v>EV</v>
          </cell>
        </row>
        <row r="82">
          <cell r="A82" t="str">
            <v>EV</v>
          </cell>
        </row>
        <row r="83">
          <cell r="A83" t="str">
            <v>EV</v>
          </cell>
        </row>
        <row r="84">
          <cell r="A84" t="str">
            <v>EV</v>
          </cell>
        </row>
        <row r="85">
          <cell r="A85" t="str">
            <v>EV</v>
          </cell>
        </row>
        <row r="86">
          <cell r="A86" t="str">
            <v>EV</v>
          </cell>
        </row>
        <row r="87">
          <cell r="A87" t="str">
            <v>EV</v>
          </cell>
        </row>
        <row r="88">
          <cell r="A88" t="str">
            <v>FL</v>
          </cell>
        </row>
        <row r="89">
          <cell r="A89" t="str">
            <v>FL</v>
          </cell>
        </row>
        <row r="90">
          <cell r="A90" t="str">
            <v>FL</v>
          </cell>
        </row>
        <row r="91">
          <cell r="A91" t="str">
            <v>FL</v>
          </cell>
        </row>
        <row r="92">
          <cell r="A92" t="str">
            <v>FL</v>
          </cell>
        </row>
        <row r="93">
          <cell r="A93" t="str">
            <v>FO</v>
          </cell>
        </row>
        <row r="94">
          <cell r="A94" t="str">
            <v>FO</v>
          </cell>
        </row>
        <row r="95">
          <cell r="A95" t="str">
            <v>FO</v>
          </cell>
        </row>
        <row r="96">
          <cell r="A96" t="str">
            <v>FO</v>
          </cell>
        </row>
        <row r="97">
          <cell r="A97" t="str">
            <v>FO</v>
          </cell>
        </row>
        <row r="98">
          <cell r="A98" t="str">
            <v>FO</v>
          </cell>
        </row>
        <row r="99">
          <cell r="A99" t="str">
            <v>FO</v>
          </cell>
        </row>
        <row r="100">
          <cell r="A100" t="str">
            <v>FO</v>
          </cell>
        </row>
        <row r="101">
          <cell r="A101" t="str">
            <v>FO</v>
          </cell>
        </row>
        <row r="102">
          <cell r="A102" t="str">
            <v>FO</v>
          </cell>
        </row>
        <row r="103">
          <cell r="A103" t="str">
            <v>FO</v>
          </cell>
        </row>
        <row r="104">
          <cell r="A104" t="str">
            <v>FR</v>
          </cell>
        </row>
        <row r="105">
          <cell r="A105" t="str">
            <v>FR</v>
          </cell>
        </row>
        <row r="106">
          <cell r="A106" t="str">
            <v>FR</v>
          </cell>
        </row>
        <row r="107">
          <cell r="A107" t="str">
            <v>FR</v>
          </cell>
        </row>
        <row r="108">
          <cell r="A108" t="str">
            <v>FR</v>
          </cell>
        </row>
        <row r="109">
          <cell r="A109" t="str">
            <v>FR</v>
          </cell>
        </row>
        <row r="110">
          <cell r="A110" t="str">
            <v>FR</v>
          </cell>
        </row>
        <row r="111">
          <cell r="A111" t="str">
            <v>FR</v>
          </cell>
        </row>
        <row r="112">
          <cell r="A112" t="str">
            <v>FR</v>
          </cell>
        </row>
        <row r="113">
          <cell r="A113" t="str">
            <v>FR</v>
          </cell>
        </row>
        <row r="114">
          <cell r="A114" t="str">
            <v>FR</v>
          </cell>
        </row>
        <row r="115">
          <cell r="A115" t="str">
            <v>FR</v>
          </cell>
        </row>
        <row r="116">
          <cell r="A116" t="str">
            <v>FR</v>
          </cell>
        </row>
        <row r="117">
          <cell r="A117" t="str">
            <v>FR</v>
          </cell>
        </row>
        <row r="118">
          <cell r="A118" t="str">
            <v>FR</v>
          </cell>
        </row>
        <row r="119">
          <cell r="A119" t="str">
            <v>FR</v>
          </cell>
        </row>
        <row r="120">
          <cell r="A120" t="str">
            <v>FR</v>
          </cell>
        </row>
        <row r="121">
          <cell r="A121" t="str">
            <v>FR</v>
          </cell>
        </row>
        <row r="122">
          <cell r="A122" t="str">
            <v>FR</v>
          </cell>
        </row>
        <row r="123">
          <cell r="A123" t="str">
            <v>FR</v>
          </cell>
        </row>
        <row r="124">
          <cell r="A124" t="str">
            <v>FR</v>
          </cell>
        </row>
        <row r="125">
          <cell r="A125" t="str">
            <v>FR</v>
          </cell>
        </row>
        <row r="126">
          <cell r="A126" t="str">
            <v>FR</v>
          </cell>
        </row>
        <row r="127">
          <cell r="A127" t="str">
            <v>FR</v>
          </cell>
        </row>
        <row r="128">
          <cell r="A128" t="str">
            <v>FR</v>
          </cell>
        </row>
        <row r="129">
          <cell r="A129" t="str">
            <v>FR</v>
          </cell>
        </row>
        <row r="130">
          <cell r="A130" t="str">
            <v>FR</v>
          </cell>
        </row>
        <row r="131">
          <cell r="A131" t="str">
            <v>FR</v>
          </cell>
        </row>
        <row r="132">
          <cell r="A132" t="str">
            <v>FR</v>
          </cell>
        </row>
        <row r="133">
          <cell r="A133" t="str">
            <v>FR</v>
          </cell>
        </row>
        <row r="134">
          <cell r="A134" t="str">
            <v>FR</v>
          </cell>
        </row>
        <row r="135">
          <cell r="A135" t="str">
            <v>FR</v>
          </cell>
        </row>
        <row r="136">
          <cell r="A136" t="str">
            <v>FR</v>
          </cell>
        </row>
        <row r="137">
          <cell r="A137" t="str">
            <v>FR</v>
          </cell>
        </row>
        <row r="138">
          <cell r="A138" t="str">
            <v>FR</v>
          </cell>
        </row>
        <row r="139">
          <cell r="A139" t="str">
            <v>FR</v>
          </cell>
        </row>
        <row r="140">
          <cell r="A140" t="str">
            <v>FR</v>
          </cell>
        </row>
        <row r="141">
          <cell r="A141" t="str">
            <v>FR</v>
          </cell>
        </row>
        <row r="142">
          <cell r="A142" t="str">
            <v>FR</v>
          </cell>
        </row>
        <row r="143">
          <cell r="A143" t="str">
            <v>FR</v>
          </cell>
        </row>
        <row r="144">
          <cell r="A144" t="str">
            <v>GA</v>
          </cell>
        </row>
        <row r="145">
          <cell r="A145" t="str">
            <v>GA</v>
          </cell>
        </row>
        <row r="146">
          <cell r="A146" t="str">
            <v>GA</v>
          </cell>
        </row>
        <row r="147">
          <cell r="A147" t="str">
            <v>GA</v>
          </cell>
        </row>
        <row r="148">
          <cell r="A148" t="str">
            <v>GA</v>
          </cell>
        </row>
        <row r="149">
          <cell r="A149" t="str">
            <v>GA</v>
          </cell>
        </row>
        <row r="150">
          <cell r="A150" t="str">
            <v>GA</v>
          </cell>
        </row>
        <row r="151">
          <cell r="A151" t="str">
            <v>GA</v>
          </cell>
        </row>
        <row r="152">
          <cell r="A152" t="str">
            <v>GA</v>
          </cell>
        </row>
        <row r="153">
          <cell r="A153" t="str">
            <v>GA</v>
          </cell>
        </row>
        <row r="154">
          <cell r="A154" t="str">
            <v>HA</v>
          </cell>
        </row>
        <row r="155">
          <cell r="A155" t="str">
            <v>HA</v>
          </cell>
        </row>
        <row r="156">
          <cell r="A156" t="str">
            <v>HA</v>
          </cell>
        </row>
        <row r="157">
          <cell r="A157" t="str">
            <v>HA</v>
          </cell>
        </row>
        <row r="158">
          <cell r="A158" t="str">
            <v>HA</v>
          </cell>
        </row>
        <row r="159">
          <cell r="A159" t="str">
            <v>HA</v>
          </cell>
        </row>
        <row r="160">
          <cell r="A160" t="str">
            <v>HA</v>
          </cell>
        </row>
        <row r="161">
          <cell r="A161" t="str">
            <v>HA</v>
          </cell>
        </row>
        <row r="162">
          <cell r="A162" t="str">
            <v>HA</v>
          </cell>
        </row>
        <row r="163">
          <cell r="A163" t="str">
            <v>HA</v>
          </cell>
        </row>
        <row r="164">
          <cell r="A164" t="str">
            <v>HA</v>
          </cell>
        </row>
        <row r="165">
          <cell r="A165" t="str">
            <v>HA</v>
          </cell>
        </row>
        <row r="166">
          <cell r="A166" t="str">
            <v>HA</v>
          </cell>
        </row>
        <row r="167">
          <cell r="A167" t="str">
            <v>HA</v>
          </cell>
        </row>
        <row r="168">
          <cell r="A168" t="str">
            <v>HA</v>
          </cell>
        </row>
        <row r="169">
          <cell r="A169" t="str">
            <v>HA</v>
          </cell>
        </row>
        <row r="170">
          <cell r="A170" t="str">
            <v>HA</v>
          </cell>
        </row>
        <row r="171">
          <cell r="A171" t="str">
            <v>IN</v>
          </cell>
        </row>
        <row r="172">
          <cell r="A172" t="str">
            <v>IN</v>
          </cell>
        </row>
        <row r="173">
          <cell r="A173" t="str">
            <v>IN</v>
          </cell>
        </row>
        <row r="174">
          <cell r="A174" t="str">
            <v>IN</v>
          </cell>
        </row>
        <row r="175">
          <cell r="A175" t="str">
            <v>IN</v>
          </cell>
        </row>
        <row r="176">
          <cell r="A176" t="str">
            <v>IN</v>
          </cell>
        </row>
        <row r="177">
          <cell r="A177" t="str">
            <v>IN</v>
          </cell>
        </row>
        <row r="178">
          <cell r="A178" t="str">
            <v>IN</v>
          </cell>
        </row>
        <row r="179">
          <cell r="A179" t="str">
            <v>IN</v>
          </cell>
        </row>
        <row r="180">
          <cell r="A180" t="str">
            <v>IN</v>
          </cell>
        </row>
        <row r="181">
          <cell r="A181" t="str">
            <v>IN</v>
          </cell>
        </row>
        <row r="182">
          <cell r="A182" t="str">
            <v>IN</v>
          </cell>
        </row>
        <row r="183">
          <cell r="A183" t="str">
            <v>IN</v>
          </cell>
        </row>
        <row r="184">
          <cell r="A184" t="str">
            <v>IN</v>
          </cell>
        </row>
        <row r="185">
          <cell r="A185" t="str">
            <v>IN</v>
          </cell>
        </row>
        <row r="186">
          <cell r="A186" t="str">
            <v>IN</v>
          </cell>
        </row>
        <row r="187">
          <cell r="A187" t="str">
            <v>IN</v>
          </cell>
        </row>
        <row r="188">
          <cell r="A188" t="str">
            <v>IN</v>
          </cell>
        </row>
        <row r="189">
          <cell r="A189" t="str">
            <v>IN</v>
          </cell>
        </row>
        <row r="190">
          <cell r="A190" t="str">
            <v>IN</v>
          </cell>
        </row>
        <row r="191">
          <cell r="A191" t="str">
            <v>IN</v>
          </cell>
        </row>
        <row r="192">
          <cell r="A192" t="str">
            <v>KE</v>
          </cell>
        </row>
        <row r="193">
          <cell r="A193" t="str">
            <v>KE</v>
          </cell>
        </row>
        <row r="194">
          <cell r="A194" t="str">
            <v>KE</v>
          </cell>
        </row>
        <row r="195">
          <cell r="A195" t="str">
            <v>KE</v>
          </cell>
        </row>
        <row r="196">
          <cell r="A196" t="str">
            <v>KE</v>
          </cell>
        </row>
        <row r="197">
          <cell r="A197" t="str">
            <v>LA</v>
          </cell>
        </row>
        <row r="198">
          <cell r="A198" t="str">
            <v>LA</v>
          </cell>
        </row>
        <row r="199">
          <cell r="A199" t="str">
            <v>LA</v>
          </cell>
        </row>
        <row r="200">
          <cell r="A200" t="str">
            <v>LA</v>
          </cell>
        </row>
        <row r="201">
          <cell r="A201" t="str">
            <v>LA</v>
          </cell>
        </row>
        <row r="202">
          <cell r="A202" t="str">
            <v>LA</v>
          </cell>
        </row>
        <row r="203">
          <cell r="A203" t="str">
            <v>LA</v>
          </cell>
        </row>
        <row r="204">
          <cell r="A204" t="str">
            <v>LA</v>
          </cell>
        </row>
        <row r="205">
          <cell r="A205" t="str">
            <v>LA</v>
          </cell>
        </row>
        <row r="206">
          <cell r="A206" t="str">
            <v>LO</v>
          </cell>
        </row>
        <row r="207">
          <cell r="A207" t="str">
            <v>LO</v>
          </cell>
        </row>
        <row r="208">
          <cell r="A208" t="str">
            <v>LO</v>
          </cell>
        </row>
        <row r="209">
          <cell r="A209" t="str">
            <v>LO</v>
          </cell>
        </row>
        <row r="210">
          <cell r="A210" t="str">
            <v>LO</v>
          </cell>
        </row>
        <row r="211">
          <cell r="A211" t="str">
            <v>LO</v>
          </cell>
        </row>
        <row r="212">
          <cell r="A212" t="str">
            <v>LO</v>
          </cell>
        </row>
        <row r="213">
          <cell r="A213" t="str">
            <v>LO</v>
          </cell>
        </row>
        <row r="214">
          <cell r="A214" t="str">
            <v>LO</v>
          </cell>
        </row>
        <row r="215">
          <cell r="A215" t="str">
            <v>LO</v>
          </cell>
        </row>
        <row r="216">
          <cell r="A216" t="str">
            <v>LO</v>
          </cell>
        </row>
        <row r="217">
          <cell r="A217" t="str">
            <v>LO</v>
          </cell>
        </row>
        <row r="218">
          <cell r="A218" t="str">
            <v>LO</v>
          </cell>
        </row>
        <row r="219">
          <cell r="A219" t="str">
            <v>LR</v>
          </cell>
        </row>
        <row r="220">
          <cell r="A220" t="str">
            <v>LR</v>
          </cell>
        </row>
        <row r="221">
          <cell r="A221" t="str">
            <v>LR</v>
          </cell>
        </row>
        <row r="222">
          <cell r="A222" t="str">
            <v>LR</v>
          </cell>
        </row>
        <row r="223">
          <cell r="A223" t="str">
            <v>LR</v>
          </cell>
        </row>
        <row r="224">
          <cell r="A224" t="str">
            <v>LR</v>
          </cell>
        </row>
        <row r="225">
          <cell r="A225" t="str">
            <v>LR</v>
          </cell>
        </row>
        <row r="226">
          <cell r="A226" t="str">
            <v>LR</v>
          </cell>
        </row>
        <row r="227">
          <cell r="A227" t="str">
            <v>LR</v>
          </cell>
        </row>
        <row r="228">
          <cell r="A228" t="str">
            <v>LR</v>
          </cell>
        </row>
        <row r="229">
          <cell r="A229" t="str">
            <v>LR</v>
          </cell>
        </row>
        <row r="230">
          <cell r="A230" t="str">
            <v>LR</v>
          </cell>
        </row>
        <row r="231">
          <cell r="A231" t="str">
            <v>LR</v>
          </cell>
        </row>
        <row r="232">
          <cell r="A232" t="str">
            <v>LR</v>
          </cell>
        </row>
        <row r="233">
          <cell r="A233" t="str">
            <v>LR</v>
          </cell>
        </row>
        <row r="234">
          <cell r="A234" t="str">
            <v>LR</v>
          </cell>
        </row>
        <row r="235">
          <cell r="A235" t="str">
            <v>LR</v>
          </cell>
        </row>
        <row r="236">
          <cell r="A236" t="str">
            <v>LR</v>
          </cell>
        </row>
        <row r="237">
          <cell r="A237" t="str">
            <v>LR</v>
          </cell>
        </row>
        <row r="238">
          <cell r="A238" t="str">
            <v>LR</v>
          </cell>
        </row>
        <row r="239">
          <cell r="A239" t="str">
            <v>LR</v>
          </cell>
        </row>
        <row r="240">
          <cell r="A240" t="str">
            <v>LR</v>
          </cell>
        </row>
        <row r="241">
          <cell r="A241" t="str">
            <v>LR</v>
          </cell>
        </row>
        <row r="242">
          <cell r="A242" t="str">
            <v>LR</v>
          </cell>
        </row>
        <row r="243">
          <cell r="A243" t="str">
            <v>LR</v>
          </cell>
        </row>
        <row r="244">
          <cell r="A244" t="str">
            <v>LR</v>
          </cell>
        </row>
        <row r="245">
          <cell r="A245" t="str">
            <v>LR</v>
          </cell>
        </row>
        <row r="246">
          <cell r="A246" t="str">
            <v>LR</v>
          </cell>
        </row>
        <row r="247">
          <cell r="A247" t="str">
            <v>LR</v>
          </cell>
        </row>
        <row r="248">
          <cell r="A248" t="str">
            <v>LR</v>
          </cell>
        </row>
        <row r="249">
          <cell r="A249" t="str">
            <v>LR</v>
          </cell>
        </row>
        <row r="250">
          <cell r="A250" t="str">
            <v>LR</v>
          </cell>
        </row>
        <row r="251">
          <cell r="A251" t="str">
            <v>LR</v>
          </cell>
        </row>
        <row r="252">
          <cell r="A252" t="str">
            <v>LR</v>
          </cell>
        </row>
        <row r="253">
          <cell r="A253" t="str">
            <v>LR</v>
          </cell>
        </row>
        <row r="254">
          <cell r="A254" t="str">
            <v>LR</v>
          </cell>
        </row>
        <row r="255">
          <cell r="A255" t="str">
            <v>LR</v>
          </cell>
        </row>
        <row r="256">
          <cell r="A256" t="str">
            <v>LR</v>
          </cell>
        </row>
        <row r="257">
          <cell r="A257" t="str">
            <v>LR</v>
          </cell>
        </row>
        <row r="258">
          <cell r="A258" t="str">
            <v>MO</v>
          </cell>
        </row>
        <row r="259">
          <cell r="A259" t="str">
            <v>MO</v>
          </cell>
        </row>
        <row r="260">
          <cell r="A260" t="str">
            <v>MO</v>
          </cell>
        </row>
        <row r="261">
          <cell r="A261" t="str">
            <v>MO</v>
          </cell>
        </row>
        <row r="262">
          <cell r="A262" t="str">
            <v>MO</v>
          </cell>
        </row>
        <row r="263">
          <cell r="A263" t="str">
            <v>MO</v>
          </cell>
        </row>
        <row r="264">
          <cell r="A264" t="str">
            <v>MO</v>
          </cell>
        </row>
        <row r="265">
          <cell r="A265" t="str">
            <v>MO</v>
          </cell>
        </row>
        <row r="266">
          <cell r="A266" t="str">
            <v>MO</v>
          </cell>
        </row>
        <row r="267">
          <cell r="A267" t="str">
            <v>MO</v>
          </cell>
        </row>
        <row r="268">
          <cell r="A268" t="str">
            <v>MO</v>
          </cell>
        </row>
        <row r="269">
          <cell r="A269" t="str">
            <v>MO</v>
          </cell>
        </row>
        <row r="270">
          <cell r="A270" t="str">
            <v>MO</v>
          </cell>
        </row>
        <row r="271">
          <cell r="A271" t="str">
            <v>MO</v>
          </cell>
        </row>
        <row r="272">
          <cell r="A272" t="str">
            <v>MO</v>
          </cell>
        </row>
        <row r="273">
          <cell r="A273" t="str">
            <v>MO</v>
          </cell>
        </row>
        <row r="274">
          <cell r="A274" t="str">
            <v>MO</v>
          </cell>
        </row>
        <row r="275">
          <cell r="A275" t="str">
            <v>MY</v>
          </cell>
        </row>
        <row r="276">
          <cell r="A276" t="str">
            <v>MY</v>
          </cell>
        </row>
        <row r="277">
          <cell r="A277" t="str">
            <v>MY</v>
          </cell>
        </row>
        <row r="278">
          <cell r="A278" t="str">
            <v>MY</v>
          </cell>
        </row>
        <row r="279">
          <cell r="A279" t="str">
            <v>MY</v>
          </cell>
        </row>
        <row r="280">
          <cell r="A280" t="str">
            <v>MY</v>
          </cell>
        </row>
        <row r="281">
          <cell r="A281" t="str">
            <v>MY</v>
          </cell>
        </row>
        <row r="282">
          <cell r="A282" t="str">
            <v>PA</v>
          </cell>
        </row>
        <row r="283">
          <cell r="A283" t="str">
            <v>PA</v>
          </cell>
        </row>
        <row r="284">
          <cell r="A284" t="str">
            <v>PA</v>
          </cell>
        </row>
        <row r="285">
          <cell r="A285" t="str">
            <v>PA</v>
          </cell>
        </row>
        <row r="286">
          <cell r="A286" t="str">
            <v>PA</v>
          </cell>
        </row>
        <row r="287">
          <cell r="A287" t="str">
            <v>PA</v>
          </cell>
        </row>
        <row r="288">
          <cell r="A288" t="str">
            <v>PA</v>
          </cell>
        </row>
        <row r="289">
          <cell r="A289" t="str">
            <v>PA</v>
          </cell>
        </row>
        <row r="290">
          <cell r="A290" t="str">
            <v>PA</v>
          </cell>
        </row>
        <row r="291">
          <cell r="A291" t="str">
            <v>PA</v>
          </cell>
        </row>
        <row r="292">
          <cell r="A292" t="str">
            <v>PA</v>
          </cell>
        </row>
        <row r="293">
          <cell r="A293" t="str">
            <v>PA</v>
          </cell>
        </row>
        <row r="294">
          <cell r="A294" t="str">
            <v>PA</v>
          </cell>
        </row>
        <row r="295">
          <cell r="A295" t="str">
            <v>PA</v>
          </cell>
        </row>
        <row r="296">
          <cell r="A296" t="str">
            <v>PE</v>
          </cell>
        </row>
        <row r="297">
          <cell r="A297" t="str">
            <v>PE</v>
          </cell>
        </row>
        <row r="298">
          <cell r="A298" t="str">
            <v>PE</v>
          </cell>
        </row>
        <row r="299">
          <cell r="A299" t="str">
            <v>PE</v>
          </cell>
        </row>
        <row r="300">
          <cell r="A300" t="str">
            <v>PE</v>
          </cell>
        </row>
        <row r="301">
          <cell r="A301" t="str">
            <v>PE</v>
          </cell>
        </row>
        <row r="302">
          <cell r="A302" t="str">
            <v>PE</v>
          </cell>
        </row>
        <row r="303">
          <cell r="A303" t="str">
            <v>PE</v>
          </cell>
        </row>
        <row r="304">
          <cell r="A304" t="str">
            <v>PE</v>
          </cell>
        </row>
        <row r="305">
          <cell r="A305" t="str">
            <v>PE</v>
          </cell>
        </row>
        <row r="306">
          <cell r="A306" t="str">
            <v>PE</v>
          </cell>
        </row>
        <row r="307">
          <cell r="A307" t="str">
            <v>PE</v>
          </cell>
        </row>
        <row r="308">
          <cell r="A308" t="str">
            <v>PE</v>
          </cell>
        </row>
        <row r="309">
          <cell r="A309" t="str">
            <v>PE</v>
          </cell>
        </row>
        <row r="310">
          <cell r="A310" t="str">
            <v>PE</v>
          </cell>
        </row>
        <row r="311">
          <cell r="A311" t="str">
            <v>PE</v>
          </cell>
        </row>
        <row r="312">
          <cell r="A312" t="str">
            <v>PE</v>
          </cell>
        </row>
        <row r="313">
          <cell r="A313" t="str">
            <v>PE</v>
          </cell>
        </row>
        <row r="314">
          <cell r="A314" t="str">
            <v>PE</v>
          </cell>
        </row>
        <row r="315">
          <cell r="A315" t="str">
            <v>PE</v>
          </cell>
        </row>
        <row r="316">
          <cell r="A316" t="str">
            <v>PE</v>
          </cell>
        </row>
        <row r="317">
          <cell r="A317" t="str">
            <v>PE</v>
          </cell>
        </row>
        <row r="318">
          <cell r="A318" t="str">
            <v>PE</v>
          </cell>
        </row>
        <row r="319">
          <cell r="A319" t="str">
            <v>PE</v>
          </cell>
        </row>
        <row r="320">
          <cell r="A320" t="str">
            <v>PE</v>
          </cell>
        </row>
        <row r="321">
          <cell r="A321" t="str">
            <v>PE</v>
          </cell>
        </row>
        <row r="322">
          <cell r="A322" t="str">
            <v>PE</v>
          </cell>
        </row>
        <row r="323">
          <cell r="A323" t="str">
            <v>PE</v>
          </cell>
        </row>
        <row r="324">
          <cell r="A324" t="str">
            <v>PE</v>
          </cell>
        </row>
        <row r="325">
          <cell r="A325" t="str">
            <v>PE</v>
          </cell>
        </row>
        <row r="326">
          <cell r="A326" t="str">
            <v>PE</v>
          </cell>
        </row>
        <row r="327">
          <cell r="A327" t="str">
            <v>PE</v>
          </cell>
        </row>
        <row r="328">
          <cell r="A328" t="str">
            <v>PE</v>
          </cell>
        </row>
        <row r="329">
          <cell r="A329" t="str">
            <v>PI</v>
          </cell>
        </row>
        <row r="330">
          <cell r="A330" t="str">
            <v>PI</v>
          </cell>
        </row>
        <row r="331">
          <cell r="A331" t="str">
            <v>PI</v>
          </cell>
        </row>
        <row r="332">
          <cell r="A332" t="str">
            <v>PI</v>
          </cell>
        </row>
        <row r="333">
          <cell r="A333" t="str">
            <v>PI</v>
          </cell>
        </row>
        <row r="334">
          <cell r="A334" t="str">
            <v>PI</v>
          </cell>
        </row>
        <row r="335">
          <cell r="A335" t="str">
            <v>PI</v>
          </cell>
        </row>
        <row r="336">
          <cell r="A336" t="str">
            <v>PI</v>
          </cell>
        </row>
        <row r="337">
          <cell r="A337" t="str">
            <v>PI</v>
          </cell>
        </row>
        <row r="338">
          <cell r="A338" t="str">
            <v>PI</v>
          </cell>
        </row>
        <row r="339">
          <cell r="A339" t="str">
            <v>PI</v>
          </cell>
        </row>
        <row r="340">
          <cell r="A340" t="str">
            <v>PI</v>
          </cell>
        </row>
        <row r="341">
          <cell r="A341" t="str">
            <v>PI</v>
          </cell>
        </row>
        <row r="342">
          <cell r="A342" t="str">
            <v>PO</v>
          </cell>
        </row>
        <row r="343">
          <cell r="A343" t="str">
            <v>PO</v>
          </cell>
        </row>
        <row r="344">
          <cell r="A344" t="str">
            <v>PO</v>
          </cell>
        </row>
        <row r="345">
          <cell r="A345" t="str">
            <v>PO</v>
          </cell>
        </row>
        <row r="346">
          <cell r="A346" t="str">
            <v>PO</v>
          </cell>
        </row>
        <row r="347">
          <cell r="A347" t="str">
            <v>PO</v>
          </cell>
        </row>
        <row r="348">
          <cell r="A348" t="str">
            <v>PO</v>
          </cell>
        </row>
        <row r="349">
          <cell r="A349" t="str">
            <v>PO</v>
          </cell>
        </row>
        <row r="350">
          <cell r="A350" t="str">
            <v>PO</v>
          </cell>
        </row>
        <row r="351">
          <cell r="A351" t="str">
            <v>PO</v>
          </cell>
        </row>
        <row r="352">
          <cell r="A352" t="str">
            <v>PO</v>
          </cell>
        </row>
        <row r="353">
          <cell r="A353" t="str">
            <v>PO</v>
          </cell>
        </row>
        <row r="354">
          <cell r="A354" t="str">
            <v>PO</v>
          </cell>
        </row>
        <row r="355">
          <cell r="A355" t="str">
            <v>PO</v>
          </cell>
        </row>
        <row r="356">
          <cell r="A356" t="str">
            <v>PO</v>
          </cell>
        </row>
        <row r="357">
          <cell r="A357" t="str">
            <v>PO</v>
          </cell>
        </row>
        <row r="358">
          <cell r="A358" t="str">
            <v>PO</v>
          </cell>
        </row>
        <row r="359">
          <cell r="A359" t="str">
            <v>PO</v>
          </cell>
        </row>
        <row r="360">
          <cell r="A360" t="str">
            <v>PO</v>
          </cell>
        </row>
        <row r="361">
          <cell r="A361" t="str">
            <v>PO</v>
          </cell>
        </row>
        <row r="362">
          <cell r="A362" t="str">
            <v>PR</v>
          </cell>
        </row>
        <row r="363">
          <cell r="A363" t="str">
            <v>PR</v>
          </cell>
        </row>
        <row r="364">
          <cell r="A364" t="str">
            <v>PR</v>
          </cell>
        </row>
        <row r="365">
          <cell r="A365" t="str">
            <v>PR</v>
          </cell>
        </row>
        <row r="366">
          <cell r="A366" t="str">
            <v>PR</v>
          </cell>
        </row>
        <row r="367">
          <cell r="A367" t="str">
            <v>PR</v>
          </cell>
        </row>
        <row r="368">
          <cell r="A368" t="str">
            <v>PR</v>
          </cell>
        </row>
        <row r="369">
          <cell r="A369" t="str">
            <v>PR</v>
          </cell>
        </row>
        <row r="370">
          <cell r="A370" t="str">
            <v>PR</v>
          </cell>
        </row>
        <row r="371">
          <cell r="A371" t="str">
            <v>PR</v>
          </cell>
        </row>
        <row r="372">
          <cell r="A372" t="str">
            <v>PR</v>
          </cell>
        </row>
        <row r="373">
          <cell r="A373" t="str">
            <v>PR</v>
          </cell>
        </row>
        <row r="374">
          <cell r="A374" t="str">
            <v>PR</v>
          </cell>
        </row>
        <row r="375">
          <cell r="A375" t="str">
            <v>PR</v>
          </cell>
        </row>
        <row r="376">
          <cell r="A376" t="str">
            <v>PR</v>
          </cell>
        </row>
        <row r="377">
          <cell r="A377" t="str">
            <v>PR</v>
          </cell>
        </row>
        <row r="378">
          <cell r="A378" t="str">
            <v>PR</v>
          </cell>
        </row>
        <row r="379">
          <cell r="A379" t="str">
            <v>PR</v>
          </cell>
        </row>
        <row r="380">
          <cell r="A380" t="str">
            <v>PR</v>
          </cell>
        </row>
        <row r="381">
          <cell r="A381" t="str">
            <v>PR</v>
          </cell>
        </row>
        <row r="382">
          <cell r="A382" t="str">
            <v>PR</v>
          </cell>
        </row>
        <row r="383">
          <cell r="A383" t="str">
            <v>PR</v>
          </cell>
        </row>
        <row r="384">
          <cell r="A384" t="str">
            <v>PR</v>
          </cell>
        </row>
        <row r="385">
          <cell r="A385" t="str">
            <v>PR</v>
          </cell>
        </row>
        <row r="386">
          <cell r="A386" t="str">
            <v>PR</v>
          </cell>
        </row>
        <row r="387">
          <cell r="A387" t="str">
            <v>PS</v>
          </cell>
        </row>
        <row r="388">
          <cell r="A388" t="str">
            <v>PS</v>
          </cell>
        </row>
        <row r="389">
          <cell r="A389" t="str">
            <v>PS</v>
          </cell>
        </row>
        <row r="390">
          <cell r="A390" t="str">
            <v>PS</v>
          </cell>
        </row>
        <row r="391">
          <cell r="A391" t="str">
            <v>PS</v>
          </cell>
        </row>
        <row r="392">
          <cell r="A392" t="str">
            <v>PS</v>
          </cell>
        </row>
        <row r="393">
          <cell r="A393" t="str">
            <v>PS</v>
          </cell>
        </row>
        <row r="394">
          <cell r="A394" t="str">
            <v>PS</v>
          </cell>
        </row>
        <row r="395">
          <cell r="A395" t="str">
            <v>PS</v>
          </cell>
        </row>
        <row r="396">
          <cell r="A396" t="str">
            <v>PS</v>
          </cell>
        </row>
        <row r="397">
          <cell r="A397" t="str">
            <v>PS</v>
          </cell>
        </row>
        <row r="398">
          <cell r="A398" t="str">
            <v>PS</v>
          </cell>
        </row>
        <row r="399">
          <cell r="A399" t="str">
            <v>PS</v>
          </cell>
        </row>
        <row r="400">
          <cell r="A400" t="str">
            <v>PS</v>
          </cell>
        </row>
        <row r="401">
          <cell r="A401" t="str">
            <v>PS</v>
          </cell>
        </row>
        <row r="402">
          <cell r="A402" t="str">
            <v>PS</v>
          </cell>
        </row>
        <row r="403">
          <cell r="A403" t="str">
            <v>PS</v>
          </cell>
        </row>
        <row r="404">
          <cell r="A404" t="str">
            <v>PS</v>
          </cell>
        </row>
        <row r="405">
          <cell r="A405" t="str">
            <v>PS</v>
          </cell>
        </row>
        <row r="406">
          <cell r="A406" t="str">
            <v>PS</v>
          </cell>
        </row>
        <row r="407">
          <cell r="A407" t="str">
            <v>PS</v>
          </cell>
        </row>
        <row r="408">
          <cell r="A408" t="str">
            <v>PS</v>
          </cell>
        </row>
        <row r="409">
          <cell r="A409" t="str">
            <v>PS</v>
          </cell>
        </row>
        <row r="410">
          <cell r="A410" t="str">
            <v>PS</v>
          </cell>
        </row>
        <row r="411">
          <cell r="A411" t="str">
            <v>PS</v>
          </cell>
        </row>
        <row r="412">
          <cell r="A412" t="str">
            <v>PS</v>
          </cell>
        </row>
        <row r="413">
          <cell r="A413" t="str">
            <v>PS</v>
          </cell>
        </row>
        <row r="414">
          <cell r="A414" t="str">
            <v>PS</v>
          </cell>
        </row>
        <row r="415">
          <cell r="A415" t="str">
            <v>RE</v>
          </cell>
        </row>
        <row r="416">
          <cell r="A416" t="str">
            <v>RE</v>
          </cell>
        </row>
        <row r="417">
          <cell r="A417" t="str">
            <v>RE</v>
          </cell>
        </row>
        <row r="418">
          <cell r="A418" t="str">
            <v>RE</v>
          </cell>
        </row>
        <row r="419">
          <cell r="A419" t="str">
            <v>RE</v>
          </cell>
        </row>
        <row r="420">
          <cell r="A420" t="str">
            <v>RE</v>
          </cell>
        </row>
        <row r="421">
          <cell r="A421" t="str">
            <v>RE</v>
          </cell>
        </row>
        <row r="422">
          <cell r="A422" t="str">
            <v>RE</v>
          </cell>
        </row>
        <row r="423">
          <cell r="A423" t="str">
            <v>RE</v>
          </cell>
        </row>
        <row r="424">
          <cell r="A424" t="str">
            <v>RE</v>
          </cell>
        </row>
        <row r="425">
          <cell r="A425" t="str">
            <v>RE</v>
          </cell>
        </row>
        <row r="426">
          <cell r="A426" t="str">
            <v>RE</v>
          </cell>
        </row>
        <row r="427">
          <cell r="A427" t="str">
            <v>RE</v>
          </cell>
        </row>
        <row r="428">
          <cell r="A428" t="str">
            <v>RE</v>
          </cell>
        </row>
        <row r="429">
          <cell r="A429" t="str">
            <v>RI</v>
          </cell>
        </row>
        <row r="430">
          <cell r="A430" t="str">
            <v>RI</v>
          </cell>
        </row>
        <row r="431">
          <cell r="A431" t="str">
            <v>RI</v>
          </cell>
        </row>
        <row r="432">
          <cell r="A432" t="str">
            <v>RI</v>
          </cell>
        </row>
        <row r="433">
          <cell r="A433" t="str">
            <v>RI</v>
          </cell>
        </row>
        <row r="434">
          <cell r="A434" t="str">
            <v>RI</v>
          </cell>
        </row>
        <row r="435">
          <cell r="A435" t="str">
            <v>RI</v>
          </cell>
        </row>
        <row r="436">
          <cell r="A436" t="str">
            <v>RI</v>
          </cell>
        </row>
        <row r="437">
          <cell r="A437" t="str">
            <v>RI</v>
          </cell>
        </row>
        <row r="438">
          <cell r="A438" t="str">
            <v>RI</v>
          </cell>
        </row>
        <row r="439">
          <cell r="A439" t="str">
            <v>RI</v>
          </cell>
        </row>
        <row r="440">
          <cell r="A440" t="str">
            <v>RI</v>
          </cell>
        </row>
        <row r="441">
          <cell r="A441" t="str">
            <v>RI</v>
          </cell>
        </row>
        <row r="442">
          <cell r="A442" t="str">
            <v>RI</v>
          </cell>
        </row>
        <row r="443">
          <cell r="A443" t="str">
            <v>RI</v>
          </cell>
        </row>
        <row r="444">
          <cell r="A444" t="str">
            <v>RI</v>
          </cell>
        </row>
        <row r="445">
          <cell r="A445" t="str">
            <v>RI</v>
          </cell>
        </row>
        <row r="446">
          <cell r="A446" t="str">
            <v>RI</v>
          </cell>
        </row>
        <row r="447">
          <cell r="A447" t="str">
            <v>RI</v>
          </cell>
        </row>
        <row r="448">
          <cell r="A448" t="str">
            <v>RI</v>
          </cell>
        </row>
        <row r="449">
          <cell r="A449" t="str">
            <v>RI</v>
          </cell>
        </row>
        <row r="450">
          <cell r="A450" t="str">
            <v>RI</v>
          </cell>
        </row>
        <row r="451">
          <cell r="A451" t="str">
            <v>RI</v>
          </cell>
        </row>
        <row r="452">
          <cell r="A452" t="str">
            <v>RI</v>
          </cell>
        </row>
        <row r="453">
          <cell r="A453" t="str">
            <v>RI</v>
          </cell>
        </row>
        <row r="454">
          <cell r="A454" t="str">
            <v>RI</v>
          </cell>
        </row>
        <row r="455">
          <cell r="A455" t="str">
            <v>RI</v>
          </cell>
        </row>
        <row r="456">
          <cell r="A456" t="str">
            <v>RI</v>
          </cell>
        </row>
        <row r="457">
          <cell r="A457" t="str">
            <v>RI</v>
          </cell>
        </row>
        <row r="458">
          <cell r="A458" t="str">
            <v>RI</v>
          </cell>
        </row>
        <row r="459">
          <cell r="A459" t="str">
            <v>RI</v>
          </cell>
        </row>
        <row r="460">
          <cell r="A460" t="str">
            <v>RI</v>
          </cell>
        </row>
        <row r="461">
          <cell r="A461" t="str">
            <v>RI</v>
          </cell>
        </row>
        <row r="462">
          <cell r="A462" t="str">
            <v>RI</v>
          </cell>
        </row>
        <row r="463">
          <cell r="A463" t="str">
            <v>RI</v>
          </cell>
        </row>
        <row r="464">
          <cell r="A464" t="str">
            <v>RI</v>
          </cell>
        </row>
        <row r="465">
          <cell r="A465" t="str">
            <v>RI</v>
          </cell>
        </row>
        <row r="466">
          <cell r="A466" t="str">
            <v>RI</v>
          </cell>
        </row>
        <row r="467">
          <cell r="A467" t="str">
            <v>RI</v>
          </cell>
        </row>
        <row r="468">
          <cell r="A468" t="str">
            <v>RI</v>
          </cell>
        </row>
        <row r="469">
          <cell r="A469" t="str">
            <v>RI</v>
          </cell>
        </row>
        <row r="470">
          <cell r="A470" t="str">
            <v>RI</v>
          </cell>
        </row>
        <row r="471">
          <cell r="A471" t="str">
            <v>RO</v>
          </cell>
        </row>
        <row r="472">
          <cell r="A472" t="str">
            <v>RO</v>
          </cell>
        </row>
        <row r="473">
          <cell r="A473" t="str">
            <v>RO</v>
          </cell>
        </row>
        <row r="474">
          <cell r="A474" t="str">
            <v>RO</v>
          </cell>
        </row>
        <row r="475">
          <cell r="A475" t="str">
            <v>RO</v>
          </cell>
        </row>
        <row r="476">
          <cell r="A476" t="str">
            <v>RO</v>
          </cell>
        </row>
        <row r="477">
          <cell r="A477" t="str">
            <v>RO</v>
          </cell>
        </row>
        <row r="478">
          <cell r="A478" t="str">
            <v>RO</v>
          </cell>
        </row>
        <row r="479">
          <cell r="A479" t="str">
            <v>RO</v>
          </cell>
        </row>
        <row r="480">
          <cell r="A480" t="str">
            <v>RO</v>
          </cell>
        </row>
        <row r="481">
          <cell r="A481" t="str">
            <v>RO</v>
          </cell>
        </row>
        <row r="482">
          <cell r="A482" t="str">
            <v>RO</v>
          </cell>
        </row>
        <row r="483">
          <cell r="A483" t="str">
            <v>RO</v>
          </cell>
        </row>
        <row r="484">
          <cell r="A484" t="str">
            <v>RO</v>
          </cell>
        </row>
        <row r="485">
          <cell r="A485" t="str">
            <v>RO</v>
          </cell>
        </row>
        <row r="486">
          <cell r="A486" t="str">
            <v>RO</v>
          </cell>
        </row>
        <row r="487">
          <cell r="A487" t="str">
            <v>SE</v>
          </cell>
        </row>
        <row r="488">
          <cell r="A488" t="str">
            <v>SE</v>
          </cell>
        </row>
        <row r="489">
          <cell r="A489" t="str">
            <v>SE</v>
          </cell>
        </row>
        <row r="490">
          <cell r="A490" t="str">
            <v>SE</v>
          </cell>
        </row>
        <row r="491">
          <cell r="A491" t="str">
            <v>SE</v>
          </cell>
        </row>
        <row r="492">
          <cell r="A492" t="str">
            <v>SE</v>
          </cell>
        </row>
        <row r="493">
          <cell r="A493" t="str">
            <v>SE</v>
          </cell>
        </row>
        <row r="494">
          <cell r="A494" t="str">
            <v>SE</v>
          </cell>
        </row>
        <row r="495">
          <cell r="A495" t="str">
            <v>SE</v>
          </cell>
        </row>
        <row r="496">
          <cell r="A496" t="str">
            <v>SE</v>
          </cell>
        </row>
        <row r="497">
          <cell r="A497" t="str">
            <v>SE</v>
          </cell>
        </row>
        <row r="498">
          <cell r="A498" t="str">
            <v>SE</v>
          </cell>
        </row>
        <row r="499">
          <cell r="A499" t="str">
            <v>SE</v>
          </cell>
        </row>
        <row r="500">
          <cell r="A500" t="str">
            <v>SE</v>
          </cell>
        </row>
        <row r="501">
          <cell r="A501" t="str">
            <v>SO</v>
          </cell>
        </row>
        <row r="502">
          <cell r="A502" t="str">
            <v>SO</v>
          </cell>
        </row>
        <row r="503">
          <cell r="A503" t="str">
            <v>SO</v>
          </cell>
        </row>
        <row r="504">
          <cell r="A504" t="str">
            <v>SO</v>
          </cell>
        </row>
        <row r="505">
          <cell r="A505" t="str">
            <v>SO</v>
          </cell>
        </row>
        <row r="506">
          <cell r="A506" t="str">
            <v>SO</v>
          </cell>
        </row>
        <row r="507">
          <cell r="A507" t="str">
            <v>SO</v>
          </cell>
        </row>
        <row r="508">
          <cell r="A508" t="str">
            <v>SO</v>
          </cell>
        </row>
        <row r="509">
          <cell r="A509" t="str">
            <v>SO</v>
          </cell>
        </row>
        <row r="510">
          <cell r="A510" t="str">
            <v>SO</v>
          </cell>
        </row>
        <row r="511">
          <cell r="A511" t="str">
            <v>SO</v>
          </cell>
        </row>
        <row r="512">
          <cell r="A512" t="str">
            <v>SO</v>
          </cell>
        </row>
        <row r="513">
          <cell r="A513" t="str">
            <v>SO</v>
          </cell>
        </row>
        <row r="514">
          <cell r="A514" t="str">
            <v>SO</v>
          </cell>
        </row>
        <row r="515">
          <cell r="A515" t="str">
            <v>SO</v>
          </cell>
        </row>
        <row r="516">
          <cell r="A516" t="str">
            <v>SO</v>
          </cell>
        </row>
        <row r="517">
          <cell r="A517" t="str">
            <v>SO</v>
          </cell>
        </row>
        <row r="518">
          <cell r="A518" t="str">
            <v>SO</v>
          </cell>
        </row>
        <row r="519">
          <cell r="A519" t="str">
            <v>SO</v>
          </cell>
        </row>
        <row r="520">
          <cell r="A520" t="str">
            <v>SO</v>
          </cell>
        </row>
        <row r="521">
          <cell r="A521" t="str">
            <v>SR</v>
          </cell>
        </row>
        <row r="522">
          <cell r="A522" t="str">
            <v>SR</v>
          </cell>
        </row>
        <row r="523">
          <cell r="A523" t="str">
            <v>SR</v>
          </cell>
        </row>
        <row r="524">
          <cell r="A524" t="str">
            <v>SR</v>
          </cell>
        </row>
        <row r="525">
          <cell r="A525" t="str">
            <v>SR</v>
          </cell>
        </row>
        <row r="526">
          <cell r="A526" t="str">
            <v>SR</v>
          </cell>
        </row>
        <row r="527">
          <cell r="A527" t="str">
            <v>SR</v>
          </cell>
        </row>
        <row r="528">
          <cell r="A528" t="str">
            <v>SR</v>
          </cell>
        </row>
        <row r="529">
          <cell r="A529" t="str">
            <v>SR</v>
          </cell>
        </row>
        <row r="530">
          <cell r="A530" t="str">
            <v>SR</v>
          </cell>
        </row>
        <row r="531">
          <cell r="A531" t="str">
            <v>SR</v>
          </cell>
        </row>
        <row r="532">
          <cell r="A532" t="str">
            <v>SR</v>
          </cell>
        </row>
        <row r="533">
          <cell r="A533" t="str">
            <v>SR</v>
          </cell>
        </row>
        <row r="534">
          <cell r="A534" t="str">
            <v>ST</v>
          </cell>
        </row>
        <row r="535">
          <cell r="A535" t="str">
            <v>ST</v>
          </cell>
        </row>
        <row r="536">
          <cell r="A536" t="str">
            <v>ST</v>
          </cell>
        </row>
        <row r="537">
          <cell r="A537" t="str">
            <v>ST</v>
          </cell>
        </row>
        <row r="538">
          <cell r="A538" t="str">
            <v>ST</v>
          </cell>
        </row>
        <row r="539">
          <cell r="A539" t="str">
            <v>ST</v>
          </cell>
        </row>
        <row r="540">
          <cell r="A540" t="str">
            <v>ST</v>
          </cell>
        </row>
        <row r="541">
          <cell r="A541" t="str">
            <v>ST</v>
          </cell>
        </row>
        <row r="542">
          <cell r="A542" t="str">
            <v>ST</v>
          </cell>
        </row>
        <row r="543">
          <cell r="A543" t="str">
            <v>ST</v>
          </cell>
        </row>
        <row r="544">
          <cell r="A544" t="str">
            <v>ST</v>
          </cell>
        </row>
        <row r="545">
          <cell r="A545" t="str">
            <v>ST</v>
          </cell>
        </row>
        <row r="546">
          <cell r="A546" t="str">
            <v>ST</v>
          </cell>
        </row>
        <row r="547">
          <cell r="A547" t="str">
            <v>ST</v>
          </cell>
        </row>
        <row r="548">
          <cell r="A548" t="str">
            <v>ST</v>
          </cell>
        </row>
        <row r="549">
          <cell r="A549" t="str">
            <v>ST</v>
          </cell>
        </row>
        <row r="550">
          <cell r="A550" t="str">
            <v>ST</v>
          </cell>
        </row>
        <row r="551">
          <cell r="A551" t="str">
            <v>ST</v>
          </cell>
        </row>
        <row r="552">
          <cell r="A552" t="str">
            <v>ST</v>
          </cell>
        </row>
        <row r="553">
          <cell r="A553" t="str">
            <v>ST</v>
          </cell>
        </row>
        <row r="554">
          <cell r="A554" t="str">
            <v>ST</v>
          </cell>
        </row>
        <row r="555">
          <cell r="A555" t="str">
            <v>ST</v>
          </cell>
        </row>
        <row r="556">
          <cell r="A556" t="str">
            <v>ST</v>
          </cell>
        </row>
        <row r="557">
          <cell r="A557" t="str">
            <v>ST</v>
          </cell>
        </row>
        <row r="558">
          <cell r="A558" t="str">
            <v>ST</v>
          </cell>
        </row>
        <row r="559">
          <cell r="A559" t="str">
            <v>SU</v>
          </cell>
        </row>
        <row r="560">
          <cell r="A560" t="str">
            <v>SU</v>
          </cell>
        </row>
        <row r="561">
          <cell r="A561" t="str">
            <v>SU</v>
          </cell>
        </row>
        <row r="562">
          <cell r="A562" t="str">
            <v>SU</v>
          </cell>
        </row>
        <row r="563">
          <cell r="A563" t="str">
            <v>SU</v>
          </cell>
        </row>
        <row r="564">
          <cell r="A564" t="str">
            <v>SU</v>
          </cell>
        </row>
        <row r="565">
          <cell r="A565" t="str">
            <v>SU</v>
          </cell>
        </row>
        <row r="566">
          <cell r="A566" t="str">
            <v>SU</v>
          </cell>
        </row>
        <row r="567">
          <cell r="A567" t="str">
            <v>SU</v>
          </cell>
        </row>
        <row r="568">
          <cell r="A568" t="str">
            <v>SU</v>
          </cell>
        </row>
        <row r="569">
          <cell r="A569" t="str">
            <v>SU</v>
          </cell>
        </row>
        <row r="570">
          <cell r="A570" t="str">
            <v>SU</v>
          </cell>
        </row>
        <row r="571">
          <cell r="A571" t="str">
            <v>SU</v>
          </cell>
        </row>
        <row r="572">
          <cell r="A572" t="str">
            <v>SU</v>
          </cell>
        </row>
        <row r="573">
          <cell r="A573" t="str">
            <v>SU</v>
          </cell>
        </row>
        <row r="574">
          <cell r="A574" t="str">
            <v>SU</v>
          </cell>
        </row>
        <row r="575">
          <cell r="A575" t="str">
            <v>SU</v>
          </cell>
        </row>
        <row r="576">
          <cell r="A576" t="str">
            <v>SU</v>
          </cell>
        </row>
        <row r="577">
          <cell r="A577" t="str">
            <v>SU</v>
          </cell>
        </row>
        <row r="578">
          <cell r="A578" t="str">
            <v>SU</v>
          </cell>
        </row>
        <row r="579">
          <cell r="A579" t="str">
            <v>SU</v>
          </cell>
        </row>
        <row r="580">
          <cell r="A580" t="str">
            <v>SW</v>
          </cell>
        </row>
        <row r="581">
          <cell r="A581" t="str">
            <v>SW</v>
          </cell>
        </row>
        <row r="582">
          <cell r="A582" t="str">
            <v>SW</v>
          </cell>
        </row>
        <row r="583">
          <cell r="A583" t="str">
            <v>SW</v>
          </cell>
        </row>
        <row r="584">
          <cell r="A584" t="str">
            <v>SW</v>
          </cell>
        </row>
        <row r="585">
          <cell r="A585" t="str">
            <v>SW</v>
          </cell>
        </row>
        <row r="586">
          <cell r="A586" t="str">
            <v>SW</v>
          </cell>
        </row>
        <row r="587">
          <cell r="A587" t="str">
            <v>SW</v>
          </cell>
        </row>
        <row r="588">
          <cell r="A588" t="str">
            <v>SW</v>
          </cell>
        </row>
        <row r="589">
          <cell r="A589" t="str">
            <v>TM</v>
          </cell>
        </row>
        <row r="590">
          <cell r="A590" t="str">
            <v>TM</v>
          </cell>
        </row>
        <row r="591">
          <cell r="A591" t="str">
            <v>TM</v>
          </cell>
        </row>
        <row r="592">
          <cell r="A592" t="str">
            <v>TM</v>
          </cell>
        </row>
        <row r="593">
          <cell r="A593" t="str">
            <v>TM</v>
          </cell>
        </row>
        <row r="594">
          <cell r="A594" t="str">
            <v>TM</v>
          </cell>
        </row>
        <row r="595">
          <cell r="A595" t="str">
            <v>TM</v>
          </cell>
        </row>
        <row r="596">
          <cell r="A596" t="str">
            <v>TR</v>
          </cell>
        </row>
        <row r="597">
          <cell r="A597" t="str">
            <v>TR</v>
          </cell>
        </row>
        <row r="598">
          <cell r="A598" t="str">
            <v>TR</v>
          </cell>
        </row>
        <row r="599">
          <cell r="A599" t="str">
            <v>TR</v>
          </cell>
        </row>
        <row r="600">
          <cell r="A600" t="str">
            <v>TR</v>
          </cell>
        </row>
        <row r="601">
          <cell r="A601" t="str">
            <v>TR</v>
          </cell>
        </row>
        <row r="602">
          <cell r="A602" t="str">
            <v>TR</v>
          </cell>
        </row>
        <row r="603">
          <cell r="A603" t="str">
            <v>WE</v>
          </cell>
        </row>
        <row r="604">
          <cell r="A604" t="str">
            <v>WE</v>
          </cell>
        </row>
        <row r="605">
          <cell r="A605" t="str">
            <v>WE</v>
          </cell>
        </row>
        <row r="606">
          <cell r="A606" t="str">
            <v>WE</v>
          </cell>
        </row>
        <row r="607">
          <cell r="A607" t="str">
            <v>WI</v>
          </cell>
        </row>
        <row r="608">
          <cell r="A608" t="str">
            <v>WI</v>
          </cell>
        </row>
        <row r="609">
          <cell r="A609" t="str">
            <v>WI</v>
          </cell>
        </row>
        <row r="610">
          <cell r="A610" t="str">
            <v>WI</v>
          </cell>
        </row>
        <row r="611">
          <cell r="A611" t="str">
            <v>WI</v>
          </cell>
        </row>
        <row r="612">
          <cell r="A612" t="str">
            <v>WI</v>
          </cell>
        </row>
        <row r="613">
          <cell r="A613" t="str">
            <v>WI</v>
          </cell>
        </row>
        <row r="614">
          <cell r="A614" t="str">
            <v>WI</v>
          </cell>
        </row>
        <row r="615">
          <cell r="A615" t="str">
            <v>WI</v>
          </cell>
        </row>
        <row r="616">
          <cell r="A616" t="str">
            <v>WI</v>
          </cell>
        </row>
        <row r="617">
          <cell r="A617" t="str">
            <v>WI</v>
          </cell>
        </row>
        <row r="618">
          <cell r="A618" t="str">
            <v>WI</v>
          </cell>
        </row>
        <row r="619">
          <cell r="A619" t="str">
            <v>WI</v>
          </cell>
        </row>
        <row r="620">
          <cell r="A620" t="str">
            <v>WI</v>
          </cell>
        </row>
        <row r="621">
          <cell r="A621" t="str">
            <v>WI</v>
          </cell>
        </row>
        <row r="622">
          <cell r="A622" t="str">
            <v>WI</v>
          </cell>
        </row>
        <row r="623">
          <cell r="A623" t="str">
            <v>WI</v>
          </cell>
        </row>
        <row r="624">
          <cell r="A624" t="str">
            <v>WI</v>
          </cell>
        </row>
        <row r="625">
          <cell r="A625" t="str">
            <v>WI</v>
          </cell>
        </row>
        <row r="626">
          <cell r="A626" t="str">
            <v>WI</v>
          </cell>
        </row>
        <row r="627">
          <cell r="A627" t="str">
            <v>WI</v>
          </cell>
        </row>
        <row r="628">
          <cell r="A628" t="str">
            <v>WI</v>
          </cell>
        </row>
        <row r="629">
          <cell r="A629" t="str">
            <v>WI</v>
          </cell>
        </row>
        <row r="630">
          <cell r="A630" t="str">
            <v>WI</v>
          </cell>
        </row>
        <row r="631">
          <cell r="A631" t="str">
            <v>WI</v>
          </cell>
        </row>
        <row r="632">
          <cell r="A632" t="str">
            <v>WI</v>
          </cell>
        </row>
        <row r="633">
          <cell r="A633" t="str">
            <v>WI</v>
          </cell>
        </row>
        <row r="634">
          <cell r="A634" t="str">
            <v>WI</v>
          </cell>
        </row>
        <row r="635">
          <cell r="A635" t="str">
            <v>WI</v>
          </cell>
        </row>
        <row r="636">
          <cell r="A636" t="str">
            <v>WI</v>
          </cell>
        </row>
        <row r="637">
          <cell r="A637" t="str">
            <v>WI</v>
          </cell>
        </row>
        <row r="638">
          <cell r="A638" t="str">
            <v>WI</v>
          </cell>
        </row>
        <row r="639">
          <cell r="A639" t="str">
            <v>WI</v>
          </cell>
        </row>
        <row r="640">
          <cell r="A640" t="str">
            <v>WI</v>
          </cell>
        </row>
        <row r="641">
          <cell r="A641" t="str">
            <v>WI</v>
          </cell>
        </row>
        <row r="642">
          <cell r="A642" t="str">
            <v>WI</v>
          </cell>
        </row>
        <row r="643">
          <cell r="A643" t="str">
            <v>WI</v>
          </cell>
        </row>
        <row r="644">
          <cell r="A644" t="str">
            <v>WI</v>
          </cell>
        </row>
        <row r="645">
          <cell r="A645" t="str">
            <v>WI</v>
          </cell>
        </row>
        <row r="646">
          <cell r="A646" t="str">
            <v>WI</v>
          </cell>
        </row>
        <row r="647">
          <cell r="A647" t="str">
            <v>WI</v>
          </cell>
        </row>
        <row r="648">
          <cell r="A648" t="str">
            <v>WI</v>
          </cell>
        </row>
        <row r="649">
          <cell r="A649" t="str">
            <v>WI</v>
          </cell>
        </row>
        <row r="650">
          <cell r="A650" t="str">
            <v>WI</v>
          </cell>
        </row>
        <row r="651">
          <cell r="A651" t="str">
            <v>WI</v>
          </cell>
        </row>
        <row r="652">
          <cell r="A652" t="str">
            <v>WI</v>
          </cell>
        </row>
        <row r="653">
          <cell r="A653" t="str">
            <v>WI</v>
          </cell>
        </row>
        <row r="654">
          <cell r="A654" t="str">
            <v>WI</v>
          </cell>
        </row>
        <row r="655">
          <cell r="A655" t="str">
            <v>WI</v>
          </cell>
        </row>
        <row r="656">
          <cell r="A656" t="str">
            <v>WI</v>
          </cell>
        </row>
        <row r="657">
          <cell r="A657" t="str">
            <v>WI</v>
          </cell>
        </row>
        <row r="658">
          <cell r="A658" t="str">
            <v>WI</v>
          </cell>
        </row>
        <row r="659">
          <cell r="A659" t="str">
            <v>WI</v>
          </cell>
        </row>
        <row r="660">
          <cell r="A660" t="str">
            <v>WI</v>
          </cell>
        </row>
        <row r="661">
          <cell r="A661" t="str">
            <v>WI</v>
          </cell>
        </row>
        <row r="662">
          <cell r="A662" t="str">
            <v>WI</v>
          </cell>
        </row>
        <row r="663">
          <cell r="A663" t="str">
            <v>WI</v>
          </cell>
        </row>
        <row r="664">
          <cell r="A664" t="str">
            <v>WI</v>
          </cell>
        </row>
        <row r="665">
          <cell r="A665" t="str">
            <v>WI</v>
          </cell>
        </row>
        <row r="666">
          <cell r="A666" t="str">
            <v>WI</v>
          </cell>
        </row>
        <row r="667">
          <cell r="A667" t="str">
            <v>WI</v>
          </cell>
        </row>
        <row r="668">
          <cell r="A668" t="str">
            <v>WI</v>
          </cell>
        </row>
        <row r="669">
          <cell r="A669" t="str">
            <v>WI</v>
          </cell>
        </row>
        <row r="670">
          <cell r="A670" t="str">
            <v>WI</v>
          </cell>
        </row>
        <row r="671">
          <cell r="A671" t="str">
            <v>WI</v>
          </cell>
        </row>
        <row r="672">
          <cell r="A672" t="str">
            <v>WI</v>
          </cell>
        </row>
        <row r="673">
          <cell r="A673" t="str">
            <v>WI</v>
          </cell>
        </row>
        <row r="674">
          <cell r="A674" t="str">
            <v>WI</v>
          </cell>
        </row>
        <row r="675">
          <cell r="A675" t="str">
            <v>WI</v>
          </cell>
        </row>
        <row r="676">
          <cell r="A676" t="str">
            <v>WI</v>
          </cell>
        </row>
        <row r="677">
          <cell r="A677" t="str">
            <v>WI</v>
          </cell>
        </row>
        <row r="678">
          <cell r="A678" t="str">
            <v>WI</v>
          </cell>
        </row>
        <row r="679">
          <cell r="A679" t="str">
            <v>WI</v>
          </cell>
        </row>
        <row r="680">
          <cell r="A680" t="str">
            <v>WI</v>
          </cell>
        </row>
        <row r="681">
          <cell r="A681" t="str">
            <v>WI</v>
          </cell>
        </row>
        <row r="682">
          <cell r="A682" t="str">
            <v>WI</v>
          </cell>
        </row>
        <row r="683">
          <cell r="A683" t="str">
            <v>FR</v>
          </cell>
        </row>
        <row r="684">
          <cell r="A684" t="str">
            <v>WI</v>
          </cell>
        </row>
        <row r="685">
          <cell r="A685" t="str">
            <v>WI</v>
          </cell>
        </row>
        <row r="686">
          <cell r="A686" t="str">
            <v>WI</v>
          </cell>
        </row>
        <row r="687">
          <cell r="A687" t="str">
            <v>WI</v>
          </cell>
        </row>
        <row r="688">
          <cell r="A688" t="str">
            <v>XW</v>
          </cell>
        </row>
        <row r="689">
          <cell r="A689" t="str">
            <v>XW</v>
          </cell>
        </row>
        <row r="690">
          <cell r="A690" t="str">
            <v>WI</v>
          </cell>
        </row>
        <row r="691">
          <cell r="A691" t="str">
            <v>BR</v>
          </cell>
        </row>
        <row r="692">
          <cell r="A692" t="str">
            <v>BR</v>
          </cell>
        </row>
        <row r="693">
          <cell r="A693" t="str">
            <v>DI</v>
          </cell>
        </row>
        <row r="694">
          <cell r="A694" t="str">
            <v>PE</v>
          </cell>
        </row>
        <row r="695">
          <cell r="A695" t="str">
            <v>WI</v>
          </cell>
        </row>
        <row r="696">
          <cell r="A696" t="str">
            <v>PS</v>
          </cell>
        </row>
      </sheetData>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sheetName val="115A 2nd Semester"/>
      <sheetName val="DATA"/>
      <sheetName val="FB115A_Feb"/>
    </sheetNames>
    <sheetDataSet>
      <sheetData sheetId="0" refreshError="1"/>
      <sheetData sheetId="1" refreshError="1"/>
      <sheetData sheetId="2">
        <row r="1">
          <cell r="B1">
            <v>1</v>
          </cell>
          <cell r="D1" t="str">
            <v>Press arrow for your School Division Name -&gt;</v>
          </cell>
        </row>
        <row r="2">
          <cell r="D2" t="str">
            <v>BEAUTIFUL PLAINS</v>
          </cell>
        </row>
        <row r="3">
          <cell r="D3" t="str">
            <v>BORDER LAND</v>
          </cell>
        </row>
        <row r="4">
          <cell r="D4" t="str">
            <v>BRANDON</v>
          </cell>
        </row>
        <row r="5">
          <cell r="D5" t="str">
            <v>EVERGREEN</v>
          </cell>
        </row>
        <row r="6">
          <cell r="D6" t="str">
            <v>FLIN FLON</v>
          </cell>
        </row>
        <row r="7">
          <cell r="D7" t="str">
            <v>FORT LA BOSSE</v>
          </cell>
        </row>
        <row r="8">
          <cell r="D8" t="str">
            <v>FRONTIER</v>
          </cell>
        </row>
        <row r="9">
          <cell r="D9" t="str">
            <v>GARDEN VALLEY</v>
          </cell>
        </row>
        <row r="10">
          <cell r="D10" t="str">
            <v>HANOVER</v>
          </cell>
        </row>
        <row r="11">
          <cell r="D11" t="str">
            <v>INTERLAKE</v>
          </cell>
        </row>
        <row r="12">
          <cell r="D12" t="str">
            <v>KELSEY</v>
          </cell>
        </row>
        <row r="13">
          <cell r="D13" t="str">
            <v>LAKESHORE</v>
          </cell>
        </row>
        <row r="14">
          <cell r="D14" t="str">
            <v>LORD SELKIRK</v>
          </cell>
        </row>
        <row r="15">
          <cell r="D15" t="str">
            <v>LOUIS RIEL</v>
          </cell>
        </row>
        <row r="16">
          <cell r="D16" t="str">
            <v>MOUNTAIN VIEW</v>
          </cell>
        </row>
        <row r="17">
          <cell r="D17" t="str">
            <v>MYSTERY LAKE</v>
          </cell>
        </row>
        <row r="18">
          <cell r="D18" t="str">
            <v>PARK WEST</v>
          </cell>
        </row>
        <row r="19">
          <cell r="D19" t="str">
            <v>PEMBINA TRAILS</v>
          </cell>
        </row>
        <row r="20">
          <cell r="D20" t="str">
            <v>PINE CREEK</v>
          </cell>
        </row>
        <row r="21">
          <cell r="D21" t="str">
            <v>PINE FALLS</v>
          </cell>
        </row>
        <row r="22">
          <cell r="D22" t="str">
            <v>PORTAGE LA PRAIRIE</v>
          </cell>
        </row>
        <row r="23">
          <cell r="D23" t="str">
            <v>PRAIRIE ROSE</v>
          </cell>
        </row>
        <row r="24">
          <cell r="D24" t="str">
            <v>PRAIRIE SPIRIT</v>
          </cell>
        </row>
        <row r="25">
          <cell r="D25" t="str">
            <v>RED RIVER VALLEY</v>
          </cell>
        </row>
        <row r="26">
          <cell r="D26" t="str">
            <v>RIVER EAST TRANSCONA</v>
          </cell>
        </row>
        <row r="27">
          <cell r="D27" t="str">
            <v>ROLLING RIVER</v>
          </cell>
        </row>
        <row r="28">
          <cell r="D28" t="str">
            <v>SEINE RIVER</v>
          </cell>
        </row>
        <row r="29">
          <cell r="D29" t="str">
            <v>SEVEN OAKS</v>
          </cell>
        </row>
        <row r="30">
          <cell r="D30" t="str">
            <v>SOUTHWEST HORIZON</v>
          </cell>
        </row>
        <row r="31">
          <cell r="D31" t="str">
            <v>ST. JAMES-ASSINIBOIA</v>
          </cell>
        </row>
        <row r="32">
          <cell r="D32" t="str">
            <v>SUNRISE</v>
          </cell>
        </row>
        <row r="33">
          <cell r="D33" t="str">
            <v>SWAN VALLEY</v>
          </cell>
        </row>
        <row r="34">
          <cell r="D34" t="str">
            <v>TURTLE MOUNTAIN</v>
          </cell>
        </row>
        <row r="35">
          <cell r="D35" t="str">
            <v>TURTLE RIVER</v>
          </cell>
        </row>
        <row r="36">
          <cell r="D36" t="str">
            <v>WESTERN</v>
          </cell>
        </row>
        <row r="37">
          <cell r="D37" t="str">
            <v>WHITESHELL</v>
          </cell>
        </row>
        <row r="38">
          <cell r="D38" t="str">
            <v>WINNIPEG</v>
          </cell>
        </row>
        <row r="39">
          <cell r="D39" t="str">
            <v>WINNIPEG TECHNICAL COLLEGE</v>
          </cell>
        </row>
      </sheetData>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ADME"/>
      <sheetName val="- 3 -"/>
      <sheetName val="- 4 -"/>
      <sheetName val="- 6 -"/>
      <sheetName val="- 7 -"/>
      <sheetName val="- 8 -"/>
      <sheetName val="- 9 -"/>
      <sheetName val="- 10 -"/>
      <sheetName val="- 12 -"/>
      <sheetName val="- 13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1 -"/>
      <sheetName val="- 42 -"/>
      <sheetName val="- 43 -"/>
      <sheetName val="- 44 -"/>
      <sheetName val="- 45 -"/>
      <sheetName val="- 46 -"/>
      <sheetName val="- 48 -"/>
      <sheetName val="- 50 - "/>
      <sheetName val="- 51 -"/>
      <sheetName val="- 52 -"/>
      <sheetName val="- 53 -"/>
      <sheetName val="- 54 -"/>
      <sheetName val="- 55 -"/>
      <sheetName val="- 56 -"/>
      <sheetName val="- 57 -"/>
      <sheetName val="- 58 -"/>
      <sheetName val="- 59 -"/>
    </sheetNames>
    <sheetDataSet>
      <sheetData sheetId="0"/>
      <sheetData sheetId="1">
        <row r="3">
          <cell r="A3" t="str">
            <v>OPERATING FUND 2008/2009 BUDGET</v>
          </cell>
        </row>
      </sheetData>
      <sheetData sheetId="2"/>
      <sheetData sheetId="3">
        <row r="3">
          <cell r="B3" t="str">
            <v>ESTIMATE SEPTEMBER 30,2008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B1" t="str">
            <v xml:space="preserve"> ANALYSIS OF OPERATING FUND REVENUE: 2008/2009 BUDGET</v>
          </cell>
        </row>
      </sheetData>
      <sheetData sheetId="37"/>
      <sheetData sheetId="38"/>
      <sheetData sheetId="39"/>
      <sheetData sheetId="40">
        <row r="3">
          <cell r="B3" t="str">
            <v>FOR THE 2008 TAXATION YEAR</v>
          </cell>
        </row>
      </sheetData>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
      <sheetName val="- 1 -"/>
      <sheetName val="- 2 -"/>
      <sheetName val="- 3 -"/>
      <sheetName val="- 4 -"/>
      <sheetName val="- 5 -"/>
      <sheetName val="- 6 -"/>
      <sheetName val="- 7 -"/>
      <sheetName val="- 8 -"/>
      <sheetName val="- 9 -"/>
      <sheetName val="- 10 -"/>
      <sheetName val="- 11 -"/>
      <sheetName val="- 12 -"/>
      <sheetName val="- 13 -"/>
      <sheetName val="- 14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0 -"/>
      <sheetName val="- 41 -"/>
      <sheetName val="- 42 -"/>
      <sheetName val="- 43 -"/>
      <sheetName val="- 44 -"/>
      <sheetName val="- 45 -"/>
      <sheetName val="- 46 -"/>
      <sheetName val="- 47 -"/>
      <sheetName val="- 48 -"/>
      <sheetName val="- 49 -"/>
      <sheetName val="- 50 - "/>
      <sheetName val="- 51 -"/>
      <sheetName val="- 52 -"/>
      <sheetName val="- 53 -"/>
      <sheetName val="- 54 -"/>
      <sheetName val="- 55 -"/>
      <sheetName val="- 56 -"/>
      <sheetName val="- 57 -"/>
      <sheetName val="- 58 -"/>
      <sheetName val="- 59 -"/>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3">
          <cell r="B3" t="str">
            <v>FOR THE 2008 TAXATION YEAR</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du.gov.mb.ca/k12/finance/frame_report/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autoPageBreaks="0"/>
  </sheetPr>
  <dimension ref="A1:C25"/>
  <sheetViews>
    <sheetView showGridLines="0" showRowColHeaders="0" tabSelected="1" workbookViewId="0"/>
  </sheetViews>
  <sheetFormatPr defaultColWidth="0" defaultRowHeight="14.25" customHeight="1" zeroHeight="1"/>
  <cols>
    <col min="1" max="1" width="15.83203125" style="612" customWidth="1"/>
    <col min="2" max="2" width="120.83203125" style="612" customWidth="1"/>
    <col min="3" max="3" width="80.83203125" style="612" customWidth="1"/>
    <col min="4" max="16384" width="9.33203125" style="612" hidden="1"/>
  </cols>
  <sheetData>
    <row r="1" spans="1:3" ht="0.95" customHeight="1">
      <c r="A1" s="611"/>
      <c r="B1" s="611"/>
      <c r="C1" s="611"/>
    </row>
    <row r="2" spans="1:3" ht="24.95" customHeight="1" thickBot="1">
      <c r="A2" s="611"/>
      <c r="B2" s="611"/>
      <c r="C2" s="611"/>
    </row>
    <row r="3" spans="1:3" ht="17.25" thickTop="1" thickBot="1">
      <c r="A3" s="611"/>
      <c r="B3" s="616" t="s">
        <v>630</v>
      </c>
      <c r="C3" s="611"/>
    </row>
    <row r="4" spans="1:3" ht="15.75" thickTop="1">
      <c r="A4" s="611"/>
      <c r="B4" s="614"/>
      <c r="C4" s="611"/>
    </row>
    <row r="5" spans="1:3" ht="15">
      <c r="A5" s="611"/>
      <c r="B5" s="615" t="s">
        <v>628</v>
      </c>
      <c r="C5" s="613"/>
    </row>
    <row r="6" spans="1:3" ht="15">
      <c r="A6" s="611"/>
      <c r="B6" s="614"/>
      <c r="C6" s="611"/>
    </row>
    <row r="7" spans="1:3">
      <c r="A7" s="611"/>
      <c r="B7" s="620" t="s">
        <v>629</v>
      </c>
      <c r="C7" s="611"/>
    </row>
    <row r="8" spans="1:3">
      <c r="A8" s="611"/>
      <c r="B8" s="620"/>
      <c r="C8" s="611"/>
    </row>
    <row r="9" spans="1:3" ht="15">
      <c r="A9" s="611"/>
      <c r="B9" s="614"/>
      <c r="C9" s="611"/>
    </row>
    <row r="10" spans="1:3">
      <c r="A10" s="611"/>
      <c r="B10" s="620" t="s">
        <v>633</v>
      </c>
      <c r="C10" s="611"/>
    </row>
    <row r="11" spans="1:3">
      <c r="A11" s="611"/>
      <c r="B11" s="620"/>
      <c r="C11" s="611"/>
    </row>
    <row r="12" spans="1:3" ht="15">
      <c r="A12" s="611"/>
      <c r="B12" s="614"/>
      <c r="C12" s="611"/>
    </row>
    <row r="13" spans="1:3" ht="14.25" customHeight="1">
      <c r="A13" s="611"/>
      <c r="B13" s="621" t="s">
        <v>631</v>
      </c>
      <c r="C13" s="611"/>
    </row>
    <row r="14" spans="1:3">
      <c r="A14" s="611"/>
      <c r="B14" s="620"/>
      <c r="C14" s="611"/>
    </row>
    <row r="15" spans="1:3">
      <c r="A15" s="611"/>
      <c r="B15" s="620"/>
      <c r="C15" s="611"/>
    </row>
    <row r="16" spans="1:3" ht="15">
      <c r="A16" s="611"/>
      <c r="B16" s="617"/>
      <c r="C16" s="611"/>
    </row>
    <row r="17" spans="1:3">
      <c r="A17" s="611"/>
      <c r="B17" s="620" t="s">
        <v>634</v>
      </c>
      <c r="C17" s="611"/>
    </row>
    <row r="18" spans="1:3">
      <c r="A18" s="611"/>
      <c r="B18" s="620"/>
      <c r="C18" s="611"/>
    </row>
    <row r="19" spans="1:3" ht="15">
      <c r="A19" s="611"/>
      <c r="B19" s="617"/>
      <c r="C19" s="611"/>
    </row>
    <row r="20" spans="1:3" ht="15">
      <c r="A20" s="611"/>
      <c r="B20" s="618" t="s">
        <v>632</v>
      </c>
      <c r="C20" s="611"/>
    </row>
    <row r="21" spans="1:3" ht="15">
      <c r="A21" s="611"/>
      <c r="B21" s="617"/>
      <c r="C21" s="611"/>
    </row>
    <row r="22" spans="1:3" ht="15">
      <c r="A22" s="611"/>
      <c r="B22" s="617"/>
      <c r="C22" s="611"/>
    </row>
    <row r="23" spans="1:3" ht="15">
      <c r="A23" s="611"/>
      <c r="B23" s="617"/>
      <c r="C23" s="611"/>
    </row>
    <row r="24" spans="1:3">
      <c r="A24" s="611"/>
      <c r="B24" s="613"/>
      <c r="C24" s="611"/>
    </row>
    <row r="25" spans="1:3" ht="200.1" customHeight="1">
      <c r="A25" s="611"/>
      <c r="B25" s="613"/>
      <c r="C25" s="611"/>
    </row>
  </sheetData>
  <mergeCells count="4">
    <mergeCell ref="B7:B8"/>
    <mergeCell ref="B17:B18"/>
    <mergeCell ref="B10:B11"/>
    <mergeCell ref="B13:B15"/>
  </mergeCells>
  <hyperlinks>
    <hyperlink ref="B20" r:id="rId1"/>
  </hyperlinks>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sheetPr codeName="Sheet9">
    <pageSetUpPr fitToPage="1"/>
  </sheetPr>
  <dimension ref="A2:N58"/>
  <sheetViews>
    <sheetView showGridLines="0" showZeros="0" workbookViewId="0"/>
  </sheetViews>
  <sheetFormatPr defaultColWidth="14.83203125" defaultRowHeight="12"/>
  <cols>
    <col min="1" max="1" width="48.83203125" style="1" customWidth="1"/>
    <col min="2" max="2" width="21.83203125" style="1" customWidth="1"/>
    <col min="3" max="3" width="7.83203125" style="1" customWidth="1"/>
    <col min="4" max="4" width="16.83203125" style="1" customWidth="1"/>
    <col min="5" max="5" width="7.83203125" style="1" customWidth="1"/>
    <col min="6" max="6" width="16.83203125" style="1" customWidth="1"/>
    <col min="7" max="7" width="7.83203125" style="1" customWidth="1"/>
    <col min="8" max="8" width="12.83203125" style="1" customWidth="1"/>
    <col min="9" max="9" width="7.83203125" style="1" customWidth="1"/>
    <col min="10" max="10" width="16.83203125" style="1" customWidth="1"/>
    <col min="11" max="11" width="8.83203125" style="1" customWidth="1"/>
    <col min="12" max="12" width="5.83203125" style="1" customWidth="1"/>
    <col min="13" max="13" width="45.6640625" style="605" bestFit="1" customWidth="1"/>
    <col min="14" max="14" width="14.83203125" style="605"/>
    <col min="15" max="16384" width="14.83203125" style="1"/>
  </cols>
  <sheetData>
    <row r="2" spans="1:14">
      <c r="A2" s="71"/>
      <c r="B2" s="71"/>
      <c r="C2" s="127" t="s">
        <v>635</v>
      </c>
      <c r="D2" s="127"/>
      <c r="E2" s="127"/>
      <c r="F2" s="128"/>
      <c r="G2" s="128"/>
      <c r="H2" s="128"/>
      <c r="I2" s="128"/>
      <c r="J2" s="129"/>
      <c r="K2" s="130" t="s">
        <v>155</v>
      </c>
    </row>
    <row r="3" spans="1:14" ht="9.9499999999999993" customHeight="1">
      <c r="J3" s="114"/>
      <c r="K3" s="114"/>
    </row>
    <row r="4" spans="1:14" ht="15.75">
      <c r="B4" s="334" t="s">
        <v>446</v>
      </c>
      <c r="C4" s="114"/>
      <c r="D4" s="114"/>
      <c r="E4" s="114"/>
      <c r="F4" s="114"/>
      <c r="G4" s="114"/>
      <c r="H4" s="114"/>
      <c r="I4" s="114"/>
      <c r="J4" s="114"/>
      <c r="K4" s="114"/>
    </row>
    <row r="5" spans="1:14" ht="15.75">
      <c r="B5" s="334" t="s">
        <v>447</v>
      </c>
      <c r="C5" s="114"/>
      <c r="D5" s="114"/>
      <c r="E5" s="114"/>
      <c r="F5" s="114"/>
      <c r="G5" s="114"/>
      <c r="H5" s="114"/>
      <c r="I5" s="114"/>
      <c r="J5" s="114"/>
      <c r="K5" s="114"/>
    </row>
    <row r="6" spans="1:14" ht="9.9499999999999993" customHeight="1"/>
    <row r="7" spans="1:14">
      <c r="B7" s="132" t="s">
        <v>156</v>
      </c>
      <c r="C7" s="128"/>
      <c r="D7" s="128"/>
      <c r="E7" s="128"/>
      <c r="F7" s="128"/>
      <c r="G7" s="128"/>
      <c r="H7" s="128"/>
      <c r="I7" s="133"/>
    </row>
    <row r="8" spans="1:14" ht="6" customHeight="1">
      <c r="B8" s="131"/>
    </row>
    <row r="9" spans="1:14">
      <c r="A9" s="4"/>
      <c r="B9" s="345" t="s">
        <v>423</v>
      </c>
      <c r="C9" s="347"/>
      <c r="D9" s="346" t="s">
        <v>23</v>
      </c>
      <c r="E9" s="347"/>
      <c r="F9" s="346" t="s">
        <v>24</v>
      </c>
      <c r="G9" s="347"/>
      <c r="H9" s="358"/>
      <c r="I9" s="359"/>
      <c r="J9" s="360"/>
      <c r="K9" s="359"/>
    </row>
    <row r="10" spans="1:14">
      <c r="A10" s="4"/>
      <c r="B10" s="348" t="s">
        <v>36</v>
      </c>
      <c r="C10" s="350"/>
      <c r="D10" s="349" t="s">
        <v>51</v>
      </c>
      <c r="E10" s="350"/>
      <c r="F10" s="349" t="s">
        <v>52</v>
      </c>
      <c r="G10" s="350"/>
      <c r="H10" s="349" t="s">
        <v>53</v>
      </c>
      <c r="I10" s="361"/>
      <c r="J10" s="349" t="s">
        <v>54</v>
      </c>
      <c r="K10" s="361"/>
    </row>
    <row r="11" spans="1:14">
      <c r="A11" s="134" t="s">
        <v>145</v>
      </c>
      <c r="B11" s="135" t="s">
        <v>80</v>
      </c>
      <c r="C11" s="135" t="s">
        <v>81</v>
      </c>
      <c r="D11" s="135" t="s">
        <v>80</v>
      </c>
      <c r="E11" s="135" t="s">
        <v>81</v>
      </c>
      <c r="F11" s="135" t="s">
        <v>80</v>
      </c>
      <c r="G11" s="135" t="s">
        <v>81</v>
      </c>
      <c r="H11" s="135" t="s">
        <v>80</v>
      </c>
      <c r="I11" s="136" t="s">
        <v>81</v>
      </c>
      <c r="J11" s="135" t="s">
        <v>80</v>
      </c>
      <c r="K11" s="136" t="s">
        <v>81</v>
      </c>
    </row>
    <row r="12" spans="1:14" ht="5.0999999999999996" customHeight="1"/>
    <row r="13" spans="1:14">
      <c r="A13" s="362" t="s">
        <v>148</v>
      </c>
      <c r="B13" s="138"/>
      <c r="C13" s="339"/>
      <c r="D13" s="138"/>
      <c r="E13" s="339"/>
      <c r="F13" s="138"/>
      <c r="G13" s="339"/>
      <c r="H13" s="138"/>
      <c r="I13" s="339"/>
      <c r="J13" s="138"/>
      <c r="K13" s="339"/>
      <c r="M13" s="605" t="s">
        <v>148</v>
      </c>
      <c r="N13" s="609">
        <f>K22</f>
        <v>76.576708746840865</v>
      </c>
    </row>
    <row r="14" spans="1:14">
      <c r="A14" s="139" t="s">
        <v>288</v>
      </c>
      <c r="B14" s="140"/>
      <c r="C14" s="336"/>
      <c r="D14" s="140"/>
      <c r="E14" s="336"/>
      <c r="F14" s="140"/>
      <c r="G14" s="336"/>
      <c r="H14" s="140"/>
      <c r="I14" s="336"/>
      <c r="J14" s="140">
        <f>SUM(F14,D14,B14,'- 12 -'!J14,'- 12 -'!H14,'- 12 -'!F14,'- 12 -'!D14,'- 12 -'!B14)</f>
        <v>3936091</v>
      </c>
      <c r="K14" s="336">
        <f t="shared" ref="K14:K23" si="0">J14/$J$54*100</f>
        <v>0.19594175574807934</v>
      </c>
      <c r="M14" s="605" t="s">
        <v>170</v>
      </c>
      <c r="N14" s="609">
        <f>K23</f>
        <v>6.2182183447979842</v>
      </c>
    </row>
    <row r="15" spans="1:14">
      <c r="A15" s="139" t="s">
        <v>289</v>
      </c>
      <c r="B15" s="140">
        <v>2438945</v>
      </c>
      <c r="C15" s="336">
        <f>B15/$J$54*100</f>
        <v>0.12141263133220229</v>
      </c>
      <c r="D15" s="140">
        <v>2425038</v>
      </c>
      <c r="E15" s="336">
        <f>D15/$J$54*100</f>
        <v>0.12072032975757188</v>
      </c>
      <c r="F15" s="140">
        <v>4111827</v>
      </c>
      <c r="G15" s="336">
        <f>F15/$J$54*100</f>
        <v>0.20469003427826185</v>
      </c>
      <c r="H15" s="140"/>
      <c r="I15" s="336"/>
      <c r="J15" s="140">
        <f>SUM(F15,D15,B15,'- 12 -'!J15,'- 12 -'!H15,'- 12 -'!F15,'- 12 -'!D15,'- 12 -'!B15)</f>
        <v>118102204</v>
      </c>
      <c r="K15" s="336">
        <f t="shared" si="0"/>
        <v>5.8792221037262209</v>
      </c>
      <c r="M15" s="605" t="s">
        <v>135</v>
      </c>
      <c r="N15" s="609">
        <f>K40</f>
        <v>9.106401400584776</v>
      </c>
    </row>
    <row r="16" spans="1:14">
      <c r="A16" s="139" t="s">
        <v>290</v>
      </c>
      <c r="B16" s="140">
        <v>24103958</v>
      </c>
      <c r="C16" s="336">
        <f>B16/$J$54*100</f>
        <v>1.199914293393614</v>
      </c>
      <c r="D16" s="140"/>
      <c r="E16" s="336">
        <f>D16/$J$54*100</f>
        <v>0</v>
      </c>
      <c r="F16" s="140"/>
      <c r="G16" s="336">
        <f>F16/$J$54*100</f>
        <v>0</v>
      </c>
      <c r="H16" s="140"/>
      <c r="I16" s="336"/>
      <c r="J16" s="140">
        <f>SUM(F16,D16,B16,'- 12 -'!J16,'- 12 -'!H16,'- 12 -'!F16,'- 12 -'!D16,'- 12 -'!B16)</f>
        <v>976811386</v>
      </c>
      <c r="K16" s="336">
        <f t="shared" si="0"/>
        <v>48.626451473696839</v>
      </c>
      <c r="M16" s="605" t="s">
        <v>171</v>
      </c>
      <c r="N16" s="609">
        <f>K46</f>
        <v>6.3509473963108771</v>
      </c>
    </row>
    <row r="17" spans="1:14">
      <c r="A17" s="139" t="s">
        <v>291</v>
      </c>
      <c r="B17" s="140">
        <v>11688037</v>
      </c>
      <c r="C17" s="336">
        <f>B17/$J$54*100</f>
        <v>0.58183982307027826</v>
      </c>
      <c r="D17" s="140">
        <v>326686</v>
      </c>
      <c r="E17" s="336">
        <f>D17/$J$54*100</f>
        <v>1.6262690171115722E-2</v>
      </c>
      <c r="F17" s="140"/>
      <c r="G17" s="336">
        <f>F17/$J$54*100</f>
        <v>0</v>
      </c>
      <c r="H17" s="140"/>
      <c r="I17" s="336"/>
      <c r="J17" s="140">
        <f>SUM(F17,D17,B17,'- 12 -'!J17,'- 12 -'!H17,'- 12 -'!F17,'- 12 -'!D17,'- 12 -'!B17)</f>
        <v>188281272</v>
      </c>
      <c r="K17" s="336">
        <f t="shared" si="0"/>
        <v>9.372792196664582</v>
      </c>
      <c r="M17" s="605" t="s">
        <v>66</v>
      </c>
      <c r="N17" s="609">
        <f>K49</f>
        <v>0.12211230046511594</v>
      </c>
    </row>
    <row r="18" spans="1:14">
      <c r="A18" s="139" t="s">
        <v>292</v>
      </c>
      <c r="B18" s="140">
        <v>4417306</v>
      </c>
      <c r="C18" s="336">
        <f>B18/$J$54*100</f>
        <v>0.21989702304050529</v>
      </c>
      <c r="D18" s="140">
        <v>33618212</v>
      </c>
      <c r="E18" s="336">
        <f>D18/$J$54*100</f>
        <v>1.6735414614121349</v>
      </c>
      <c r="F18" s="140">
        <v>98214934</v>
      </c>
      <c r="G18" s="336">
        <f>F18/$J$54*100</f>
        <v>4.8892179089969554</v>
      </c>
      <c r="H18" s="140"/>
      <c r="I18" s="336"/>
      <c r="J18" s="140">
        <f>SUM(F18,D18,B18,'- 12 -'!J18,'- 12 -'!H18,'- 12 -'!F18,'- 12 -'!D18,'- 12 -'!B18)</f>
        <v>148505310</v>
      </c>
      <c r="K18" s="336">
        <f t="shared" si="0"/>
        <v>7.3927130189095749</v>
      </c>
      <c r="M18" s="605" t="s">
        <v>92</v>
      </c>
      <c r="N18" s="609">
        <f>K52-N17</f>
        <v>1.6256118110003857</v>
      </c>
    </row>
    <row r="19" spans="1:14">
      <c r="A19" s="141" t="s">
        <v>293</v>
      </c>
      <c r="B19" s="142">
        <v>2875767</v>
      </c>
      <c r="C19" s="337">
        <f>B19/$J$54*100</f>
        <v>0.14315797960524462</v>
      </c>
      <c r="D19" s="142">
        <v>1202086</v>
      </c>
      <c r="E19" s="337">
        <f>D19/$J$54*100</f>
        <v>5.9840801800615316E-2</v>
      </c>
      <c r="F19" s="142">
        <v>1602845</v>
      </c>
      <c r="G19" s="337">
        <f>F19/$J$54*100</f>
        <v>7.9790905111703531E-2</v>
      </c>
      <c r="H19" s="142"/>
      <c r="I19" s="337"/>
      <c r="J19" s="142">
        <f>SUM(F19,D19,B19,'- 12 -'!J19,'- 12 -'!H19,'- 12 -'!F19,'- 12 -'!D19,'- 12 -'!B19)</f>
        <v>60389305</v>
      </c>
      <c r="K19" s="337">
        <f t="shared" si="0"/>
        <v>3.0062278667099589</v>
      </c>
      <c r="N19" s="609"/>
    </row>
    <row r="20" spans="1:14">
      <c r="A20" s="141" t="s">
        <v>294</v>
      </c>
      <c r="B20" s="143"/>
      <c r="C20" s="337"/>
      <c r="D20" s="143"/>
      <c r="E20" s="337"/>
      <c r="F20" s="143"/>
      <c r="G20" s="337"/>
      <c r="H20" s="143"/>
      <c r="I20" s="337"/>
      <c r="J20" s="143">
        <f>SUM(F20,D20,B20,'- 12 -'!J20,'- 12 -'!H20,'- 12 -'!F20,'- 12 -'!D20,'- 12 -'!B20)</f>
        <v>29436738</v>
      </c>
      <c r="K20" s="337">
        <f t="shared" si="0"/>
        <v>1.4653843438112091</v>
      </c>
      <c r="N20" s="609">
        <f>SUM(N13:N18)</f>
        <v>100</v>
      </c>
    </row>
    <row r="21" spans="1:14">
      <c r="A21" s="144" t="s">
        <v>295</v>
      </c>
      <c r="B21" s="145">
        <v>415837</v>
      </c>
      <c r="C21" s="338">
        <f>B21/'- 13 -'!$J$54*100</f>
        <v>2.0700698201594953E-2</v>
      </c>
      <c r="D21" s="145">
        <v>0</v>
      </c>
      <c r="E21" s="338">
        <f>D21/'- 13 -'!$J$54*100</f>
        <v>0</v>
      </c>
      <c r="F21" s="145">
        <v>0</v>
      </c>
      <c r="G21" s="338">
        <f>F21/'- 13 -'!$J$54*100</f>
        <v>0</v>
      </c>
      <c r="H21" s="145"/>
      <c r="I21" s="338"/>
      <c r="J21" s="145">
        <f>SUM(F21,D21,B21,'- 12 -'!J21,'- 12 -'!H21,'- 12 -'!F21,'- 12 -'!D21,'- 12 -'!B21)</f>
        <v>12815704</v>
      </c>
      <c r="K21" s="338">
        <f t="shared" si="0"/>
        <v>0.63797598757439389</v>
      </c>
      <c r="N21" s="609"/>
    </row>
    <row r="22" spans="1:14">
      <c r="A22" s="146" t="s">
        <v>296</v>
      </c>
      <c r="B22" s="152">
        <f>SUM(B14:B21)</f>
        <v>45939850</v>
      </c>
      <c r="C22" s="340">
        <f>B22/$J$54*100</f>
        <v>2.2869224486434394</v>
      </c>
      <c r="D22" s="152">
        <f>SUM(D14:D21)</f>
        <v>37572022</v>
      </c>
      <c r="E22" s="340">
        <f>D22/$J$54*100</f>
        <v>1.8703652831414377</v>
      </c>
      <c r="F22" s="152">
        <f>SUM(F14:F21)</f>
        <v>103929606</v>
      </c>
      <c r="G22" s="340">
        <f>F22/$J$54*100</f>
        <v>5.1736988483869206</v>
      </c>
      <c r="H22" s="152"/>
      <c r="I22" s="340"/>
      <c r="J22" s="152">
        <f>SUM(F22,D22,B22,'- 12 -'!J22,'- 12 -'!H22,'- 12 -'!F22,'- 12 -'!D22,'- 12 -'!B22)</f>
        <v>1538278010</v>
      </c>
      <c r="K22" s="340">
        <f t="shared" si="0"/>
        <v>76.576708746840865</v>
      </c>
      <c r="N22" s="609"/>
    </row>
    <row r="23" spans="1:14">
      <c r="A23" s="362" t="s">
        <v>158</v>
      </c>
      <c r="B23" s="152">
        <v>4212430</v>
      </c>
      <c r="C23" s="340">
        <f>B23/$J$54*100</f>
        <v>0.20969813202130794</v>
      </c>
      <c r="D23" s="152">
        <v>5483691</v>
      </c>
      <c r="E23" s="340">
        <f>D23/$J$54*100</f>
        <v>0.27298252060735922</v>
      </c>
      <c r="F23" s="152">
        <v>16502094</v>
      </c>
      <c r="G23" s="340">
        <f>F23/$J$54*100</f>
        <v>0.82148742797863317</v>
      </c>
      <c r="H23" s="152"/>
      <c r="I23" s="340"/>
      <c r="J23" s="152">
        <f>SUM(F23,D23,B23,'- 12 -'!J23,'- 12 -'!H23,'- 12 -'!F23,'- 12 -'!D23,'- 12 -'!B23)</f>
        <v>124911983</v>
      </c>
      <c r="K23" s="340">
        <f t="shared" si="0"/>
        <v>6.2182183447979842</v>
      </c>
      <c r="N23" s="610"/>
    </row>
    <row r="24" spans="1:14">
      <c r="A24" s="362" t="s">
        <v>135</v>
      </c>
      <c r="B24" s="140"/>
      <c r="C24" s="336"/>
      <c r="D24" s="140"/>
      <c r="E24" s="336"/>
      <c r="F24" s="140"/>
      <c r="G24" s="336"/>
      <c r="H24" s="140"/>
      <c r="I24" s="336"/>
      <c r="J24" s="140"/>
      <c r="K24" s="336"/>
      <c r="M24" s="605" t="s">
        <v>49</v>
      </c>
      <c r="N24" s="609">
        <f>'- 12 -'!C51</f>
        <v>55.139243167774474</v>
      </c>
    </row>
    <row r="25" spans="1:14">
      <c r="A25" s="141" t="s">
        <v>297</v>
      </c>
      <c r="B25" s="142">
        <v>1701275</v>
      </c>
      <c r="C25" s="337">
        <f t="shared" ref="C25:C35" si="1">B25/$J$54*100</f>
        <v>8.4690829178063642E-2</v>
      </c>
      <c r="D25" s="142">
        <v>341524</v>
      </c>
      <c r="E25" s="337">
        <f t="shared" ref="E25:E35" si="2">D25/$J$54*100</f>
        <v>1.7001337669811763E-2</v>
      </c>
      <c r="F25" s="142">
        <v>5117114</v>
      </c>
      <c r="G25" s="337">
        <f t="shared" ref="G25:G35" si="3">F25/$J$54*100</f>
        <v>0.25473402457490879</v>
      </c>
      <c r="H25" s="142"/>
      <c r="I25" s="337"/>
      <c r="J25" s="142">
        <f>SUM(F25,D25,B25,'- 12 -'!J25,'- 12 -'!H25,'- 12 -'!F25,'- 12 -'!D25,'- 12 -'!B25)</f>
        <v>23055770</v>
      </c>
      <c r="K25" s="337">
        <f t="shared" ref="K25:K40" si="4">J25/$J$54*100</f>
        <v>1.1477346570300067</v>
      </c>
      <c r="L25" s="639" t="s">
        <v>209</v>
      </c>
      <c r="M25" s="605" t="s">
        <v>402</v>
      </c>
      <c r="N25" s="609">
        <f>'- 12 -'!E51</f>
        <v>18.891860094608209</v>
      </c>
    </row>
    <row r="26" spans="1:14">
      <c r="A26" s="141" t="s">
        <v>298</v>
      </c>
      <c r="B26" s="142">
        <v>179944</v>
      </c>
      <c r="C26" s="337">
        <f t="shared" si="1"/>
        <v>8.9577561332632779E-3</v>
      </c>
      <c r="D26" s="142">
        <v>287761</v>
      </c>
      <c r="E26" s="337">
        <f t="shared" si="2"/>
        <v>1.4324972561819091E-2</v>
      </c>
      <c r="F26" s="142">
        <v>815943</v>
      </c>
      <c r="G26" s="337">
        <f t="shared" si="3"/>
        <v>4.0618294650798248E-2</v>
      </c>
      <c r="H26" s="142"/>
      <c r="I26" s="337"/>
      <c r="J26" s="142">
        <f>SUM(F26,D26,B26,'- 12 -'!J26,'- 12 -'!H26,'- 12 -'!F26,'- 12 -'!D26,'- 12 -'!B26)</f>
        <v>7050547</v>
      </c>
      <c r="K26" s="337">
        <f t="shared" si="4"/>
        <v>0.35098186453625024</v>
      </c>
      <c r="L26" s="640"/>
      <c r="M26" s="605" t="s">
        <v>206</v>
      </c>
      <c r="N26" s="609">
        <f>'- 12 -'!G51</f>
        <v>0.35645605990231094</v>
      </c>
    </row>
    <row r="27" spans="1:14">
      <c r="A27" s="141" t="s">
        <v>299</v>
      </c>
      <c r="B27" s="142"/>
      <c r="C27" s="337">
        <f t="shared" si="1"/>
        <v>0</v>
      </c>
      <c r="D27" s="142"/>
      <c r="E27" s="337">
        <f t="shared" si="2"/>
        <v>0</v>
      </c>
      <c r="F27" s="142">
        <v>44522048</v>
      </c>
      <c r="G27" s="337">
        <f t="shared" si="3"/>
        <v>2.2163431319601767</v>
      </c>
      <c r="H27" s="142"/>
      <c r="I27" s="337"/>
      <c r="J27" s="142">
        <f>SUM(F27,D27,B27,'- 12 -'!J27,'- 12 -'!H27,'- 12 -'!F27,'- 12 -'!D27,'- 12 -'!B27)</f>
        <v>44565880</v>
      </c>
      <c r="K27" s="337">
        <f t="shared" si="4"/>
        <v>2.2185251239512032</v>
      </c>
      <c r="L27" s="640"/>
      <c r="M27" s="605" t="s">
        <v>50</v>
      </c>
      <c r="N27" s="609">
        <f>'- 12 -'!I51</f>
        <v>0.91679266850691021</v>
      </c>
    </row>
    <row r="28" spans="1:14" ht="12.75" customHeight="1">
      <c r="A28" s="141" t="s">
        <v>378</v>
      </c>
      <c r="B28" s="142">
        <v>906990</v>
      </c>
      <c r="C28" s="337">
        <f t="shared" si="1"/>
        <v>4.5150687076581944E-2</v>
      </c>
      <c r="D28" s="142">
        <v>1034441</v>
      </c>
      <c r="E28" s="337">
        <f t="shared" si="2"/>
        <v>5.1495299716850795E-2</v>
      </c>
      <c r="F28" s="142">
        <v>800822</v>
      </c>
      <c r="G28" s="337">
        <f t="shared" si="3"/>
        <v>3.986555918592543E-2</v>
      </c>
      <c r="H28" s="142"/>
      <c r="I28" s="337"/>
      <c r="J28" s="142">
        <f>SUM(F28,D28,B28,'- 12 -'!J28,'- 12 -'!H28,'- 12 -'!F28,'- 12 -'!D28,'- 12 -'!B28)</f>
        <v>10181847</v>
      </c>
      <c r="K28" s="337">
        <f t="shared" si="4"/>
        <v>0.50686048110633486</v>
      </c>
      <c r="L28" s="640"/>
      <c r="M28" s="605" t="s">
        <v>176</v>
      </c>
      <c r="N28" s="609">
        <f>'- 12 -'!K51</f>
        <v>3.47817562968629</v>
      </c>
    </row>
    <row r="29" spans="1:14" ht="12.75" customHeight="1">
      <c r="A29" s="141" t="s">
        <v>300</v>
      </c>
      <c r="B29" s="142"/>
      <c r="C29" s="337">
        <f t="shared" si="1"/>
        <v>0</v>
      </c>
      <c r="D29" s="142">
        <v>20692966</v>
      </c>
      <c r="E29" s="337">
        <f t="shared" si="2"/>
        <v>1.0301123855305456</v>
      </c>
      <c r="F29" s="142"/>
      <c r="G29" s="337">
        <f t="shared" si="3"/>
        <v>0</v>
      </c>
      <c r="H29" s="142"/>
      <c r="I29" s="337"/>
      <c r="J29" s="142">
        <f>SUM(F29,D29,B29,'- 12 -'!J29,'- 12 -'!H29,'- 12 -'!F29,'- 12 -'!D29,'- 12 -'!B29)</f>
        <v>20692966</v>
      </c>
      <c r="K29" s="337">
        <f t="shared" si="4"/>
        <v>1.0301123855305456</v>
      </c>
      <c r="L29" s="640"/>
      <c r="M29" s="605" t="s">
        <v>173</v>
      </c>
      <c r="N29" s="609">
        <f>C54</f>
        <v>3.5752394267275021</v>
      </c>
    </row>
    <row r="30" spans="1:14" ht="12.75" customHeight="1">
      <c r="A30" s="141" t="s">
        <v>301</v>
      </c>
      <c r="B30" s="142"/>
      <c r="C30" s="337">
        <f t="shared" si="1"/>
        <v>0</v>
      </c>
      <c r="D30" s="142"/>
      <c r="E30" s="337">
        <f t="shared" si="2"/>
        <v>0</v>
      </c>
      <c r="F30" s="142"/>
      <c r="G30" s="337">
        <f t="shared" si="3"/>
        <v>0</v>
      </c>
      <c r="H30" s="142"/>
      <c r="I30" s="337"/>
      <c r="J30" s="142">
        <f>SUM(F30,D30,B30,'- 12 -'!J30,'- 12 -'!H30,'- 12 -'!F30,'- 12 -'!D30,'- 12 -'!B30)</f>
        <v>696890</v>
      </c>
      <c r="K30" s="337">
        <f t="shared" si="4"/>
        <v>3.4691741162305195E-2</v>
      </c>
      <c r="M30" s="605" t="s">
        <v>153</v>
      </c>
      <c r="N30" s="609">
        <f>E54</f>
        <v>4.2822400766257918</v>
      </c>
    </row>
    <row r="31" spans="1:14" ht="12.75" customHeight="1">
      <c r="A31" s="141" t="s">
        <v>302</v>
      </c>
      <c r="B31" s="142">
        <v>49730</v>
      </c>
      <c r="C31" s="337">
        <f t="shared" si="1"/>
        <v>2.4755991447738342E-3</v>
      </c>
      <c r="D31" s="142">
        <v>9950</v>
      </c>
      <c r="E31" s="337">
        <f t="shared" si="2"/>
        <v>4.953189521516117E-4</v>
      </c>
      <c r="F31" s="142">
        <v>4600</v>
      </c>
      <c r="G31" s="337">
        <f t="shared" si="3"/>
        <v>2.2899167637159941E-4</v>
      </c>
      <c r="H31" s="142"/>
      <c r="I31" s="337"/>
      <c r="J31" s="142">
        <f>SUM(F31,D31,B31,'- 12 -'!J31,'- 12 -'!H31,'- 12 -'!F31,'- 12 -'!D31,'- 12 -'!B31)</f>
        <v>1095285</v>
      </c>
      <c r="K31" s="337">
        <f t="shared" si="4"/>
        <v>5.4524162664058101E-2</v>
      </c>
      <c r="M31" s="605" t="s">
        <v>172</v>
      </c>
      <c r="N31" s="609">
        <f>G54</f>
        <v>11.612268764703009</v>
      </c>
    </row>
    <row r="32" spans="1:14" ht="12.75" customHeight="1">
      <c r="A32" s="141" t="s">
        <v>303</v>
      </c>
      <c r="B32" s="142">
        <v>76302</v>
      </c>
      <c r="C32" s="337">
        <f t="shared" si="1"/>
        <v>3.7983745414142994E-3</v>
      </c>
      <c r="D32" s="142">
        <v>1018891</v>
      </c>
      <c r="E32" s="337">
        <f t="shared" si="2"/>
        <v>5.0721208289116373E-2</v>
      </c>
      <c r="F32" s="142">
        <v>6588073</v>
      </c>
      <c r="G32" s="337">
        <f t="shared" si="3"/>
        <v>0.32795953920184173</v>
      </c>
      <c r="H32" s="142"/>
      <c r="I32" s="337"/>
      <c r="J32" s="142">
        <f>SUM(F32,D32,B32,'- 12 -'!J32,'- 12 -'!H32,'- 12 -'!F32,'- 12 -'!D32,'- 12 -'!B32)</f>
        <v>9082378</v>
      </c>
      <c r="K32" s="337">
        <f t="shared" si="4"/>
        <v>0.45212803557837705</v>
      </c>
      <c r="M32" s="605" t="s">
        <v>53</v>
      </c>
      <c r="N32" s="609">
        <f>I54</f>
        <v>1.7477241114655016</v>
      </c>
    </row>
    <row r="33" spans="1:14">
      <c r="A33" s="141" t="s">
        <v>304</v>
      </c>
      <c r="B33" s="142">
        <v>168446</v>
      </c>
      <c r="C33" s="337">
        <f t="shared" si="1"/>
        <v>8.3853765039327028E-3</v>
      </c>
      <c r="D33" s="142">
        <v>1609600</v>
      </c>
      <c r="E33" s="337">
        <f t="shared" si="2"/>
        <v>8.0127174410375313E-2</v>
      </c>
      <c r="F33" s="142">
        <v>23403048</v>
      </c>
      <c r="G33" s="337">
        <f t="shared" si="3"/>
        <v>1.1650224334184798</v>
      </c>
      <c r="H33" s="142"/>
      <c r="I33" s="337"/>
      <c r="J33" s="142">
        <f>SUM(F33,D33,B33,'- 12 -'!J33,'- 12 -'!H33,'- 12 -'!F33,'- 12 -'!D33,'- 12 -'!B33)</f>
        <v>28292337</v>
      </c>
      <c r="K33" s="337">
        <f t="shared" si="4"/>
        <v>1.408415147413093</v>
      </c>
      <c r="N33" s="609"/>
    </row>
    <row r="34" spans="1:14">
      <c r="A34" s="141" t="s">
        <v>305</v>
      </c>
      <c r="B34" s="142">
        <v>225708</v>
      </c>
      <c r="C34" s="337">
        <f t="shared" si="1"/>
        <v>1.1235924628365427E-2</v>
      </c>
      <c r="D34" s="142">
        <v>811278</v>
      </c>
      <c r="E34" s="337">
        <f t="shared" si="2"/>
        <v>4.0386067222477916E-2</v>
      </c>
      <c r="F34" s="142">
        <v>2750489</v>
      </c>
      <c r="G34" s="337">
        <f t="shared" si="3"/>
        <v>0.13692154064166176</v>
      </c>
      <c r="H34" s="142"/>
      <c r="I34" s="337"/>
      <c r="J34" s="142">
        <f>SUM(F34,D34,B34,'- 12 -'!J34,'- 12 -'!H34,'- 12 -'!F34,'- 12 -'!D34,'- 12 -'!B34)</f>
        <v>7138117</v>
      </c>
      <c r="K34" s="337">
        <f t="shared" si="4"/>
        <v>0.35534116912317654</v>
      </c>
      <c r="N34" s="609">
        <f>SUM(N24:N32)</f>
        <v>100.00000000000001</v>
      </c>
    </row>
    <row r="35" spans="1:14">
      <c r="A35" s="506" t="s">
        <v>420</v>
      </c>
      <c r="B35" s="142"/>
      <c r="C35" s="337">
        <f t="shared" si="1"/>
        <v>0</v>
      </c>
      <c r="D35" s="142"/>
      <c r="E35" s="337">
        <f t="shared" si="2"/>
        <v>0</v>
      </c>
      <c r="F35" s="142">
        <v>4952557</v>
      </c>
      <c r="G35" s="337">
        <f t="shared" si="3"/>
        <v>0.24654224559910853</v>
      </c>
      <c r="H35" s="142"/>
      <c r="I35" s="337"/>
      <c r="J35" s="142">
        <f>SUM(F35,D35,B35,'- 12 -'!J35,'- 12 -'!H35,'- 12 -'!F35,'- 12 -'!D35,'- 12 -'!B35)</f>
        <v>4955472</v>
      </c>
      <c r="K35" s="337">
        <f t="shared" si="4"/>
        <v>0.24668735662880925</v>
      </c>
    </row>
    <row r="36" spans="1:14">
      <c r="A36" s="141" t="s">
        <v>306</v>
      </c>
      <c r="B36" s="142">
        <v>10200</v>
      </c>
      <c r="C36" s="337">
        <f>B36/J54</f>
        <v>5.0776415195441609E-6</v>
      </c>
      <c r="D36" s="142">
        <v>45450</v>
      </c>
      <c r="E36" s="337">
        <f>D36/J54</f>
        <v>2.2625373241498246E-5</v>
      </c>
      <c r="F36" s="142">
        <v>62892</v>
      </c>
      <c r="G36" s="337">
        <f>F36/J54</f>
        <v>3.1308140239918764E-5</v>
      </c>
      <c r="H36" s="142"/>
      <c r="I36" s="337"/>
      <c r="J36" s="142">
        <f>SUM(F36,D36,B36,'- 12 -'!J36,'- 12 -'!H36,'- 12 -'!F36,'- 12 -'!D36,'- 12 -'!B36)</f>
        <v>1163276</v>
      </c>
      <c r="K36" s="337">
        <f t="shared" si="4"/>
        <v>5.790880898322797E-2</v>
      </c>
    </row>
    <row r="37" spans="1:14">
      <c r="A37" s="141" t="s">
        <v>307</v>
      </c>
      <c r="B37" s="142">
        <v>161498</v>
      </c>
      <c r="C37" s="337">
        <f>B37/$J$54*100</f>
        <v>8.0394995110131661E-3</v>
      </c>
      <c r="D37" s="142">
        <v>45070</v>
      </c>
      <c r="E37" s="337">
        <f>D37/$J$54*100</f>
        <v>2.2436206204495619E-3</v>
      </c>
      <c r="F37" s="142">
        <v>87934</v>
      </c>
      <c r="G37" s="337">
        <f>F37/$J$54*100</f>
        <v>4.3774247978391788E-3</v>
      </c>
      <c r="H37" s="142"/>
      <c r="I37" s="337"/>
      <c r="J37" s="142">
        <f>SUM(F37,D37,B37,'- 12 -'!J37,'- 12 -'!H37,'- 12 -'!F37,'- 12 -'!D37,'- 12 -'!B37)</f>
        <v>3717115</v>
      </c>
      <c r="K37" s="337">
        <f t="shared" si="4"/>
        <v>0.18504095546000385</v>
      </c>
    </row>
    <row r="38" spans="1:14">
      <c r="A38" s="148" t="s">
        <v>308</v>
      </c>
      <c r="B38" s="142">
        <v>9117669</v>
      </c>
      <c r="C38" s="337">
        <f>B38/'- 13 -'!$J$54*100</f>
        <v>0.45388484976334004</v>
      </c>
      <c r="D38" s="142">
        <v>241677</v>
      </c>
      <c r="E38" s="337">
        <f>D38/'- 13 -'!$J$54*100</f>
        <v>1.2030874210969355E-2</v>
      </c>
      <c r="F38" s="142">
        <v>323782</v>
      </c>
      <c r="G38" s="337">
        <f>F38/'- 13 -'!$J$54*100</f>
        <v>1.6118126730206347E-2</v>
      </c>
      <c r="H38" s="142"/>
      <c r="I38" s="337"/>
      <c r="J38" s="142">
        <f>SUM(F38,D38,B38,'- 12 -'!J38,'- 12 -'!H38,'- 12 -'!F38,'- 12 -'!D38,'- 12 -'!B38)</f>
        <v>11925033</v>
      </c>
      <c r="K38" s="337">
        <f t="shared" si="4"/>
        <v>0.59363767336013984</v>
      </c>
    </row>
    <row r="39" spans="1:14">
      <c r="A39" s="149" t="s">
        <v>309</v>
      </c>
      <c r="B39" s="145">
        <v>743085</v>
      </c>
      <c r="C39" s="338">
        <f>B39/$J$54*100</f>
        <v>3.6991365181867381E-2</v>
      </c>
      <c r="D39" s="145">
        <v>65500</v>
      </c>
      <c r="E39" s="338">
        <f>D39/$J$54*100</f>
        <v>3.2606423483347306E-3</v>
      </c>
      <c r="F39" s="145">
        <v>183363</v>
      </c>
      <c r="G39" s="338">
        <f>F39/$J$54*100</f>
        <v>9.1279566857664311E-3</v>
      </c>
      <c r="H39" s="145"/>
      <c r="I39" s="338"/>
      <c r="J39" s="145">
        <f>SUM(F39,D39,B39,'- 12 -'!J39,'- 12 -'!H39,'- 12 -'!F39,'- 12 -'!D39,'- 12 -'!B39)</f>
        <v>9317083</v>
      </c>
      <c r="K39" s="338">
        <f t="shared" si="4"/>
        <v>0.46381183805724574</v>
      </c>
    </row>
    <row r="40" spans="1:14">
      <c r="A40" s="146" t="s">
        <v>310</v>
      </c>
      <c r="B40" s="152">
        <f>SUM(B25:B39)</f>
        <v>13340847</v>
      </c>
      <c r="C40" s="340">
        <f>B40/$J$54*100</f>
        <v>0.66411802581457013</v>
      </c>
      <c r="D40" s="152">
        <f>SUM(D25:D39)</f>
        <v>26204108</v>
      </c>
      <c r="E40" s="340">
        <f>D40/$J$54*100</f>
        <v>1.3044614388570519</v>
      </c>
      <c r="F40" s="152">
        <f>SUM(F25:F39)</f>
        <v>89612665</v>
      </c>
      <c r="G40" s="340">
        <f>F40/$J$54*100</f>
        <v>4.4609900831470766</v>
      </c>
      <c r="H40" s="152"/>
      <c r="I40" s="340"/>
      <c r="J40" s="152">
        <f>SUM(F40,D40,B40,'- 12 -'!J40,'- 12 -'!H40,'- 12 -'!F40,'- 12 -'!D40,'- 12 -'!B40)</f>
        <v>182929996</v>
      </c>
      <c r="K40" s="340">
        <f t="shared" si="4"/>
        <v>9.106401400584776</v>
      </c>
    </row>
    <row r="41" spans="1:14">
      <c r="A41" s="362" t="s">
        <v>311</v>
      </c>
      <c r="B41" s="150"/>
      <c r="C41" s="341"/>
      <c r="D41" s="150"/>
      <c r="E41" s="341"/>
      <c r="F41" s="150"/>
      <c r="G41" s="341"/>
      <c r="H41" s="150"/>
      <c r="I41" s="341"/>
      <c r="J41" s="150"/>
      <c r="K41" s="341"/>
    </row>
    <row r="42" spans="1:14">
      <c r="A42" s="141" t="s">
        <v>312</v>
      </c>
      <c r="B42" s="142">
        <v>4566734</v>
      </c>
      <c r="C42" s="337">
        <f>B42/$J$54*100</f>
        <v>0.22733566830503904</v>
      </c>
      <c r="D42" s="142">
        <v>16232862</v>
      </c>
      <c r="E42" s="337">
        <f>D42/$J$54*100</f>
        <v>0.80808484384539869</v>
      </c>
      <c r="F42" s="142">
        <v>19601101</v>
      </c>
      <c r="G42" s="337">
        <f>F42/$J$54*100</f>
        <v>0.97575847319978992</v>
      </c>
      <c r="H42" s="142"/>
      <c r="I42" s="337"/>
      <c r="J42" s="142">
        <f>SUM(F42,D42,B42,'- 12 -'!J42,'- 12 -'!H42,'- 12 -'!F42,'- 12 -'!D42,'- 12 -'!B42)</f>
        <v>79141858</v>
      </c>
      <c r="K42" s="337">
        <f>J42/$J$54*100</f>
        <v>3.9397449423006687</v>
      </c>
    </row>
    <row r="43" spans="1:14">
      <c r="A43" s="141" t="s">
        <v>313</v>
      </c>
      <c r="B43" s="142">
        <v>3079633</v>
      </c>
      <c r="C43" s="337">
        <f>B43/$J$54*100</f>
        <v>0.15330659201723865</v>
      </c>
      <c r="D43" s="142">
        <v>30740</v>
      </c>
      <c r="E43" s="337">
        <f>D43/$J$54*100</f>
        <v>1.5302617677528188E-3</v>
      </c>
      <c r="F43" s="142">
        <v>13950</v>
      </c>
      <c r="G43" s="337">
        <f>F43/$J$54*100</f>
        <v>6.9444214899648082E-4</v>
      </c>
      <c r="H43" s="142"/>
      <c r="I43" s="337"/>
      <c r="J43" s="142">
        <f>SUM(F43,D43,B43,'- 12 -'!J43,'- 12 -'!H43,'- 12 -'!F43,'- 12 -'!D43,'- 12 -'!B43)</f>
        <v>15609140</v>
      </c>
      <c r="K43" s="337">
        <f>J43/$J$54*100</f>
        <v>0.77703546419977976</v>
      </c>
    </row>
    <row r="44" spans="1:14">
      <c r="A44" s="141" t="s">
        <v>314</v>
      </c>
      <c r="B44" s="142">
        <v>189585</v>
      </c>
      <c r="C44" s="337">
        <f>B44/$J$54*100</f>
        <v>9.4376928184586248E-3</v>
      </c>
      <c r="D44" s="142">
        <v>421100</v>
      </c>
      <c r="E44" s="337">
        <f>D44/$J$54*100</f>
        <v>2.096269454784359E-2</v>
      </c>
      <c r="F44" s="142">
        <v>3495160</v>
      </c>
      <c r="G44" s="337">
        <f>F44/$J$54*100</f>
        <v>0.17399185817107812</v>
      </c>
      <c r="H44" s="142"/>
      <c r="I44" s="337"/>
      <c r="J44" s="142">
        <f>SUM(F44,D44,B44,'- 12 -'!J44,'- 12 -'!H44,'- 12 -'!F44,'- 12 -'!D44,'- 12 -'!B44)</f>
        <v>13991761</v>
      </c>
      <c r="K44" s="337">
        <f>J44/$J$54*100</f>
        <v>0.69652104495234046</v>
      </c>
    </row>
    <row r="45" spans="1:14">
      <c r="A45" s="149" t="s">
        <v>315</v>
      </c>
      <c r="B45" s="145">
        <v>490568</v>
      </c>
      <c r="C45" s="338">
        <f>B45/$J$54*100</f>
        <v>2.4420867107448428E-2</v>
      </c>
      <c r="D45" s="145">
        <v>77400</v>
      </c>
      <c r="E45" s="338">
        <f>D45/$J$54*100</f>
        <v>3.853033858948216E-3</v>
      </c>
      <c r="F45" s="145">
        <v>113450</v>
      </c>
      <c r="G45" s="338">
        <f>F45/$J$54*100</f>
        <v>5.6476316705125987E-3</v>
      </c>
      <c r="H45" s="145"/>
      <c r="I45" s="338"/>
      <c r="J45" s="145">
        <f>SUM(F45,D45,B45,'- 12 -'!J45,'- 12 -'!H45,'- 12 -'!F45,'- 12 -'!D45,'- 12 -'!B45)</f>
        <v>18835494</v>
      </c>
      <c r="K45" s="338">
        <f>J45/$J$54*100</f>
        <v>0.93764594485808739</v>
      </c>
    </row>
    <row r="46" spans="1:14">
      <c r="A46" s="146" t="s">
        <v>316</v>
      </c>
      <c r="B46" s="152">
        <f>SUM(B42:B45)</f>
        <v>8326520</v>
      </c>
      <c r="C46" s="340">
        <f>B46/$J$54*100</f>
        <v>0.41450082024818474</v>
      </c>
      <c r="D46" s="152">
        <f>SUM(D42:D45)</f>
        <v>16762102</v>
      </c>
      <c r="E46" s="340">
        <f>D46/$J$54*100</f>
        <v>0.83443083401994333</v>
      </c>
      <c r="F46" s="152">
        <f>SUM(F42:F45)</f>
        <v>23223661</v>
      </c>
      <c r="G46" s="340">
        <f>F46/$J$54*100</f>
        <v>1.1560924051903771</v>
      </c>
      <c r="H46" s="152"/>
      <c r="I46" s="340"/>
      <c r="J46" s="152">
        <f>SUM(F46,D46,B46,'- 12 -'!J46,'- 12 -'!H46,'- 12 -'!F46,'- 12 -'!D46,'- 12 -'!B46)</f>
        <v>127578253</v>
      </c>
      <c r="K46" s="340">
        <f>J46/$J$54*100</f>
        <v>6.3509473963108771</v>
      </c>
    </row>
    <row r="47" spans="1:14">
      <c r="A47" s="362" t="s">
        <v>92</v>
      </c>
      <c r="B47" s="150"/>
      <c r="C47" s="341"/>
      <c r="D47" s="150"/>
      <c r="E47" s="341"/>
      <c r="F47" s="150"/>
      <c r="G47" s="341"/>
      <c r="H47" s="150"/>
      <c r="I47" s="341"/>
      <c r="J47" s="150"/>
      <c r="K47" s="341"/>
    </row>
    <row r="48" spans="1:14" hidden="1">
      <c r="A48" s="289" t="s">
        <v>502</v>
      </c>
      <c r="B48" s="496"/>
      <c r="C48" s="497"/>
      <c r="D48" s="496"/>
      <c r="E48" s="497"/>
      <c r="F48" s="142">
        <v>0</v>
      </c>
      <c r="G48" s="497"/>
      <c r="H48" s="496"/>
      <c r="I48" s="497"/>
      <c r="J48" s="496">
        <f>'- 12 -'!F48+'- 12 -'!J48+'- 13 -'!F48</f>
        <v>0</v>
      </c>
      <c r="K48" s="497"/>
    </row>
    <row r="49" spans="1:11">
      <c r="A49" s="141" t="s">
        <v>317</v>
      </c>
      <c r="B49" s="147"/>
      <c r="C49" s="337"/>
      <c r="D49" s="147"/>
      <c r="E49" s="337"/>
      <c r="F49" s="147"/>
      <c r="G49" s="337"/>
      <c r="H49" s="142">
        <f>'- 10 -'!G24</f>
        <v>2453000</v>
      </c>
      <c r="I49" s="337">
        <f>H49/$J$54*100</f>
        <v>0.12211230046511594</v>
      </c>
      <c r="J49" s="142">
        <f>H49</f>
        <v>2453000</v>
      </c>
      <c r="K49" s="337">
        <f>J49/$J$54*100</f>
        <v>0.12211230046511594</v>
      </c>
    </row>
    <row r="50" spans="1:11">
      <c r="A50" s="141" t="s">
        <v>435</v>
      </c>
      <c r="B50" s="147"/>
      <c r="C50" s="337"/>
      <c r="D50" s="147"/>
      <c r="E50" s="337"/>
      <c r="F50" s="147"/>
      <c r="G50" s="337"/>
      <c r="H50" s="142">
        <f>'- 10 -'!H24</f>
        <v>10000</v>
      </c>
      <c r="I50" s="337"/>
      <c r="J50" s="142">
        <f>H50</f>
        <v>10000</v>
      </c>
      <c r="K50" s="337"/>
    </row>
    <row r="51" spans="1:11">
      <c r="A51" s="141" t="s">
        <v>318</v>
      </c>
      <c r="B51" s="147"/>
      <c r="C51" s="337"/>
      <c r="D51" s="147"/>
      <c r="E51" s="337"/>
      <c r="F51" s="147"/>
      <c r="G51" s="337"/>
      <c r="H51" s="145">
        <f>'- 10 -'!I24</f>
        <v>32645398</v>
      </c>
      <c r="I51" s="338">
        <f>H51/$J$54*100</f>
        <v>1.6251140030082736</v>
      </c>
      <c r="J51" s="145">
        <f>H51</f>
        <v>32645398</v>
      </c>
      <c r="K51" s="338">
        <f>J51/$J$54*100</f>
        <v>1.6251140030082736</v>
      </c>
    </row>
    <row r="52" spans="1:11">
      <c r="A52" s="146" t="s">
        <v>319</v>
      </c>
      <c r="B52" s="146"/>
      <c r="C52" s="340"/>
      <c r="D52" s="146"/>
      <c r="E52" s="340"/>
      <c r="F52" s="152">
        <f>F48</f>
        <v>0</v>
      </c>
      <c r="G52" s="340"/>
      <c r="H52" s="152">
        <f>SUM(H49:H51)</f>
        <v>35108398</v>
      </c>
      <c r="I52" s="340">
        <f>H52/$J$54*100</f>
        <v>1.7477241114655016</v>
      </c>
      <c r="J52" s="152">
        <f>SUM(J48:J51)</f>
        <v>35108398</v>
      </c>
      <c r="K52" s="340">
        <f>J52/$J$54*100</f>
        <v>1.7477241114655016</v>
      </c>
    </row>
    <row r="53" spans="1:11" ht="5.0999999999999996" customHeight="1">
      <c r="A53" s="27"/>
      <c r="B53" s="31"/>
      <c r="C53" s="342"/>
      <c r="D53" s="91"/>
      <c r="E53" s="342"/>
      <c r="F53" s="91"/>
      <c r="G53" s="342"/>
      <c r="H53" s="91"/>
      <c r="I53" s="342"/>
      <c r="J53" s="91"/>
      <c r="K53" s="342"/>
    </row>
    <row r="54" spans="1:11">
      <c r="A54" s="363" t="s">
        <v>320</v>
      </c>
      <c r="B54" s="483">
        <f>SUM(B52,B46,B40,B23,B22)</f>
        <v>71819647</v>
      </c>
      <c r="C54" s="484">
        <f>B54/$J$54*100</f>
        <v>3.5752394267275021</v>
      </c>
      <c r="D54" s="483">
        <f>SUM(D52,D46,D40,D23,D22)</f>
        <v>86021923</v>
      </c>
      <c r="E54" s="484">
        <f>D54/$J$54*100</f>
        <v>4.2822400766257918</v>
      </c>
      <c r="F54" s="483">
        <f>SUM(F52,F46,F40,F23,F22)</f>
        <v>233268026</v>
      </c>
      <c r="G54" s="484">
        <f>F54/$J$54*100</f>
        <v>11.612268764703009</v>
      </c>
      <c r="H54" s="483">
        <f>SUM(H52,H46,H40,H23,H22)</f>
        <v>35108398</v>
      </c>
      <c r="I54" s="484">
        <f>H54/$J$54*100</f>
        <v>1.7477241114655016</v>
      </c>
      <c r="J54" s="483">
        <f>SUM(J52,J46,J40,J23,J22)</f>
        <v>2008806640</v>
      </c>
      <c r="K54" s="484">
        <f>J54/$J$54*100</f>
        <v>100</v>
      </c>
    </row>
    <row r="55" spans="1:11" ht="20.100000000000001" customHeight="1">
      <c r="A55" s="154"/>
    </row>
    <row r="58" spans="1:11">
      <c r="J58" s="1">
        <f>J56-J57</f>
        <v>0</v>
      </c>
    </row>
  </sheetData>
  <mergeCells count="1">
    <mergeCell ref="L25:L29"/>
  </mergeCells>
  <phoneticPr fontId="0" type="noConversion"/>
  <printOptions verticalCentered="1"/>
  <pageMargins left="0.75" right="0" top="0.3" bottom="0.3" header="0" footer="0"/>
  <pageSetup scale="88" orientation="landscape" r:id="rId1"/>
  <headerFooter alignWithMargins="0"/>
</worksheet>
</file>

<file path=xl/worksheets/sheet11.xml><?xml version="1.0" encoding="utf-8"?>
<worksheet xmlns="http://schemas.openxmlformats.org/spreadsheetml/2006/main" xmlns:r="http://schemas.openxmlformats.org/officeDocument/2006/relationships">
  <sheetPr codeName="Sheet10">
    <pageSetUpPr fitToPage="1"/>
  </sheetPr>
  <dimension ref="A1:J59"/>
  <sheetViews>
    <sheetView showGridLines="0" showZeros="0" workbookViewId="0"/>
  </sheetViews>
  <sheetFormatPr defaultColWidth="15.83203125" defaultRowHeight="12"/>
  <cols>
    <col min="1" max="1" width="33.83203125" style="1" customWidth="1"/>
    <col min="2" max="2" width="15" style="1" bestFit="1" customWidth="1"/>
    <col min="3" max="3" width="6.33203125" style="1" customWidth="1"/>
    <col min="4" max="4" width="7.6640625" style="1" customWidth="1"/>
    <col min="5" max="5" width="13.33203125" style="1" bestFit="1" customWidth="1"/>
    <col min="6" max="6" width="6.33203125" style="1" customWidth="1"/>
    <col min="7" max="7" width="12" style="1" customWidth="1"/>
    <col min="8" max="8" width="11.5" style="1" customWidth="1"/>
    <col min="9" max="9" width="8.83203125" style="1" customWidth="1"/>
    <col min="10" max="16384" width="15.83203125" style="1"/>
  </cols>
  <sheetData>
    <row r="1" spans="1:9" ht="6.95" customHeight="1">
      <c r="A1" s="3"/>
      <c r="B1" s="4"/>
      <c r="C1" s="4"/>
      <c r="D1" s="4"/>
      <c r="E1" s="4"/>
      <c r="F1" s="4"/>
      <c r="G1" s="4"/>
      <c r="H1" s="4"/>
      <c r="I1" s="4"/>
    </row>
    <row r="2" spans="1:9" ht="15.95" customHeight="1">
      <c r="A2" s="160"/>
      <c r="B2" s="5" t="s">
        <v>441</v>
      </c>
      <c r="C2" s="6"/>
      <c r="D2" s="6"/>
      <c r="E2" s="6"/>
      <c r="F2" s="6"/>
      <c r="G2" s="6"/>
      <c r="H2" s="105"/>
      <c r="I2" s="183" t="s">
        <v>2</v>
      </c>
    </row>
    <row r="3" spans="1:9" ht="15.95" customHeight="1">
      <c r="A3" s="163"/>
      <c r="B3" s="7" t="s">
        <v>635</v>
      </c>
      <c r="C3" s="8"/>
      <c r="D3" s="8"/>
      <c r="E3" s="8"/>
      <c r="F3" s="8"/>
      <c r="G3" s="8"/>
      <c r="H3" s="107"/>
      <c r="I3" s="100"/>
    </row>
    <row r="4" spans="1:9" ht="15.95" customHeight="1">
      <c r="B4" s="4"/>
      <c r="C4" s="4"/>
      <c r="D4" s="4"/>
      <c r="E4" s="4"/>
      <c r="F4" s="4"/>
      <c r="G4" s="4"/>
      <c r="H4" s="4"/>
      <c r="I4" s="4"/>
    </row>
    <row r="5" spans="1:9" ht="15.95" customHeight="1">
      <c r="B5" s="4"/>
      <c r="C5" s="4"/>
      <c r="D5" s="4"/>
      <c r="E5" s="4"/>
      <c r="F5" s="4"/>
      <c r="G5" s="4"/>
      <c r="H5" s="4"/>
      <c r="I5" s="4"/>
    </row>
    <row r="6" spans="1:9" ht="15.95" customHeight="1">
      <c r="B6" s="357"/>
      <c r="C6" s="346"/>
      <c r="D6" s="347"/>
      <c r="E6" s="345"/>
      <c r="F6" s="346"/>
      <c r="G6" s="347"/>
      <c r="H6" s="345" t="s">
        <v>205</v>
      </c>
      <c r="I6" s="347"/>
    </row>
    <row r="7" spans="1:9" ht="15.95" customHeight="1">
      <c r="B7" s="348" t="s">
        <v>49</v>
      </c>
      <c r="C7" s="349"/>
      <c r="D7" s="350"/>
      <c r="E7" s="348" t="s">
        <v>402</v>
      </c>
      <c r="F7" s="349"/>
      <c r="G7" s="350"/>
      <c r="H7" s="348" t="s">
        <v>279</v>
      </c>
      <c r="I7" s="350"/>
    </row>
    <row r="8" spans="1:9" ht="15.95" customHeight="1">
      <c r="A8" s="101"/>
      <c r="B8" s="169" t="s">
        <v>3</v>
      </c>
      <c r="C8" s="234"/>
      <c r="D8" s="168" t="s">
        <v>59</v>
      </c>
      <c r="E8" s="169"/>
      <c r="F8" s="168"/>
      <c r="G8" s="168" t="s">
        <v>59</v>
      </c>
      <c r="H8" s="169"/>
      <c r="I8" s="168"/>
    </row>
    <row r="9" spans="1:9" ht="15.95" customHeight="1">
      <c r="A9" s="35" t="s">
        <v>79</v>
      </c>
      <c r="B9" s="112" t="s">
        <v>80</v>
      </c>
      <c r="C9" s="112" t="s">
        <v>81</v>
      </c>
      <c r="D9" s="112" t="s">
        <v>82</v>
      </c>
      <c r="E9" s="112" t="s">
        <v>80</v>
      </c>
      <c r="F9" s="112" t="s">
        <v>81</v>
      </c>
      <c r="G9" s="112" t="s">
        <v>82</v>
      </c>
      <c r="H9" s="112" t="s">
        <v>80</v>
      </c>
      <c r="I9" s="112" t="s">
        <v>81</v>
      </c>
    </row>
    <row r="10" spans="1:9" ht="5.0999999999999996" customHeight="1">
      <c r="A10" s="37"/>
    </row>
    <row r="11" spans="1:9" ht="14.1" customHeight="1">
      <c r="A11" s="351" t="s">
        <v>224</v>
      </c>
      <c r="B11" s="352">
        <f>SUM('- 18 -'!B11,'- 18 -'!E11,'- 19 -'!B11,'- 19 -'!E11,'- 19 -'!H11,'- 20 -'!B11)</f>
        <v>9605822</v>
      </c>
      <c r="C11" s="353">
        <f>B11/'- 3 -'!D11*100</f>
        <v>60.548934228242068</v>
      </c>
      <c r="D11" s="352">
        <f>B11/'- 7 -'!C11</f>
        <v>6494.8086544962816</v>
      </c>
      <c r="E11" s="352">
        <f>SUM('- 21 -'!B11,'- 21 -'!E11,'- 21 -'!H11,'- 22 -'!B11,'- 22 -'!D11,'- 22 -'!G11,'- 23 -'!B11)</f>
        <v>2132538</v>
      </c>
      <c r="F11" s="353">
        <f>E11/'- 3 -'!D11*100</f>
        <v>13.442150302309047</v>
      </c>
      <c r="G11" s="352">
        <f>E11/'- 7 -'!F11</f>
        <v>1441.8782961460447</v>
      </c>
      <c r="H11" s="352">
        <f>SUM('- 24 -'!D11,'- 24 -'!B11)</f>
        <v>0</v>
      </c>
      <c r="I11" s="353">
        <f>H11/'- 3 -'!D11*100</f>
        <v>0</v>
      </c>
    </row>
    <row r="12" spans="1:9" ht="14.1" customHeight="1">
      <c r="A12" s="23" t="s">
        <v>225</v>
      </c>
      <c r="B12" s="24">
        <f>SUM('- 18 -'!B12,'- 18 -'!E12,'- 19 -'!B12,'- 19 -'!E12,'- 19 -'!H12,'- 20 -'!B12)</f>
        <v>17020979</v>
      </c>
      <c r="C12" s="344">
        <f>B12/'- 3 -'!D12*100</f>
        <v>56.733733504249152</v>
      </c>
      <c r="D12" s="24">
        <f>B12/'- 7 -'!C12</f>
        <v>7368.9633824280672</v>
      </c>
      <c r="E12" s="24">
        <f>SUM('- 21 -'!B12,'- 21 -'!E12,'- 21 -'!H12,'- 22 -'!B12,'- 22 -'!D12,'- 22 -'!G12,'- 23 -'!B12)</f>
        <v>4531976</v>
      </c>
      <c r="F12" s="344">
        <f>E12/'- 3 -'!D12*100</f>
        <v>15.105824326065678</v>
      </c>
      <c r="G12" s="24">
        <f>E12/'- 7 -'!F12</f>
        <v>1962.047259093782</v>
      </c>
      <c r="H12" s="24">
        <f>SUM('- 24 -'!D12,'- 24 -'!B12)</f>
        <v>539979</v>
      </c>
      <c r="I12" s="344">
        <f>H12/'- 3 -'!D12*100</f>
        <v>1.799839168116649</v>
      </c>
    </row>
    <row r="13" spans="1:9" ht="14.1" customHeight="1">
      <c r="A13" s="351" t="s">
        <v>226</v>
      </c>
      <c r="B13" s="352">
        <f>SUM('- 18 -'!B13,'- 18 -'!E13,'- 19 -'!B13,'- 19 -'!E13,'- 19 -'!H13,'- 20 -'!B13)</f>
        <v>46741500</v>
      </c>
      <c r="C13" s="353">
        <f>B13/'- 3 -'!D13*100</f>
        <v>59.630060546680653</v>
      </c>
      <c r="D13" s="352">
        <f>B13/'- 7 -'!C13</f>
        <v>6048.3307453416146</v>
      </c>
      <c r="E13" s="352">
        <f>SUM('- 21 -'!B13,'- 21 -'!E13,'- 21 -'!H13,'- 22 -'!B13,'- 22 -'!D13,'- 22 -'!G13,'- 23 -'!B13)</f>
        <v>16794200</v>
      </c>
      <c r="F13" s="353">
        <f>E13/'- 3 -'!D13*100</f>
        <v>21.425054027642762</v>
      </c>
      <c r="G13" s="352">
        <f>E13/'- 7 -'!F13</f>
        <v>2173.1625258799172</v>
      </c>
      <c r="H13" s="352">
        <f>SUM('- 24 -'!D13,'- 24 -'!B13)</f>
        <v>0</v>
      </c>
      <c r="I13" s="353">
        <f>H13/'- 3 -'!D13*100</f>
        <v>0</v>
      </c>
    </row>
    <row r="14" spans="1:9" ht="14.1" customHeight="1">
      <c r="A14" s="23" t="s">
        <v>524</v>
      </c>
      <c r="B14" s="24">
        <f>SUM('- 18 -'!B14,'- 18 -'!E14,'- 19 -'!B14,'- 19 -'!E14,'- 19 -'!H14,'- 20 -'!B14)</f>
        <v>39507539</v>
      </c>
      <c r="C14" s="344">
        <f>B14/'- 3 -'!D14*100</f>
        <v>55.285695608112597</v>
      </c>
      <c r="D14" s="24">
        <f>B14/'- 7 -'!C14</f>
        <v>7838.7974206349209</v>
      </c>
      <c r="E14" s="24">
        <f>SUM('- 21 -'!B14,'- 21 -'!E14,'- 21 -'!H14,'- 22 -'!B14,'- 22 -'!D14,'- 22 -'!G14,'- 23 -'!B14)</f>
        <v>9173507</v>
      </c>
      <c r="F14" s="344">
        <f>E14/'- 3 -'!D14*100</f>
        <v>12.837137632412137</v>
      </c>
      <c r="G14" s="24">
        <f>E14/'- 7 -'!F14</f>
        <v>1820.1402777777778</v>
      </c>
      <c r="H14" s="24">
        <f>SUM('- 24 -'!D14,'- 24 -'!B14)</f>
        <v>221834</v>
      </c>
      <c r="I14" s="344">
        <f>H14/'- 3 -'!D14*100</f>
        <v>0.31042801728374042</v>
      </c>
    </row>
    <row r="15" spans="1:9" ht="14.1" customHeight="1">
      <c r="A15" s="351" t="s">
        <v>227</v>
      </c>
      <c r="B15" s="352">
        <f>SUM('- 18 -'!B15,'- 18 -'!E15,'- 19 -'!B15,'- 19 -'!E15,'- 19 -'!H15,'- 20 -'!B15)</f>
        <v>10188403</v>
      </c>
      <c r="C15" s="353">
        <f>B15/'- 3 -'!D15*100</f>
        <v>54.468050550210869</v>
      </c>
      <c r="D15" s="352">
        <f>B15/'- 7 -'!C15</f>
        <v>6819.5468540829988</v>
      </c>
      <c r="E15" s="352">
        <f>SUM('- 21 -'!B15,'- 21 -'!E15,'- 21 -'!H15,'- 22 -'!B15,'- 22 -'!D15,'- 22 -'!G15,'- 23 -'!B15)</f>
        <v>3244200</v>
      </c>
      <c r="F15" s="353">
        <f>E15/'- 3 -'!D15*100</f>
        <v>17.343763256615791</v>
      </c>
      <c r="G15" s="352">
        <f>E15/'- 7 -'!F15</f>
        <v>2171.4859437751006</v>
      </c>
      <c r="H15" s="352">
        <f>SUM('- 24 -'!D15,'- 24 -'!B15)</f>
        <v>0</v>
      </c>
      <c r="I15" s="353">
        <f>H15/'- 3 -'!D15*100</f>
        <v>0</v>
      </c>
    </row>
    <row r="16" spans="1:9" ht="14.1" customHeight="1">
      <c r="A16" s="23" t="s">
        <v>228</v>
      </c>
      <c r="B16" s="24">
        <f>SUM('- 18 -'!B16,'- 18 -'!E16,'- 19 -'!B16,'- 19 -'!E16,'- 19 -'!H16,'- 20 -'!B16)</f>
        <v>6703271</v>
      </c>
      <c r="C16" s="344">
        <f>B16/'- 3 -'!D16*100</f>
        <v>52.961848468395466</v>
      </c>
      <c r="D16" s="24">
        <f>B16/'- 7 -'!C16</f>
        <v>6774.4022233451242</v>
      </c>
      <c r="E16" s="24">
        <f>SUM('- 21 -'!B16,'- 21 -'!E16,'- 21 -'!H16,'- 22 -'!B16,'- 22 -'!D16,'- 22 -'!G16,'- 23 -'!B16)</f>
        <v>2262751</v>
      </c>
      <c r="F16" s="344">
        <f>E16/'- 3 -'!D16*100</f>
        <v>17.877760810164219</v>
      </c>
      <c r="G16" s="24">
        <f>E16/'- 7 -'!F16</f>
        <v>2286.7620010106116</v>
      </c>
      <c r="H16" s="24">
        <f>SUM('- 24 -'!D16,'- 24 -'!B16)</f>
        <v>92300</v>
      </c>
      <c r="I16" s="344">
        <f>H16/'- 3 -'!D16*100</f>
        <v>0.72925272059460255</v>
      </c>
    </row>
    <row r="17" spans="1:9" ht="14.1" customHeight="1">
      <c r="A17" s="351" t="s">
        <v>229</v>
      </c>
      <c r="B17" s="352">
        <f>SUM('- 18 -'!B17,'- 18 -'!E17,'- 19 -'!B17,'- 19 -'!E17,'- 19 -'!H17,'- 20 -'!B17)</f>
        <v>8885984</v>
      </c>
      <c r="C17" s="353">
        <f>B17/'- 3 -'!D17*100</f>
        <v>54.514363020668014</v>
      </c>
      <c r="D17" s="352">
        <f>B17/'- 7 -'!C17</f>
        <v>6912.4729677168416</v>
      </c>
      <c r="E17" s="352">
        <f>SUM('- 21 -'!B17,'- 21 -'!E17,'- 21 -'!H17,'- 22 -'!B17,'- 22 -'!D17,'- 22 -'!G17,'- 23 -'!B17)</f>
        <v>2512792</v>
      </c>
      <c r="F17" s="353">
        <f>E17/'- 3 -'!D17*100</f>
        <v>15.415654055131139</v>
      </c>
      <c r="G17" s="352">
        <f>E17/'- 7 -'!F17</f>
        <v>1954.7195643718399</v>
      </c>
      <c r="H17" s="352">
        <f>SUM('- 24 -'!D17,'- 24 -'!B17)</f>
        <v>0</v>
      </c>
      <c r="I17" s="353">
        <f>H17/'- 3 -'!D17*100</f>
        <v>0</v>
      </c>
    </row>
    <row r="18" spans="1:9" ht="14.1" customHeight="1">
      <c r="A18" s="23" t="s">
        <v>230</v>
      </c>
      <c r="B18" s="24">
        <f>SUM('- 18 -'!B18,'- 18 -'!E18,'- 19 -'!B18,'- 19 -'!E18,'- 19 -'!H18,'- 20 -'!B18)</f>
        <v>49325254</v>
      </c>
      <c r="C18" s="344">
        <f>B18/'- 3 -'!D18*100</f>
        <v>42.829745729987515</v>
      </c>
      <c r="D18" s="24">
        <f>B18/'- 7 -'!C18</f>
        <v>7800.3090060884006</v>
      </c>
      <c r="E18" s="24">
        <f>SUM('- 21 -'!B18,'- 21 -'!E18,'- 21 -'!H18,'- 22 -'!B18,'- 22 -'!D18,'- 22 -'!G18,'- 23 -'!B18)</f>
        <v>18272309</v>
      </c>
      <c r="F18" s="344">
        <f>E18/'- 3 -'!D18*100</f>
        <v>15.866078426474244</v>
      </c>
      <c r="G18" s="24">
        <f>E18/'- 7 -'!F18</f>
        <v>2889.587886455286</v>
      </c>
      <c r="H18" s="24">
        <f>SUM('- 24 -'!D18,'- 24 -'!B18)</f>
        <v>1813958</v>
      </c>
      <c r="I18" s="344">
        <f>H18/'- 3 -'!D18*100</f>
        <v>1.5750828146749472</v>
      </c>
    </row>
    <row r="19" spans="1:9" ht="14.1" customHeight="1">
      <c r="A19" s="351" t="s">
        <v>231</v>
      </c>
      <c r="B19" s="352">
        <f>SUM('- 18 -'!B19,'- 18 -'!E19,'- 19 -'!B19,'- 19 -'!E19,'- 19 -'!H19,'- 20 -'!B19)</f>
        <v>23032900</v>
      </c>
      <c r="C19" s="353">
        <f>B19/'- 3 -'!D19*100</f>
        <v>58.921031584270956</v>
      </c>
      <c r="D19" s="352">
        <f>B19/'- 7 -'!C19</f>
        <v>5467.1018276762406</v>
      </c>
      <c r="E19" s="352">
        <f>SUM('- 21 -'!B19,'- 21 -'!E19,'- 21 -'!H19,'- 22 -'!B19,'- 22 -'!D19,'- 22 -'!G19,'- 23 -'!B19)</f>
        <v>7197000</v>
      </c>
      <c r="F19" s="353">
        <f>E19/'- 3 -'!D19*100</f>
        <v>18.41082383512272</v>
      </c>
      <c r="G19" s="352">
        <f>E19/'- 7 -'!F19</f>
        <v>1708.2838832186092</v>
      </c>
      <c r="H19" s="352">
        <f>SUM('- 24 -'!D19,'- 24 -'!B19)</f>
        <v>0</v>
      </c>
      <c r="I19" s="353">
        <f>H19/'- 3 -'!D19*100</f>
        <v>0</v>
      </c>
    </row>
    <row r="20" spans="1:9" ht="14.1" customHeight="1">
      <c r="A20" s="23" t="s">
        <v>232</v>
      </c>
      <c r="B20" s="24">
        <f>SUM('- 18 -'!B20,'- 18 -'!E20,'- 19 -'!B20,'- 19 -'!E20,'- 19 -'!H20,'- 20 -'!B20)</f>
        <v>40927800</v>
      </c>
      <c r="C20" s="344">
        <f>B20/'- 3 -'!D20*100</f>
        <v>60.482347899333519</v>
      </c>
      <c r="D20" s="24">
        <f>B20/'- 7 -'!C20</f>
        <v>5512.1616161616157</v>
      </c>
      <c r="E20" s="24">
        <f>SUM('- 21 -'!B20,'- 21 -'!E20,'- 21 -'!H20,'- 22 -'!B20,'- 22 -'!D20,'- 22 -'!G20,'- 23 -'!B20)</f>
        <v>10219000</v>
      </c>
      <c r="F20" s="344">
        <f>E20/'- 3 -'!D20*100</f>
        <v>15.101449703704798</v>
      </c>
      <c r="G20" s="24">
        <f>E20/'- 7 -'!F20</f>
        <v>1376.2962962962963</v>
      </c>
      <c r="H20" s="24">
        <f>SUM('- 24 -'!D20,'- 24 -'!B20)</f>
        <v>0</v>
      </c>
      <c r="I20" s="344">
        <f>H20/'- 3 -'!D20*100</f>
        <v>0</v>
      </c>
    </row>
    <row r="21" spans="1:9" ht="14.1" customHeight="1">
      <c r="A21" s="351" t="s">
        <v>233</v>
      </c>
      <c r="B21" s="352">
        <f>SUM('- 18 -'!B21,'- 18 -'!E21,'- 19 -'!B21,'- 19 -'!E21,'- 19 -'!H21,'- 20 -'!B21)</f>
        <v>18190260</v>
      </c>
      <c r="C21" s="353">
        <f>B21/'- 3 -'!D21*100</f>
        <v>55.877428974628508</v>
      </c>
      <c r="D21" s="352">
        <f>B21/'- 7 -'!C21</f>
        <v>6519.8064516129034</v>
      </c>
      <c r="E21" s="352">
        <f>SUM('- 21 -'!B21,'- 21 -'!E21,'- 21 -'!H21,'- 22 -'!B21,'- 22 -'!D21,'- 22 -'!G21,'- 23 -'!B21)</f>
        <v>5341000</v>
      </c>
      <c r="F21" s="353">
        <f>E21/'- 3 -'!D21*100</f>
        <v>16.406656537811493</v>
      </c>
      <c r="G21" s="352">
        <f>E21/'- 7 -'!F21</f>
        <v>1914.336917562724</v>
      </c>
      <c r="H21" s="352">
        <f>SUM('- 24 -'!D21,'- 24 -'!B21)</f>
        <v>0</v>
      </c>
      <c r="I21" s="353">
        <f>H21/'- 3 -'!D21*100</f>
        <v>0</v>
      </c>
    </row>
    <row r="22" spans="1:9" ht="14.1" customHeight="1">
      <c r="A22" s="23" t="s">
        <v>234</v>
      </c>
      <c r="B22" s="24">
        <f>SUM('- 18 -'!B22,'- 18 -'!E22,'- 19 -'!B22,'- 19 -'!E22,'- 19 -'!H22,'- 20 -'!B22)</f>
        <v>9539557</v>
      </c>
      <c r="C22" s="344">
        <f>B22/'- 3 -'!D22*100</f>
        <v>50.145684182638639</v>
      </c>
      <c r="D22" s="24">
        <f>B22/'- 7 -'!C22</f>
        <v>5908.6757510065036</v>
      </c>
      <c r="E22" s="24">
        <f>SUM('- 21 -'!B22,'- 21 -'!E22,'- 21 -'!H22,'- 22 -'!B22,'- 22 -'!D22,'- 22 -'!G22,'- 23 -'!B22)</f>
        <v>4111983</v>
      </c>
      <c r="F22" s="344">
        <f>E22/'- 3 -'!D22*100</f>
        <v>21.615070897147422</v>
      </c>
      <c r="G22" s="24">
        <f>E22/'- 7 -'!F22</f>
        <v>2546.9080210591515</v>
      </c>
      <c r="H22" s="24">
        <f>SUM('- 24 -'!D22,'- 24 -'!B22)</f>
        <v>664360</v>
      </c>
      <c r="I22" s="344">
        <f>H22/'- 3 -'!D22*100</f>
        <v>3.4922781784917061</v>
      </c>
    </row>
    <row r="23" spans="1:9" ht="14.1" customHeight="1">
      <c r="A23" s="351" t="s">
        <v>235</v>
      </c>
      <c r="B23" s="352">
        <f>SUM('- 18 -'!B23,'- 18 -'!E23,'- 19 -'!B23,'- 19 -'!E23,'- 19 -'!H23,'- 20 -'!B23)</f>
        <v>8132208</v>
      </c>
      <c r="C23" s="353">
        <f>B23/'- 3 -'!D23*100</f>
        <v>52.240113368167748</v>
      </c>
      <c r="D23" s="352">
        <f>B23/'- 7 -'!C23</f>
        <v>6802.3488080301131</v>
      </c>
      <c r="E23" s="352">
        <f>SUM('- 21 -'!B23,'- 21 -'!E23,'- 21 -'!H23,'- 22 -'!B23,'- 22 -'!D23,'- 22 -'!G23,'- 23 -'!B23)</f>
        <v>2848132</v>
      </c>
      <c r="F23" s="353">
        <f>E23/'- 3 -'!D23*100</f>
        <v>18.29598290741043</v>
      </c>
      <c r="G23" s="352">
        <f>E23/'- 7 -'!F23</f>
        <v>2382.3772480133835</v>
      </c>
      <c r="H23" s="352">
        <f>SUM('- 24 -'!D23,'- 24 -'!B23)</f>
        <v>240000</v>
      </c>
      <c r="I23" s="353">
        <f>H23/'- 3 -'!D23*100</f>
        <v>1.5417248560735608</v>
      </c>
    </row>
    <row r="24" spans="1:9" ht="14.1" customHeight="1">
      <c r="A24" s="23" t="s">
        <v>236</v>
      </c>
      <c r="B24" s="24">
        <f>SUM('- 18 -'!B24,'- 18 -'!E24,'- 19 -'!B24,'- 19 -'!E24,'- 19 -'!H24,'- 20 -'!B24)</f>
        <v>29568965</v>
      </c>
      <c r="C24" s="344">
        <f>B24/'- 3 -'!D24*100</f>
        <v>57.970286688491733</v>
      </c>
      <c r="D24" s="24">
        <f>B24/'- 7 -'!C24</f>
        <v>6921.57420411985</v>
      </c>
      <c r="E24" s="24">
        <f>SUM('- 21 -'!B24,'- 21 -'!E24,'- 21 -'!H24,'- 22 -'!B24,'- 22 -'!D24,'- 22 -'!G24,'- 23 -'!B24)</f>
        <v>8736030</v>
      </c>
      <c r="F24" s="344">
        <f>E24/'- 3 -'!D24*100</f>
        <v>17.127084550279807</v>
      </c>
      <c r="G24" s="24">
        <f>E24/'- 7 -'!F24</f>
        <v>2044.9508426966293</v>
      </c>
      <c r="H24" s="24">
        <f>SUM('- 24 -'!D24,'- 24 -'!B24)</f>
        <v>356510</v>
      </c>
      <c r="I24" s="344">
        <f>H24/'- 3 -'!D24*100</f>
        <v>0.69894184349415633</v>
      </c>
    </row>
    <row r="25" spans="1:9" ht="14.1" customHeight="1">
      <c r="A25" s="351" t="s">
        <v>237</v>
      </c>
      <c r="B25" s="352">
        <f>SUM('- 18 -'!B25,'- 18 -'!E25,'- 19 -'!B25,'- 19 -'!E25,'- 19 -'!H25,'- 20 -'!B25)</f>
        <v>82916701</v>
      </c>
      <c r="C25" s="353">
        <f>B25/'- 3 -'!D25*100</f>
        <v>55.223265115279617</v>
      </c>
      <c r="D25" s="352">
        <f>B25/'- 7 -'!C25</f>
        <v>6100.4047233666861</v>
      </c>
      <c r="E25" s="352">
        <f>SUM('- 21 -'!B25,'- 21 -'!E25,'- 21 -'!H25,'- 22 -'!B25,'- 22 -'!D25,'- 22 -'!G25,'- 23 -'!B25)</f>
        <v>31494362</v>
      </c>
      <c r="F25" s="353">
        <f>E25/'- 3 -'!D25*100</f>
        <v>20.975527021541634</v>
      </c>
      <c r="G25" s="352">
        <f>E25/'- 7 -'!F25</f>
        <v>2317.1249264273101</v>
      </c>
      <c r="H25" s="352">
        <f>SUM('- 24 -'!D25,'- 24 -'!B25)</f>
        <v>0</v>
      </c>
      <c r="I25" s="353">
        <f>H25/'- 3 -'!D25*100</f>
        <v>0</v>
      </c>
    </row>
    <row r="26" spans="1:9" ht="14.1" customHeight="1">
      <c r="A26" s="23" t="s">
        <v>238</v>
      </c>
      <c r="B26" s="24">
        <f>SUM('- 18 -'!B26,'- 18 -'!E26,'- 19 -'!B26,'- 19 -'!E26,'- 19 -'!H26,'- 20 -'!B26)</f>
        <v>20825646</v>
      </c>
      <c r="C26" s="344">
        <f>B26/'- 3 -'!D26*100</f>
        <v>56.623881910145833</v>
      </c>
      <c r="D26" s="24">
        <f>B26/'- 7 -'!C26</f>
        <v>6967.4292405486785</v>
      </c>
      <c r="E26" s="24">
        <f>SUM('- 21 -'!B26,'- 21 -'!E26,'- 21 -'!H26,'- 22 -'!B26,'- 22 -'!D26,'- 22 -'!G26,'- 23 -'!B26)</f>
        <v>5526645</v>
      </c>
      <c r="F26" s="344">
        <f>E26/'- 3 -'!D26*100</f>
        <v>15.026669225016978</v>
      </c>
      <c r="G26" s="24">
        <f>E26/'- 7 -'!F26</f>
        <v>1848.9946470391435</v>
      </c>
      <c r="H26" s="24">
        <f>SUM('- 24 -'!D26,'- 24 -'!B26)</f>
        <v>0</v>
      </c>
      <c r="I26" s="344">
        <f>H26/'- 3 -'!D26*100</f>
        <v>0</v>
      </c>
    </row>
    <row r="27" spans="1:9" ht="14.1" customHeight="1">
      <c r="A27" s="351" t="s">
        <v>239</v>
      </c>
      <c r="B27" s="352">
        <f>SUM('- 18 -'!B27,'- 18 -'!E27,'- 19 -'!B27,'- 19 -'!E27,'- 19 -'!H27,'- 20 -'!B27)</f>
        <v>20709339</v>
      </c>
      <c r="C27" s="353">
        <f>B27/'- 3 -'!D27*100</f>
        <v>54.089148709658389</v>
      </c>
      <c r="D27" s="352">
        <f>B27/'- 7 -'!C27</f>
        <v>7401.479270907791</v>
      </c>
      <c r="E27" s="352">
        <f>SUM('- 21 -'!B27,'- 21 -'!E27,'- 21 -'!H27,'- 22 -'!B27,'- 22 -'!D27,'- 22 -'!G27,'- 23 -'!B27)</f>
        <v>7095247</v>
      </c>
      <c r="F27" s="353">
        <f>E27/'- 3 -'!D27*100</f>
        <v>18.531536429760386</v>
      </c>
      <c r="G27" s="352">
        <f>E27/'- 7 -'!F27</f>
        <v>2535.8280914939241</v>
      </c>
      <c r="H27" s="352">
        <f>SUM('- 24 -'!D27,'- 24 -'!B27)</f>
        <v>0</v>
      </c>
      <c r="I27" s="353">
        <f>H27/'- 3 -'!D27*100</f>
        <v>0</v>
      </c>
    </row>
    <row r="28" spans="1:9" ht="14.1" customHeight="1">
      <c r="A28" s="23" t="s">
        <v>240</v>
      </c>
      <c r="B28" s="24">
        <f>SUM('- 18 -'!B28,'- 18 -'!E28,'- 19 -'!B28,'- 19 -'!E28,'- 19 -'!H28,'- 20 -'!B28)</f>
        <v>14605726</v>
      </c>
      <c r="C28" s="344">
        <f>B28/'- 3 -'!D28*100</f>
        <v>56.975211729140398</v>
      </c>
      <c r="D28" s="24">
        <f>B28/'- 7 -'!C28</f>
        <v>7470.9595907928388</v>
      </c>
      <c r="E28" s="24">
        <f>SUM('- 21 -'!B28,'- 21 -'!E28,'- 21 -'!H28,'- 22 -'!B28,'- 22 -'!D28,'- 22 -'!G28,'- 23 -'!B28)</f>
        <v>3615125</v>
      </c>
      <c r="F28" s="344">
        <f>E28/'- 3 -'!D28*100</f>
        <v>14.102175564727743</v>
      </c>
      <c r="G28" s="24">
        <f>E28/'- 7 -'!F28</f>
        <v>1849.1687979539643</v>
      </c>
      <c r="H28" s="24">
        <f>SUM('- 24 -'!D28,'- 24 -'!B28)</f>
        <v>140856</v>
      </c>
      <c r="I28" s="344">
        <f>H28/'- 3 -'!D28*100</f>
        <v>0.54946261646424144</v>
      </c>
    </row>
    <row r="29" spans="1:9" ht="14.1" customHeight="1">
      <c r="A29" s="351" t="s">
        <v>241</v>
      </c>
      <c r="B29" s="352">
        <f>SUM('- 18 -'!B29,'- 18 -'!E29,'- 19 -'!B29,'- 19 -'!E29,'- 19 -'!H29,'- 20 -'!B29)</f>
        <v>78405109</v>
      </c>
      <c r="C29" s="353">
        <f>B29/'- 3 -'!D29*100</f>
        <v>57.181447833413237</v>
      </c>
      <c r="D29" s="352">
        <f>B29/'- 7 -'!C29</f>
        <v>6456.283679183136</v>
      </c>
      <c r="E29" s="352">
        <f>SUM('- 21 -'!B29,'- 21 -'!E29,'- 21 -'!H29,'- 22 -'!B29,'- 22 -'!D29,'- 22 -'!G29,'- 23 -'!B29)</f>
        <v>26898823</v>
      </c>
      <c r="F29" s="353">
        <f>E29/'- 3 -'!D29*100</f>
        <v>19.617518089984621</v>
      </c>
      <c r="G29" s="352">
        <f>E29/'- 7 -'!F29</f>
        <v>2214.9887187088275</v>
      </c>
      <c r="H29" s="352">
        <f>SUM('- 24 -'!D29,'- 24 -'!B29)</f>
        <v>0</v>
      </c>
      <c r="I29" s="353">
        <f>H29/'- 3 -'!D29*100</f>
        <v>0</v>
      </c>
    </row>
    <row r="30" spans="1:9" ht="14.1" customHeight="1">
      <c r="A30" s="23" t="s">
        <v>242</v>
      </c>
      <c r="B30" s="24">
        <f>SUM('- 18 -'!B30,'- 18 -'!E30,'- 19 -'!B30,'- 19 -'!E30,'- 19 -'!H30,'- 20 -'!B30)</f>
        <v>7917886</v>
      </c>
      <c r="C30" s="344">
        <f>B30/'- 3 -'!D30*100</f>
        <v>59.705323818951669</v>
      </c>
      <c r="D30" s="24">
        <f>B30/'- 7 -'!C30</f>
        <v>7375.7671169073128</v>
      </c>
      <c r="E30" s="24">
        <f>SUM('- 21 -'!B30,'- 21 -'!E30,'- 21 -'!H30,'- 22 -'!B30,'- 22 -'!D30,'- 22 -'!G30,'- 23 -'!B30)</f>
        <v>1455092</v>
      </c>
      <c r="F30" s="344">
        <f>E30/'- 3 -'!D30*100</f>
        <v>10.972213927602143</v>
      </c>
      <c r="G30" s="24">
        <f>E30/'- 7 -'!F30</f>
        <v>1355.4653004191896</v>
      </c>
      <c r="H30" s="24">
        <f>SUM('- 24 -'!D30,'- 24 -'!B30)</f>
        <v>0</v>
      </c>
      <c r="I30" s="344">
        <f>H30/'- 3 -'!D30*100</f>
        <v>0</v>
      </c>
    </row>
    <row r="31" spans="1:9" ht="14.1" customHeight="1">
      <c r="A31" s="351" t="s">
        <v>243</v>
      </c>
      <c r="B31" s="352">
        <f>SUM('- 18 -'!B31,'- 18 -'!E31,'- 19 -'!B31,'- 19 -'!E31,'- 19 -'!H31,'- 20 -'!B31)</f>
        <v>18076551</v>
      </c>
      <c r="C31" s="353">
        <f>B31/'- 3 -'!D31*100</f>
        <v>56.309738104151648</v>
      </c>
      <c r="D31" s="352">
        <f>B31/'- 7 -'!C31</f>
        <v>5702.3820189274447</v>
      </c>
      <c r="E31" s="352">
        <f>SUM('- 21 -'!B31,'- 21 -'!E31,'- 21 -'!H31,'- 22 -'!B31,'- 22 -'!D31,'- 22 -'!G31,'- 23 -'!B31)</f>
        <v>6515585</v>
      </c>
      <c r="F31" s="353">
        <f>E31/'- 3 -'!D31*100</f>
        <v>20.296509270232963</v>
      </c>
      <c r="G31" s="352">
        <f>E31/'- 7 -'!F31</f>
        <v>2055.3895899053628</v>
      </c>
      <c r="H31" s="352">
        <f>SUM('- 24 -'!D31,'- 24 -'!B31)</f>
        <v>0</v>
      </c>
      <c r="I31" s="353">
        <f>H31/'- 3 -'!D31*100</f>
        <v>0</v>
      </c>
    </row>
    <row r="32" spans="1:9" ht="14.1" customHeight="1">
      <c r="A32" s="23" t="s">
        <v>244</v>
      </c>
      <c r="B32" s="24">
        <f>SUM('- 18 -'!B32,'- 18 -'!E32,'- 19 -'!B32,'- 19 -'!E32,'- 19 -'!H32,'- 20 -'!B32)</f>
        <v>14157946</v>
      </c>
      <c r="C32" s="344">
        <f>B32/'- 3 -'!D32*100</f>
        <v>57.331617292703882</v>
      </c>
      <c r="D32" s="24">
        <f>B32/'- 7 -'!C32</f>
        <v>6902.8468623082053</v>
      </c>
      <c r="E32" s="24">
        <f>SUM('- 21 -'!B32,'- 21 -'!E32,'- 21 -'!H32,'- 22 -'!B32,'- 22 -'!D32,'- 22 -'!G32,'- 23 -'!B32)</f>
        <v>3653845</v>
      </c>
      <c r="F32" s="344">
        <f>E32/'- 3 -'!D32*100</f>
        <v>14.795991112472079</v>
      </c>
      <c r="G32" s="24">
        <f>E32/'- 7 -'!F32</f>
        <v>1781.4683354217148</v>
      </c>
      <c r="H32" s="24">
        <f>SUM('- 24 -'!D32,'- 24 -'!B32)</f>
        <v>250400</v>
      </c>
      <c r="I32" s="344">
        <f>H32/'- 3 -'!D32*100</f>
        <v>1.0139773785048376</v>
      </c>
    </row>
    <row r="33" spans="1:10" ht="14.1" customHeight="1">
      <c r="A33" s="351" t="s">
        <v>245</v>
      </c>
      <c r="B33" s="352">
        <f>SUM('- 18 -'!B33,'- 18 -'!E33,'- 19 -'!B33,'- 19 -'!E33,'- 19 -'!H33,'- 20 -'!B33)</f>
        <v>14342700</v>
      </c>
      <c r="C33" s="353">
        <f>B33/'- 3 -'!D33*100</f>
        <v>56.208630358703445</v>
      </c>
      <c r="D33" s="352">
        <f>B33/'- 7 -'!C33</f>
        <v>7155.2506859565974</v>
      </c>
      <c r="E33" s="352">
        <f>SUM('- 21 -'!B33,'- 21 -'!E33,'- 21 -'!H33,'- 22 -'!B33,'- 22 -'!D33,'- 22 -'!G33,'- 23 -'!B33)</f>
        <v>3498400</v>
      </c>
      <c r="F33" s="353">
        <f>E33/'- 3 -'!D33*100</f>
        <v>13.710129365244212</v>
      </c>
      <c r="G33" s="352">
        <f>E33/'- 7 -'!F33</f>
        <v>1745.2731354452483</v>
      </c>
      <c r="H33" s="352">
        <f>SUM('- 24 -'!D33,'- 24 -'!B33)</f>
        <v>0</v>
      </c>
      <c r="I33" s="353">
        <f>H33/'- 3 -'!D33*100</f>
        <v>0</v>
      </c>
    </row>
    <row r="34" spans="1:10" ht="14.1" customHeight="1">
      <c r="A34" s="23" t="s">
        <v>246</v>
      </c>
      <c r="B34" s="24">
        <f>SUM('- 18 -'!B34,'- 18 -'!E34,'- 19 -'!B34,'- 19 -'!E34,'- 19 -'!H34,'- 20 -'!B34)</f>
        <v>13588002</v>
      </c>
      <c r="C34" s="344">
        <f>B34/'- 3 -'!D34*100</f>
        <v>56.766875421793117</v>
      </c>
      <c r="D34" s="24">
        <f>B34/'- 7 -'!C34</f>
        <v>6796.3797329065173</v>
      </c>
      <c r="E34" s="24">
        <f>SUM('- 21 -'!B34,'- 21 -'!E34,'- 21 -'!H34,'- 22 -'!B34,'- 22 -'!D34,'- 22 -'!G34,'- 23 -'!B34)</f>
        <v>3307860</v>
      </c>
      <c r="F34" s="344">
        <f>E34/'- 3 -'!D34*100</f>
        <v>13.819314755232783</v>
      </c>
      <c r="G34" s="24">
        <f>E34/'- 7 -'!F34</f>
        <v>1654.5090781773622</v>
      </c>
      <c r="H34" s="24">
        <f>SUM('- 24 -'!D34,'- 24 -'!B34)</f>
        <v>0</v>
      </c>
      <c r="I34" s="344">
        <f>H34/'- 3 -'!D34*100</f>
        <v>0</v>
      </c>
    </row>
    <row r="35" spans="1:10" ht="14.1" customHeight="1">
      <c r="A35" s="351" t="s">
        <v>247</v>
      </c>
      <c r="B35" s="352">
        <f>SUM('- 18 -'!B35,'- 18 -'!E35,'- 19 -'!B35,'- 19 -'!E35,'- 19 -'!H35,'- 20 -'!B35)</f>
        <v>94072471</v>
      </c>
      <c r="C35" s="353">
        <f>B35/'- 3 -'!D35*100</f>
        <v>57.498320569941974</v>
      </c>
      <c r="D35" s="352">
        <f>B35/'- 7 -'!C35</f>
        <v>6032.6068359625497</v>
      </c>
      <c r="E35" s="352">
        <f>SUM('- 21 -'!B35,'- 21 -'!E35,'- 21 -'!H35,'- 22 -'!B35,'- 22 -'!D35,'- 22 -'!G35,'- 23 -'!B35)</f>
        <v>31044700</v>
      </c>
      <c r="F35" s="353">
        <f>E35/'- 3 -'!D35*100</f>
        <v>18.974925327492222</v>
      </c>
      <c r="G35" s="352">
        <f>E35/'- 7 -'!F35</f>
        <v>1990.8105681672439</v>
      </c>
      <c r="H35" s="352">
        <f>SUM('- 24 -'!D35,'- 24 -'!B35)</f>
        <v>0</v>
      </c>
      <c r="I35" s="353">
        <f>H35/'- 3 -'!D35*100</f>
        <v>0</v>
      </c>
    </row>
    <row r="36" spans="1:10" ht="14.1" customHeight="1">
      <c r="A36" s="23" t="s">
        <v>248</v>
      </c>
      <c r="B36" s="24">
        <f>SUM('- 18 -'!B36,'- 18 -'!E36,'- 19 -'!B36,'- 19 -'!E36,'- 19 -'!H36,'- 20 -'!B36)</f>
        <v>12161180</v>
      </c>
      <c r="C36" s="344">
        <f>B36/'- 3 -'!D36*100</f>
        <v>57.594543446509526</v>
      </c>
      <c r="D36" s="24">
        <f>B36/'- 7 -'!C36</f>
        <v>7424.4078144078148</v>
      </c>
      <c r="E36" s="24">
        <f>SUM('- 21 -'!B36,'- 21 -'!E36,'- 21 -'!H36,'- 22 -'!B36,'- 22 -'!D36,'- 22 -'!G36,'- 23 -'!B36)</f>
        <v>2968020</v>
      </c>
      <c r="F36" s="344">
        <f>E36/'- 3 -'!D36*100</f>
        <v>14.056346246014712</v>
      </c>
      <c r="G36" s="24">
        <f>E36/'- 7 -'!F36</f>
        <v>1811.9780219780221</v>
      </c>
      <c r="H36" s="24">
        <f>SUM('- 24 -'!D36,'- 24 -'!B36)</f>
        <v>0</v>
      </c>
      <c r="I36" s="344">
        <f>H36/'- 3 -'!D36*100</f>
        <v>0</v>
      </c>
    </row>
    <row r="37" spans="1:10" ht="14.1" customHeight="1">
      <c r="A37" s="351" t="s">
        <v>249</v>
      </c>
      <c r="B37" s="352">
        <f>SUM('- 18 -'!B37,'- 18 -'!E37,'- 19 -'!B37,'- 19 -'!E37,'- 19 -'!H37,'- 20 -'!B37)</f>
        <v>22292252</v>
      </c>
      <c r="C37" s="353">
        <f>B37/'- 3 -'!D37*100</f>
        <v>55.947499291503654</v>
      </c>
      <c r="D37" s="352">
        <f>B37/'- 7 -'!C37</f>
        <v>6061.7952413324265</v>
      </c>
      <c r="E37" s="352">
        <f>SUM('- 21 -'!B37,'- 21 -'!E37,'- 21 -'!H37,'- 22 -'!B37,'- 22 -'!D37,'- 22 -'!G37,'- 23 -'!B37)</f>
        <v>7549550</v>
      </c>
      <c r="F37" s="353">
        <f>E37/'- 3 -'!D37*100</f>
        <v>18.947320498448132</v>
      </c>
      <c r="G37" s="352">
        <f>E37/'- 7 -'!F37</f>
        <v>2052.9027872195784</v>
      </c>
      <c r="H37" s="352">
        <f>SUM('- 24 -'!D37,'- 24 -'!B37)</f>
        <v>0</v>
      </c>
      <c r="I37" s="353">
        <f>H37/'- 3 -'!D37*100</f>
        <v>0</v>
      </c>
    </row>
    <row r="38" spans="1:10" ht="14.1" customHeight="1">
      <c r="A38" s="23" t="s">
        <v>250</v>
      </c>
      <c r="B38" s="24">
        <f>SUM('- 18 -'!B38,'- 18 -'!E38,'- 19 -'!B38,'- 19 -'!E38,'- 19 -'!H38,'- 20 -'!B38)</f>
        <v>66365759</v>
      </c>
      <c r="C38" s="344">
        <f>B38/'- 3 -'!D38*100</f>
        <v>59.287962086154835</v>
      </c>
      <c r="D38" s="24">
        <f>B38/'- 7 -'!C38</f>
        <v>6300.7461312066835</v>
      </c>
      <c r="E38" s="24">
        <f>SUM('- 21 -'!B38,'- 21 -'!E38,'- 21 -'!H38,'- 22 -'!B38,'- 22 -'!D38,'- 22 -'!G38,'- 23 -'!B38)</f>
        <v>19393900</v>
      </c>
      <c r="F38" s="344">
        <f>E38/'- 3 -'!D38*100</f>
        <v>17.325573085100682</v>
      </c>
      <c r="G38" s="24">
        <f>E38/'- 7 -'!F38</f>
        <v>1841.2513054210576</v>
      </c>
      <c r="H38" s="24">
        <f>SUM('- 24 -'!D38,'- 24 -'!B38)</f>
        <v>495100</v>
      </c>
      <c r="I38" s="344">
        <f>H38/'- 3 -'!D38*100</f>
        <v>0.44229841519412533</v>
      </c>
    </row>
    <row r="39" spans="1:10" ht="14.1" customHeight="1">
      <c r="A39" s="351" t="s">
        <v>251</v>
      </c>
      <c r="B39" s="352">
        <f>SUM('- 18 -'!B39,'- 18 -'!E39,'- 19 -'!B39,'- 19 -'!E39,'- 19 -'!H39,'- 20 -'!B39)</f>
        <v>11090428</v>
      </c>
      <c r="C39" s="353">
        <f>B39/'- 3 -'!D39*100</f>
        <v>55.719067766039984</v>
      </c>
      <c r="D39" s="352">
        <f>B39/'- 7 -'!C39</f>
        <v>7104.6944266495839</v>
      </c>
      <c r="E39" s="352">
        <f>SUM('- 21 -'!B39,'- 21 -'!E39,'- 21 -'!H39,'- 22 -'!B39,'- 22 -'!D39,'- 22 -'!G39,'- 23 -'!B39)</f>
        <v>2718199</v>
      </c>
      <c r="F39" s="353">
        <f>E39/'- 3 -'!D39*100</f>
        <v>13.656417433356236</v>
      </c>
      <c r="G39" s="352">
        <f>E39/'- 7 -'!F39</f>
        <v>1741.3190262652147</v>
      </c>
      <c r="H39" s="352">
        <f>SUM('- 24 -'!D39,'- 24 -'!B39)</f>
        <v>0</v>
      </c>
      <c r="I39" s="353">
        <f>H39/'- 3 -'!D39*100</f>
        <v>0</v>
      </c>
    </row>
    <row r="40" spans="1:10" ht="14.1" customHeight="1">
      <c r="A40" s="23" t="s">
        <v>252</v>
      </c>
      <c r="B40" s="24">
        <f>SUM('- 18 -'!B40,'- 18 -'!E40,'- 19 -'!B40,'- 19 -'!E40,'- 19 -'!H40,'- 20 -'!B40)</f>
        <v>53687901</v>
      </c>
      <c r="C40" s="344">
        <f>B40/'- 3 -'!D40*100</f>
        <v>57.181263950460028</v>
      </c>
      <c r="D40" s="24">
        <f>B40/'- 7 -'!C40</f>
        <v>6603.3529715635159</v>
      </c>
      <c r="E40" s="24">
        <f>SUM('- 21 -'!B40,'- 21 -'!E40,'- 21 -'!H40,'- 22 -'!B40,'- 22 -'!D40,'- 22 -'!G40,'- 23 -'!B40)</f>
        <v>19600994</v>
      </c>
      <c r="F40" s="344">
        <f>E40/'- 3 -'!D40*100</f>
        <v>20.876390969454796</v>
      </c>
      <c r="G40" s="24">
        <f>E40/'- 7 -'!F40</f>
        <v>2410.8277575519041</v>
      </c>
      <c r="H40" s="24">
        <f>SUM('- 24 -'!D40,'- 24 -'!B40)</f>
        <v>0</v>
      </c>
      <c r="I40" s="344">
        <f>H40/'- 3 -'!D40*100</f>
        <v>0</v>
      </c>
    </row>
    <row r="41" spans="1:10" ht="14.1" customHeight="1">
      <c r="A41" s="351" t="s">
        <v>253</v>
      </c>
      <c r="B41" s="352">
        <f>SUM('- 18 -'!B41,'- 18 -'!E41,'- 19 -'!B41,'- 19 -'!E41,'- 19 -'!H41,'- 20 -'!B41)</f>
        <v>30030306</v>
      </c>
      <c r="C41" s="353">
        <f>B41/'- 3 -'!D41*100</f>
        <v>52.848325917426067</v>
      </c>
      <c r="D41" s="352">
        <f>B41/'- 7 -'!C41</f>
        <v>6668.2149439324967</v>
      </c>
      <c r="E41" s="352">
        <f>SUM('- 21 -'!B41,'- 21 -'!E41,'- 21 -'!H41,'- 22 -'!B41,'- 22 -'!D41,'- 22 -'!G41,'- 23 -'!B41)</f>
        <v>11618423</v>
      </c>
      <c r="F41" s="353">
        <f>E41/'- 3 -'!D41*100</f>
        <v>20.446485139063153</v>
      </c>
      <c r="G41" s="352">
        <f>E41/'- 7 -'!F41</f>
        <v>2579.8652159431554</v>
      </c>
      <c r="H41" s="352">
        <f>SUM('- 24 -'!D41,'- 24 -'!B41)</f>
        <v>975869</v>
      </c>
      <c r="I41" s="353">
        <f>H41/'- 3 -'!D41*100</f>
        <v>1.7173665484698242</v>
      </c>
    </row>
    <row r="42" spans="1:10" ht="14.1" customHeight="1">
      <c r="A42" s="23" t="s">
        <v>254</v>
      </c>
      <c r="B42" s="24">
        <f>SUM('- 18 -'!B42,'- 18 -'!E42,'- 19 -'!B42,'- 19 -'!E42,'- 19 -'!H42,'- 20 -'!B42)</f>
        <v>10838611</v>
      </c>
      <c r="C42" s="344">
        <f>B42/'- 3 -'!D42*100</f>
        <v>54.484415862265045</v>
      </c>
      <c r="D42" s="24">
        <f>B42/'- 7 -'!C42</f>
        <v>7433.8895747599454</v>
      </c>
      <c r="E42" s="24">
        <f>SUM('- 21 -'!B42,'- 21 -'!E42,'- 21 -'!H42,'- 22 -'!B42,'- 22 -'!D42,'- 22 -'!G42,'- 23 -'!B42)</f>
        <v>3637694</v>
      </c>
      <c r="F42" s="344">
        <f>E42/'- 3 -'!D42*100</f>
        <v>18.286257591094135</v>
      </c>
      <c r="G42" s="24">
        <f>E42/'- 7 -'!F42</f>
        <v>2494.9890260631</v>
      </c>
      <c r="H42" s="24">
        <f>SUM('- 24 -'!D42,'- 24 -'!B42)</f>
        <v>0</v>
      </c>
      <c r="I42" s="344">
        <f>H42/'- 3 -'!D42*100</f>
        <v>0</v>
      </c>
    </row>
    <row r="43" spans="1:10" ht="14.1" customHeight="1">
      <c r="A43" s="351" t="s">
        <v>255</v>
      </c>
      <c r="B43" s="352">
        <f>SUM('- 18 -'!B43,'- 18 -'!E43,'- 19 -'!B43,'- 19 -'!E43,'- 19 -'!H43,'- 20 -'!B43)</f>
        <v>6157109</v>
      </c>
      <c r="C43" s="353">
        <f>B43/'- 3 -'!D43*100</f>
        <v>52.106713201078684</v>
      </c>
      <c r="D43" s="352">
        <f>B43/'- 7 -'!C43</f>
        <v>6487.1423679704994</v>
      </c>
      <c r="E43" s="352">
        <f>SUM('- 21 -'!B43,'- 21 -'!E43,'- 21 -'!H43,'- 22 -'!B43,'- 22 -'!D43,'- 22 -'!G43,'- 23 -'!B43)</f>
        <v>2159349</v>
      </c>
      <c r="F43" s="353">
        <f>E43/'- 3 -'!D43*100</f>
        <v>18.274254856302857</v>
      </c>
      <c r="G43" s="352">
        <f>E43/'- 7 -'!F43</f>
        <v>2275.0944290794155</v>
      </c>
      <c r="H43" s="352">
        <f>SUM('- 24 -'!D43,'- 24 -'!B43)</f>
        <v>239947</v>
      </c>
      <c r="I43" s="353">
        <f>H43/'- 3 -'!D43*100</f>
        <v>2.0306363769845919</v>
      </c>
    </row>
    <row r="44" spans="1:10" ht="14.1" customHeight="1">
      <c r="A44" s="23" t="s">
        <v>256</v>
      </c>
      <c r="B44" s="24">
        <f>SUM('- 18 -'!B44,'- 18 -'!E44,'- 19 -'!B44,'- 19 -'!E44,'- 19 -'!H44,'- 20 -'!B44)</f>
        <v>5427930</v>
      </c>
      <c r="C44" s="344">
        <f>B44/'- 3 -'!D44*100</f>
        <v>53.983373940731695</v>
      </c>
      <c r="D44" s="24">
        <f>B44/'- 7 -'!C44</f>
        <v>7256.590909090909</v>
      </c>
      <c r="E44" s="24">
        <f>SUM('- 21 -'!B44,'- 21 -'!E44,'- 21 -'!H44,'- 22 -'!B44,'- 22 -'!D44,'- 22 -'!G44,'- 23 -'!B44)</f>
        <v>1774859</v>
      </c>
      <c r="F44" s="344">
        <f>E44/'- 3 -'!D44*100</f>
        <v>17.651826219032507</v>
      </c>
      <c r="G44" s="24">
        <f>E44/'- 7 -'!F44</f>
        <v>2372.8061497326203</v>
      </c>
      <c r="H44" s="24">
        <f>SUM('- 24 -'!D44,'- 24 -'!B44)</f>
        <v>0</v>
      </c>
      <c r="I44" s="344">
        <f>H44/'- 3 -'!D44*100</f>
        <v>0</v>
      </c>
    </row>
    <row r="45" spans="1:10" ht="14.1" customHeight="1">
      <c r="A45" s="351" t="s">
        <v>257</v>
      </c>
      <c r="B45" s="352">
        <f>SUM('- 18 -'!B45,'- 18 -'!E45,'- 19 -'!B45,'- 19 -'!E45,'- 19 -'!H45,'- 20 -'!B45)</f>
        <v>9577883</v>
      </c>
      <c r="C45" s="353">
        <f>B45/'- 3 -'!D45*100</f>
        <v>58.503557472659416</v>
      </c>
      <c r="D45" s="352">
        <f>B45/'- 7 -'!C45</f>
        <v>5764.600060186578</v>
      </c>
      <c r="E45" s="352">
        <f>SUM('- 21 -'!B45,'- 21 -'!E45,'- 21 -'!H45,'- 22 -'!B45,'- 22 -'!D45,'- 22 -'!G45,'- 23 -'!B45)</f>
        <v>2627350</v>
      </c>
      <c r="F45" s="353">
        <f>E45/'- 3 -'!D45*100</f>
        <v>16.048360762581016</v>
      </c>
      <c r="G45" s="352">
        <f>E45/'- 7 -'!F45</f>
        <v>1581.3120674089678</v>
      </c>
      <c r="H45" s="352">
        <f>SUM('- 24 -'!D45,'- 24 -'!B45)</f>
        <v>368300</v>
      </c>
      <c r="I45" s="353">
        <f>H45/'- 3 -'!D45*100</f>
        <v>2.2496474656435526</v>
      </c>
    </row>
    <row r="46" spans="1:10" ht="14.1" customHeight="1">
      <c r="A46" s="23" t="s">
        <v>258</v>
      </c>
      <c r="B46" s="24">
        <f>SUM('- 18 -'!B46,'- 18 -'!E46,'- 19 -'!B46,'- 19 -'!E46,'- 19 -'!H46,'- 20 -'!B46)</f>
        <v>183022900</v>
      </c>
      <c r="C46" s="344">
        <f>B46/'- 3 -'!D46*100</f>
        <v>51.904471421939348</v>
      </c>
      <c r="D46" s="24">
        <f>B46/'- 7 -'!C46</f>
        <v>6006.2647676555525</v>
      </c>
      <c r="E46" s="24">
        <f>SUM('- 21 -'!B46,'- 21 -'!E46,'- 21 -'!H46,'- 22 -'!B46,'- 22 -'!D46,'- 22 -'!G46,'- 23 -'!B46)</f>
        <v>83969500</v>
      </c>
      <c r="F46" s="344">
        <f>E46/'- 3 -'!D46*100</f>
        <v>23.813372605638616</v>
      </c>
      <c r="G46" s="24">
        <f>E46/'- 7 -'!F46</f>
        <v>2755.6281176161724</v>
      </c>
      <c r="H46" s="24">
        <f>SUM('- 24 -'!D46,'- 24 -'!B46)</f>
        <v>761100</v>
      </c>
      <c r="I46" s="344">
        <f>H46/'- 3 -'!D46*100</f>
        <v>0.21584453748267587</v>
      </c>
    </row>
    <row r="47" spans="1:10" ht="5.0999999999999996" customHeight="1">
      <c r="A47"/>
      <c r="B47"/>
      <c r="C47"/>
      <c r="D47"/>
      <c r="E47"/>
      <c r="F47"/>
      <c r="G47"/>
      <c r="H47"/>
      <c r="I47"/>
      <c r="J47"/>
    </row>
    <row r="48" spans="1:10" ht="14.1" customHeight="1">
      <c r="A48" s="354" t="s">
        <v>259</v>
      </c>
      <c r="B48" s="355">
        <f>SUM(B11:B46)</f>
        <v>1107640778</v>
      </c>
      <c r="C48" s="356">
        <f>B48/'- 3 -'!D48*100</f>
        <v>55.139243167774474</v>
      </c>
      <c r="D48" s="355">
        <f>B48/'- 7 -'!C48</f>
        <v>6407.6712087858677</v>
      </c>
      <c r="E48" s="355">
        <f>SUM(E11:E46)</f>
        <v>379500940</v>
      </c>
      <c r="F48" s="356">
        <f>E48/'- 3 -'!D48*100</f>
        <v>18.891860094608209</v>
      </c>
      <c r="G48" s="355">
        <f>E48/'- 7 -'!F48</f>
        <v>2195.402422196823</v>
      </c>
      <c r="H48" s="355">
        <f>SUM(H11:H46)</f>
        <v>7160513</v>
      </c>
      <c r="I48" s="356">
        <f>H48/'- 3 -'!D48*100</f>
        <v>0.35645605990231094</v>
      </c>
    </row>
    <row r="49" spans="1:9" ht="5.0999999999999996" customHeight="1">
      <c r="A49" s="25" t="s">
        <v>3</v>
      </c>
      <c r="B49" s="26"/>
      <c r="C49" s="343"/>
      <c r="D49" s="26"/>
      <c r="E49" s="26"/>
      <c r="F49" s="343"/>
      <c r="H49" s="26"/>
      <c r="I49" s="343"/>
    </row>
    <row r="50" spans="1:9" ht="14.1" customHeight="1">
      <c r="A50" s="23" t="s">
        <v>260</v>
      </c>
      <c r="B50" s="24">
        <f>SUM('- 18 -'!B50,'- 18 -'!E50,'- 19 -'!B50,'- 19 -'!E50,'- 19 -'!H50,'- 20 -'!B50)</f>
        <v>1805569</v>
      </c>
      <c r="C50" s="344">
        <f>B50/'- 3 -'!D50*100</f>
        <v>55.916847964942974</v>
      </c>
      <c r="D50" s="24">
        <f>B50/'- 7 -'!C50</f>
        <v>9975.5193370165744</v>
      </c>
      <c r="E50" s="24">
        <f>SUM('- 21 -'!B50,'- 21 -'!E50,'- 21 -'!H50,'- 22 -'!B50,'- 22 -'!D50,'- 22 -'!G50,'- 23 -'!B50)</f>
        <v>520500</v>
      </c>
      <c r="F50" s="344">
        <f>E50/'- 3 -'!D50*100</f>
        <v>16.119416851836078</v>
      </c>
      <c r="G50" s="24">
        <f>E50/'- 7 -'!F50</f>
        <v>2875.6906077348067</v>
      </c>
      <c r="H50" s="24">
        <f>SUM('- 24 -'!D50,'- 24 -'!B50)</f>
        <v>0</v>
      </c>
      <c r="I50" s="344">
        <f>H50/'- 3 -'!D50*100</f>
        <v>0</v>
      </c>
    </row>
    <row r="51" spans="1:9" ht="14.1" customHeight="1">
      <c r="A51" s="351" t="s">
        <v>261</v>
      </c>
      <c r="B51" s="352">
        <f>SUM('- 18 -'!B51,'- 18 -'!E51,'- 19 -'!B51,'- 19 -'!E51,'- 19 -'!H51,'- 20 -'!B51)</f>
        <v>4856916</v>
      </c>
      <c r="C51" s="353">
        <f>B51/'- 3 -'!D51*100</f>
        <v>27.53798657946437</v>
      </c>
      <c r="D51" s="352">
        <f>B51/'- 7 -'!C51</f>
        <v>7821.1207729468597</v>
      </c>
      <c r="E51" s="352">
        <f>SUM('- 21 -'!B51,'- 21 -'!E51,'- 21 -'!H51,'- 22 -'!B51,'- 22 -'!D51,'- 22 -'!G51,'- 23 -'!B51)</f>
        <v>872843</v>
      </c>
      <c r="F51" s="353">
        <f>E51/'- 3 -'!D51*100</f>
        <v>4.9488891345824015</v>
      </c>
      <c r="G51" s="352">
        <f>E51/'- 7 -'!F51</f>
        <v>1405.5442834138487</v>
      </c>
      <c r="H51" s="352">
        <f>SUM('- 24 -'!D51,'- 24 -'!B51)</f>
        <v>2375714</v>
      </c>
      <c r="I51" s="353">
        <f>H51/'- 3 -'!D51*100</f>
        <v>13.469942706162843</v>
      </c>
    </row>
    <row r="52" spans="1:9" ht="50.1" customHeight="1">
      <c r="A52"/>
      <c r="B52"/>
      <c r="C52"/>
      <c r="D52"/>
      <c r="E52"/>
      <c r="F52"/>
      <c r="G52"/>
      <c r="H52"/>
      <c r="I52"/>
    </row>
    <row r="53" spans="1:9" ht="15" customHeight="1">
      <c r="A53" s="595"/>
      <c r="B53" s="595"/>
      <c r="C53" s="595"/>
      <c r="D53" s="595"/>
      <c r="E53" s="595"/>
      <c r="F53" s="595"/>
      <c r="G53" s="595"/>
      <c r="H53" s="595"/>
      <c r="I53" s="595"/>
    </row>
    <row r="54" spans="1:9" ht="14.45" customHeight="1">
      <c r="B54" s="91"/>
      <c r="C54" s="91"/>
      <c r="E54" s="91"/>
      <c r="F54" s="91"/>
      <c r="H54" s="91"/>
      <c r="I54" s="91"/>
    </row>
    <row r="55" spans="1:9" ht="14.45" customHeight="1"/>
    <row r="56" spans="1:9" ht="14.45" customHeight="1"/>
    <row r="57" spans="1:9" ht="14.45" customHeight="1"/>
    <row r="58" spans="1:9" ht="14.45" customHeight="1"/>
    <row r="59" spans="1:9" ht="14.45" customHeight="1"/>
  </sheetData>
  <phoneticPr fontId="0" type="noConversion"/>
  <printOptions horizontalCentered="1"/>
  <pageMargins left="0.51181102362204722" right="0.51181102362204722" top="0.59055118110236227" bottom="0" header="0.31496062992125984" footer="0"/>
  <pageSetup scale="92" firstPageNumber="14" orientation="portrait" r:id="rId1"/>
  <headerFooter alignWithMargins="0">
    <oddHeader>&amp;C&amp;"Arial,Bold"&amp;10&amp;A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J59"/>
  <sheetViews>
    <sheetView showGridLines="0" showZeros="0" workbookViewId="0"/>
  </sheetViews>
  <sheetFormatPr defaultColWidth="15.83203125" defaultRowHeight="12"/>
  <cols>
    <col min="1" max="1" width="30" style="1" customWidth="1"/>
    <col min="2" max="2" width="16.1640625" style="1" customWidth="1"/>
    <col min="3" max="3" width="10.1640625" style="1" customWidth="1"/>
    <col min="4" max="4" width="16.33203125" style="1" customWidth="1"/>
    <col min="5" max="5" width="8.83203125" style="1" customWidth="1"/>
    <col min="6" max="6" width="9.83203125" style="1" customWidth="1"/>
    <col min="7" max="7" width="12" style="1" bestFit="1" customWidth="1"/>
    <col min="8" max="8" width="8.83203125" style="1" customWidth="1"/>
    <col min="9" max="9" width="9.83203125" style="1" customWidth="1"/>
    <col min="10" max="16384" width="15.83203125" style="1"/>
  </cols>
  <sheetData>
    <row r="1" spans="1:9" ht="6.95" customHeight="1">
      <c r="A1" s="3"/>
      <c r="B1" s="4"/>
      <c r="C1" s="4"/>
      <c r="D1" s="4"/>
      <c r="E1" s="4"/>
      <c r="F1" s="4"/>
      <c r="G1" s="4"/>
      <c r="H1" s="4"/>
      <c r="I1" s="4"/>
    </row>
    <row r="2" spans="1:9" ht="15.95" customHeight="1">
      <c r="A2" s="160"/>
      <c r="B2" s="5" t="s">
        <v>441</v>
      </c>
      <c r="C2" s="6"/>
      <c r="D2" s="6"/>
      <c r="E2" s="6"/>
      <c r="F2" s="6"/>
      <c r="G2" s="105"/>
      <c r="H2" s="116"/>
      <c r="I2" s="183" t="s">
        <v>4</v>
      </c>
    </row>
    <row r="3" spans="1:9" ht="15.95" customHeight="1">
      <c r="A3" s="163"/>
      <c r="B3" s="7" t="str">
        <f>OPYEAR</f>
        <v>OPERATING FUND 2012/2013 BUDGET</v>
      </c>
      <c r="C3" s="8"/>
      <c r="D3" s="8"/>
      <c r="E3" s="8"/>
      <c r="F3" s="8"/>
      <c r="G3" s="107"/>
      <c r="H3" s="100"/>
      <c r="I3" s="100"/>
    </row>
    <row r="4" spans="1:9" ht="15.95" customHeight="1">
      <c r="B4" s="4"/>
      <c r="C4" s="4"/>
      <c r="D4" s="4"/>
      <c r="E4" s="4"/>
      <c r="F4" s="4"/>
      <c r="G4" s="4"/>
      <c r="H4" s="4"/>
      <c r="I4" s="4"/>
    </row>
    <row r="5" spans="1:9" ht="15.95" customHeight="1">
      <c r="B5" s="4"/>
      <c r="C5" s="4"/>
      <c r="D5" s="4"/>
      <c r="E5" s="4"/>
      <c r="F5" s="4"/>
      <c r="G5" s="4"/>
      <c r="H5" s="4"/>
      <c r="I5" s="4"/>
    </row>
    <row r="6" spans="1:9" ht="15.95" customHeight="1">
      <c r="B6" s="345" t="s">
        <v>50</v>
      </c>
      <c r="C6" s="346"/>
      <c r="D6" s="345" t="s">
        <v>175</v>
      </c>
      <c r="E6" s="346"/>
      <c r="F6" s="347"/>
      <c r="G6" s="345" t="s">
        <v>423</v>
      </c>
      <c r="H6" s="346"/>
      <c r="I6" s="347"/>
    </row>
    <row r="7" spans="1:9" ht="15.95" customHeight="1">
      <c r="B7" s="348" t="s">
        <v>204</v>
      </c>
      <c r="C7" s="349"/>
      <c r="D7" s="348" t="s">
        <v>30</v>
      </c>
      <c r="E7" s="349"/>
      <c r="F7" s="350"/>
      <c r="G7" s="348" t="s">
        <v>36</v>
      </c>
      <c r="H7" s="349"/>
      <c r="I7" s="350"/>
    </row>
    <row r="8" spans="1:9" ht="15.95" customHeight="1">
      <c r="A8" s="101"/>
      <c r="B8" s="10" t="s">
        <v>3</v>
      </c>
      <c r="C8" s="234"/>
      <c r="D8" s="169"/>
      <c r="E8" s="168"/>
      <c r="F8" s="168" t="s">
        <v>59</v>
      </c>
      <c r="G8" s="169"/>
      <c r="H8" s="168"/>
      <c r="I8" s="168" t="s">
        <v>59</v>
      </c>
    </row>
    <row r="9" spans="1:9" ht="15.95" customHeight="1">
      <c r="A9" s="35" t="s">
        <v>79</v>
      </c>
      <c r="B9" s="112" t="s">
        <v>80</v>
      </c>
      <c r="C9" s="112" t="s">
        <v>81</v>
      </c>
      <c r="D9" s="112" t="s">
        <v>80</v>
      </c>
      <c r="E9" s="112" t="s">
        <v>81</v>
      </c>
      <c r="F9" s="112" t="s">
        <v>82</v>
      </c>
      <c r="G9" s="112" t="s">
        <v>80</v>
      </c>
      <c r="H9" s="112" t="s">
        <v>81</v>
      </c>
      <c r="I9" s="112" t="s">
        <v>82</v>
      </c>
    </row>
    <row r="10" spans="1:9" ht="5.0999999999999996" customHeight="1">
      <c r="A10" s="37"/>
    </row>
    <row r="11" spans="1:9" ht="14.1" customHeight="1">
      <c r="A11" s="351" t="s">
        <v>224</v>
      </c>
      <c r="B11" s="352">
        <f>SUM('- 25 -'!H11,'- 25 -'!F11,'- 25 -'!D11,'- 25 -'!B11)</f>
        <v>18870</v>
      </c>
      <c r="C11" s="353">
        <f>B11/'- 3 -'!D11*100</f>
        <v>0.11894436404161225</v>
      </c>
      <c r="D11" s="352">
        <f>SUM('- 26 -'!B11,'- 26 -'!E11,'- 26 -'!H11,'- 27 -'!B11)</f>
        <v>580950</v>
      </c>
      <c r="E11" s="353">
        <f>D11/'- 3 -'!D11*100</f>
        <v>3.661935786432148</v>
      </c>
      <c r="F11" s="352">
        <f>D11/'- 7 -'!F11</f>
        <v>392.79918864097363</v>
      </c>
      <c r="G11" s="352">
        <f>SUM('- 28 -'!B11,'- 28 -'!E11,'- 28 -'!H11,'- 29 -'!B11,'- 29 -'!E11)</f>
        <v>358426</v>
      </c>
      <c r="H11" s="353">
        <f>G11/'- 3 -'!D11*100</f>
        <v>2.2592873675664498</v>
      </c>
      <c r="I11" s="352">
        <f>G11/'- 7 -'!F11</f>
        <v>242.34347532116294</v>
      </c>
    </row>
    <row r="12" spans="1:9" ht="14.1" customHeight="1">
      <c r="A12" s="23" t="s">
        <v>225</v>
      </c>
      <c r="B12" s="24">
        <f>SUM('- 25 -'!H12,'- 25 -'!F12,'- 25 -'!D12,'- 25 -'!B12)</f>
        <v>56748</v>
      </c>
      <c r="C12" s="344">
        <f>B12/'- 3 -'!D12*100</f>
        <v>0.18915045420707768</v>
      </c>
      <c r="D12" s="24">
        <f>SUM('- 26 -'!B12,'- 26 -'!E12,'- 26 -'!H12,'- 27 -'!B12)</f>
        <v>974222</v>
      </c>
      <c r="E12" s="344">
        <f>D12/'- 3 -'!D12*100</f>
        <v>3.2472427891472408</v>
      </c>
      <c r="F12" s="24">
        <f>D12/'- 7 -'!F12</f>
        <v>421.77399104692137</v>
      </c>
      <c r="G12" s="24">
        <f>SUM('- 28 -'!B12,'- 28 -'!E12,'- 28 -'!H12,'- 29 -'!B12,'- 29 -'!E12)</f>
        <v>845626</v>
      </c>
      <c r="H12" s="344">
        <f>G12/'- 3 -'!D12*100</f>
        <v>2.8186110874271213</v>
      </c>
      <c r="I12" s="24">
        <f>G12/'- 7 -'!F12</f>
        <v>366.10038877488284</v>
      </c>
    </row>
    <row r="13" spans="1:9" ht="14.1" customHeight="1">
      <c r="A13" s="351" t="s">
        <v>226</v>
      </c>
      <c r="B13" s="352">
        <f>SUM('- 25 -'!H13,'- 25 -'!F13,'- 25 -'!D13,'- 25 -'!B13)</f>
        <v>255600</v>
      </c>
      <c r="C13" s="353">
        <f>B13/'- 3 -'!D13*100</f>
        <v>0.32607946847515751</v>
      </c>
      <c r="D13" s="352">
        <f>SUM('- 26 -'!B13,'- 26 -'!E13,'- 26 -'!H13,'- 27 -'!B13)</f>
        <v>2386700</v>
      </c>
      <c r="E13" s="353">
        <f>D13/'- 3 -'!D13*100</f>
        <v>3.0448116878312144</v>
      </c>
      <c r="F13" s="352">
        <f>D13/'- 7 -'!F13</f>
        <v>308.83799171842651</v>
      </c>
      <c r="G13" s="352">
        <f>SUM('- 28 -'!B13,'- 28 -'!E13,'- 28 -'!H13,'- 29 -'!B13,'- 29 -'!E13)</f>
        <v>2194900</v>
      </c>
      <c r="H13" s="353">
        <f>G13/'- 3 -'!D13*100</f>
        <v>2.8001245123478999</v>
      </c>
      <c r="I13" s="352">
        <f>G13/'- 7 -'!F13</f>
        <v>284.01915113871638</v>
      </c>
    </row>
    <row r="14" spans="1:9" ht="14.1" customHeight="1">
      <c r="A14" s="23" t="s">
        <v>524</v>
      </c>
      <c r="B14" s="24">
        <f>SUM('- 25 -'!H14,'- 25 -'!F14,'- 25 -'!D14,'- 25 -'!B14)</f>
        <v>713083</v>
      </c>
      <c r="C14" s="344">
        <f>B14/'- 3 -'!D14*100</f>
        <v>0.99786751286431064</v>
      </c>
      <c r="D14" s="24">
        <f>SUM('- 26 -'!B14,'- 26 -'!E14,'- 26 -'!H14,'- 27 -'!B14)</f>
        <v>2791420</v>
      </c>
      <c r="E14" s="344">
        <f>D14/'- 3 -'!D14*100</f>
        <v>3.9062315785956105</v>
      </c>
      <c r="F14" s="24">
        <f>D14/'- 7 -'!F14</f>
        <v>553.85317460317458</v>
      </c>
      <c r="G14" s="24">
        <f>SUM('- 28 -'!B14,'- 28 -'!E14,'- 28 -'!H14,'- 29 -'!B14,'- 29 -'!E14)</f>
        <v>2595534</v>
      </c>
      <c r="H14" s="344">
        <f>G14/'- 3 -'!D14*100</f>
        <v>3.6321144342730873</v>
      </c>
      <c r="I14" s="24">
        <f>G14/'- 7 -'!F14</f>
        <v>514.98690476190473</v>
      </c>
    </row>
    <row r="15" spans="1:9" ht="14.1" customHeight="1">
      <c r="A15" s="351" t="s">
        <v>227</v>
      </c>
      <c r="B15" s="352">
        <f>SUM('- 25 -'!H15,'- 25 -'!F15,'- 25 -'!D15,'- 25 -'!B15)</f>
        <v>45000</v>
      </c>
      <c r="C15" s="353">
        <f>B15/'- 3 -'!D15*100</f>
        <v>0.24057374593049458</v>
      </c>
      <c r="D15" s="352">
        <f>SUM('- 26 -'!B15,'- 26 -'!E15,'- 26 -'!H15,'- 27 -'!B15)</f>
        <v>748150</v>
      </c>
      <c r="E15" s="353">
        <f>D15/'- 3 -'!D15*100</f>
        <v>3.9996721781755449</v>
      </c>
      <c r="F15" s="352">
        <f>D15/'- 7 -'!F15</f>
        <v>500.76974564926371</v>
      </c>
      <c r="G15" s="352">
        <f>SUM('- 28 -'!B15,'- 28 -'!E15,'- 28 -'!H15,'- 29 -'!B15,'- 29 -'!E15)</f>
        <v>533720</v>
      </c>
      <c r="H15" s="353">
        <f>G15/'- 3 -'!D15*100</f>
        <v>2.8533115484005238</v>
      </c>
      <c r="I15" s="352">
        <f>G15/'- 7 -'!F15</f>
        <v>357.24230254350738</v>
      </c>
    </row>
    <row r="16" spans="1:9" ht="14.1" customHeight="1">
      <c r="A16" s="23" t="s">
        <v>228</v>
      </c>
      <c r="B16" s="24">
        <f>SUM('- 25 -'!H16,'- 25 -'!F16,'- 25 -'!D16,'- 25 -'!B16)</f>
        <v>13500</v>
      </c>
      <c r="C16" s="344">
        <f>B16/'- 3 -'!D16*100</f>
        <v>0.1066620988952019</v>
      </c>
      <c r="D16" s="24">
        <f>SUM('- 26 -'!B16,'- 26 -'!E16,'- 26 -'!H16,'- 27 -'!B16)</f>
        <v>651772</v>
      </c>
      <c r="E16" s="344">
        <f>D16/'- 3 -'!D16*100</f>
        <v>5.1495829274906315</v>
      </c>
      <c r="F16" s="24">
        <f>D16/'- 7 -'!F16</f>
        <v>658.68822637695803</v>
      </c>
      <c r="G16" s="24">
        <f>SUM('- 28 -'!B16,'- 28 -'!E16,'- 28 -'!H16,'- 29 -'!B16,'- 29 -'!E16)</f>
        <v>375152</v>
      </c>
      <c r="H16" s="344">
        <f>G16/'- 3 -'!D16*100</f>
        <v>2.9640370166468721</v>
      </c>
      <c r="I16" s="24">
        <f>G16/'- 7 -'!F16</f>
        <v>379.13289540171803</v>
      </c>
    </row>
    <row r="17" spans="1:9" ht="14.1" customHeight="1">
      <c r="A17" s="351" t="s">
        <v>229</v>
      </c>
      <c r="B17" s="352">
        <f>SUM('- 25 -'!H17,'- 25 -'!F17,'- 25 -'!D17,'- 25 -'!B17)</f>
        <v>225600</v>
      </c>
      <c r="C17" s="353">
        <f>B17/'- 3 -'!D17*100</f>
        <v>1.3840268334337202</v>
      </c>
      <c r="D17" s="352">
        <f>SUM('- 26 -'!B17,'- 26 -'!E17,'- 26 -'!H17,'- 27 -'!B17)</f>
        <v>702840</v>
      </c>
      <c r="E17" s="353">
        <f>D17/'- 3 -'!D17*100</f>
        <v>4.3118325337347336</v>
      </c>
      <c r="F17" s="352">
        <f>D17/'- 7 -'!F17</f>
        <v>546.74445740956821</v>
      </c>
      <c r="G17" s="352">
        <f>SUM('- 28 -'!B17,'- 28 -'!E17,'- 28 -'!H17,'- 29 -'!B17,'- 29 -'!E17)</f>
        <v>414197</v>
      </c>
      <c r="H17" s="353">
        <f>G17/'- 3 -'!D17*100</f>
        <v>2.5410450457790188</v>
      </c>
      <c r="I17" s="352">
        <f>G17/'- 7 -'!F17</f>
        <v>322.20692337611825</v>
      </c>
    </row>
    <row r="18" spans="1:9" ht="14.1" customHeight="1">
      <c r="A18" s="23" t="s">
        <v>230</v>
      </c>
      <c r="B18" s="24">
        <f>SUM('- 25 -'!H18,'- 25 -'!F18,'- 25 -'!D18,'- 25 -'!B18)</f>
        <v>2528982</v>
      </c>
      <c r="C18" s="344">
        <f>B18/'- 3 -'!D18*100</f>
        <v>2.1959472528152677</v>
      </c>
      <c r="D18" s="24">
        <f>SUM('- 26 -'!B18,'- 26 -'!E18,'- 26 -'!H18,'- 27 -'!B18)</f>
        <v>6166490</v>
      </c>
      <c r="E18" s="344">
        <f>D18/'- 3 -'!D18*100</f>
        <v>5.3544417378268481</v>
      </c>
      <c r="F18" s="24">
        <f>D18/'- 7 -'!F18</f>
        <v>975.17039614137741</v>
      </c>
      <c r="G18" s="24">
        <f>SUM('- 28 -'!B18,'- 28 -'!E18,'- 28 -'!H18,'- 29 -'!B18,'- 29 -'!E18)</f>
        <v>6415414</v>
      </c>
      <c r="H18" s="344">
        <f>G18/'- 3 -'!D18*100</f>
        <v>5.5705856146752355</v>
      </c>
      <c r="I18" s="24">
        <f>G18/'- 7 -'!F18</f>
        <v>1014.5353048153712</v>
      </c>
    </row>
    <row r="19" spans="1:9" ht="14.1" customHeight="1">
      <c r="A19" s="351" t="s">
        <v>231</v>
      </c>
      <c r="B19" s="352">
        <f>SUM('- 25 -'!H19,'- 25 -'!F19,'- 25 -'!D19,'- 25 -'!B19)</f>
        <v>84700</v>
      </c>
      <c r="C19" s="353">
        <f>B19/'- 3 -'!D19*100</f>
        <v>0.2166731664353056</v>
      </c>
      <c r="D19" s="352">
        <f>SUM('- 26 -'!B19,'- 26 -'!E19,'- 26 -'!H19,'- 27 -'!B19)</f>
        <v>1330020</v>
      </c>
      <c r="E19" s="353">
        <f>D19/'- 3 -'!D19*100</f>
        <v>3.4023570817270974</v>
      </c>
      <c r="F19" s="352">
        <f>D19/'- 7 -'!F19</f>
        <v>315.6942796107287</v>
      </c>
      <c r="G19" s="352">
        <f>SUM('- 28 -'!B19,'- 28 -'!E19,'- 28 -'!H19,'- 29 -'!B19,'- 29 -'!E19)</f>
        <v>1034090</v>
      </c>
      <c r="H19" s="353">
        <f>G19/'- 3 -'!D19*100</f>
        <v>2.6453312240742051</v>
      </c>
      <c r="I19" s="352">
        <f>G19/'- 7 -'!F19</f>
        <v>245.45217184903868</v>
      </c>
    </row>
    <row r="20" spans="1:9" ht="14.1" customHeight="1">
      <c r="A20" s="23" t="s">
        <v>232</v>
      </c>
      <c r="B20" s="24">
        <f>SUM('- 25 -'!H20,'- 25 -'!F20,'- 25 -'!D20,'- 25 -'!B20)</f>
        <v>125700</v>
      </c>
      <c r="C20" s="344">
        <f>B20/'- 3 -'!D20*100</f>
        <v>0.18575714137936131</v>
      </c>
      <c r="D20" s="24">
        <f>SUM('- 26 -'!B20,'- 26 -'!E20,'- 26 -'!H20,'- 27 -'!B20)</f>
        <v>1973300</v>
      </c>
      <c r="E20" s="344">
        <f>D20/'- 3 -'!D20*100</f>
        <v>2.9161063411606496</v>
      </c>
      <c r="F20" s="24">
        <f>D20/'- 7 -'!F20</f>
        <v>265.76430976430976</v>
      </c>
      <c r="G20" s="24">
        <f>SUM('- 28 -'!B20,'- 28 -'!E20,'- 28 -'!H20,'- 29 -'!B20,'- 29 -'!E20)</f>
        <v>2194100</v>
      </c>
      <c r="H20" s="344">
        <f>G20/'- 3 -'!D20*100</f>
        <v>3.2424005083568548</v>
      </c>
      <c r="I20" s="24">
        <f>G20/'- 7 -'!F20</f>
        <v>295.50168350168349</v>
      </c>
    </row>
    <row r="21" spans="1:9" ht="14.1" customHeight="1">
      <c r="A21" s="351" t="s">
        <v>233</v>
      </c>
      <c r="B21" s="352">
        <f>SUM('- 25 -'!H21,'- 25 -'!F21,'- 25 -'!D21,'- 25 -'!B21)</f>
        <v>200500</v>
      </c>
      <c r="C21" s="353">
        <f>B21/'- 3 -'!D21*100</f>
        <v>0.61590238454057367</v>
      </c>
      <c r="D21" s="352">
        <f>SUM('- 26 -'!B21,'- 26 -'!E21,'- 26 -'!H21,'- 27 -'!B21)</f>
        <v>1230600</v>
      </c>
      <c r="E21" s="353">
        <f>D21/'- 3 -'!D21*100</f>
        <v>3.7801968798784538</v>
      </c>
      <c r="F21" s="352">
        <f>D21/'- 7 -'!F21</f>
        <v>441.07526881720429</v>
      </c>
      <c r="G21" s="352">
        <f>SUM('- 28 -'!B21,'- 28 -'!E21,'- 28 -'!H21,'- 29 -'!B21,'- 29 -'!E21)</f>
        <v>1397500</v>
      </c>
      <c r="H21" s="353">
        <f>G21/'- 3 -'!D21*100</f>
        <v>4.2928856977329257</v>
      </c>
      <c r="I21" s="352">
        <f>G21/'- 7 -'!F21</f>
        <v>500.89605734767025</v>
      </c>
    </row>
    <row r="22" spans="1:9" ht="14.1" customHeight="1">
      <c r="A22" s="23" t="s">
        <v>234</v>
      </c>
      <c r="B22" s="24">
        <f>SUM('- 25 -'!H22,'- 25 -'!F22,'- 25 -'!D22,'- 25 -'!B22)</f>
        <v>76450</v>
      </c>
      <c r="C22" s="344">
        <f>B22/'- 3 -'!D22*100</f>
        <v>0.40186746153544911</v>
      </c>
      <c r="D22" s="24">
        <f>SUM('- 26 -'!B22,'- 26 -'!E22,'- 26 -'!H22,'- 27 -'!B22)</f>
        <v>732560</v>
      </c>
      <c r="E22" s="344">
        <f>D22/'- 3 -'!D22*100</f>
        <v>3.8507786477751287</v>
      </c>
      <c r="F22" s="24">
        <f>D22/'- 7 -'!F22</f>
        <v>453.73799938061319</v>
      </c>
      <c r="G22" s="24">
        <f>SUM('- 28 -'!B22,'- 28 -'!E22,'- 28 -'!H22,'- 29 -'!B22,'- 29 -'!E22)</f>
        <v>504300</v>
      </c>
      <c r="H22" s="344">
        <f>G22/'- 3 -'!D22*100</f>
        <v>2.6509059627511702</v>
      </c>
      <c r="I22" s="24">
        <f>G22/'- 7 -'!F22</f>
        <v>312.35676680086715</v>
      </c>
    </row>
    <row r="23" spans="1:9" ht="14.1" customHeight="1">
      <c r="A23" s="351" t="s">
        <v>235</v>
      </c>
      <c r="B23" s="352">
        <f>SUM('- 25 -'!H23,'- 25 -'!F23,'- 25 -'!D23,'- 25 -'!B23)</f>
        <v>275000</v>
      </c>
      <c r="C23" s="353">
        <f>B23/'- 3 -'!D23*100</f>
        <v>1.7665597309176218</v>
      </c>
      <c r="D23" s="352">
        <f>SUM('- 26 -'!B23,'- 26 -'!E23,'- 26 -'!H23,'- 27 -'!B23)</f>
        <v>552600</v>
      </c>
      <c r="E23" s="353">
        <f>D23/'- 3 -'!D23*100</f>
        <v>3.5498214811093742</v>
      </c>
      <c r="F23" s="352">
        <f>D23/'- 7 -'!F23</f>
        <v>462.23337515683812</v>
      </c>
      <c r="G23" s="352">
        <f>SUM('- 28 -'!B23,'- 28 -'!E23,'- 28 -'!H23,'- 29 -'!B23,'- 29 -'!E23)</f>
        <v>372800</v>
      </c>
      <c r="H23" s="353">
        <f>G23/'- 3 -'!D23*100</f>
        <v>2.3948126097675977</v>
      </c>
      <c r="I23" s="352">
        <f>G23/'- 7 -'!F23</f>
        <v>311.83605186114596</v>
      </c>
    </row>
    <row r="24" spans="1:9" ht="14.1" customHeight="1">
      <c r="A24" s="23" t="s">
        <v>236</v>
      </c>
      <c r="B24" s="24">
        <f>SUM('- 25 -'!H24,'- 25 -'!F24,'- 25 -'!D24,'- 25 -'!B24)</f>
        <v>369960</v>
      </c>
      <c r="C24" s="344">
        <f>B24/'- 3 -'!D24*100</f>
        <v>0.725310718967485</v>
      </c>
      <c r="D24" s="24">
        <f>SUM('- 26 -'!B24,'- 26 -'!E24,'- 26 -'!H24,'- 27 -'!B24)</f>
        <v>1757365</v>
      </c>
      <c r="E24" s="344">
        <f>D24/'- 3 -'!D24*100</f>
        <v>3.4453337432108726</v>
      </c>
      <c r="F24" s="24">
        <f>D24/'- 7 -'!F24</f>
        <v>411.36821161048687</v>
      </c>
      <c r="G24" s="24">
        <f>SUM('- 28 -'!B24,'- 28 -'!E24,'- 28 -'!H24,'- 29 -'!B24,'- 29 -'!E24)</f>
        <v>1368640</v>
      </c>
      <c r="H24" s="344">
        <f>G24/'- 3 -'!D24*100</f>
        <v>2.6832340318079217</v>
      </c>
      <c r="I24" s="24">
        <f>G24/'- 7 -'!F24</f>
        <v>320.37453183520597</v>
      </c>
    </row>
    <row r="25" spans="1:9" ht="14.1" customHeight="1">
      <c r="A25" s="351" t="s">
        <v>237</v>
      </c>
      <c r="B25" s="352">
        <f>SUM('- 25 -'!H25,'- 25 -'!F25,'- 25 -'!D25,'- 25 -'!B25)</f>
        <v>986281</v>
      </c>
      <c r="C25" s="353">
        <f>B25/'- 3 -'!D25*100</f>
        <v>0.65687197493739047</v>
      </c>
      <c r="D25" s="352">
        <f>SUM('- 26 -'!B25,'- 26 -'!E25,'- 26 -'!H25,'- 27 -'!B25)</f>
        <v>5009192</v>
      </c>
      <c r="E25" s="353">
        <f>D25/'- 3 -'!D25*100</f>
        <v>3.3361667130164494</v>
      </c>
      <c r="F25" s="352">
        <f>D25/'- 7 -'!F25</f>
        <v>368.53972925250144</v>
      </c>
      <c r="G25" s="352">
        <f>SUM('- 28 -'!B25,'- 28 -'!E25,'- 28 -'!H25,'- 29 -'!B25,'- 29 -'!E25)</f>
        <v>7872053</v>
      </c>
      <c r="H25" s="353">
        <f>G25/'- 3 -'!D25*100</f>
        <v>5.2428577666220981</v>
      </c>
      <c r="I25" s="352">
        <f>G25/'- 7 -'!F25</f>
        <v>579.16811359623307</v>
      </c>
    </row>
    <row r="26" spans="1:9" ht="14.1" customHeight="1">
      <c r="A26" s="23" t="s">
        <v>238</v>
      </c>
      <c r="B26" s="24">
        <f>SUM('- 25 -'!H26,'- 25 -'!F26,'- 25 -'!D26,'- 25 -'!B26)</f>
        <v>104019</v>
      </c>
      <c r="C26" s="344">
        <f>B26/'- 3 -'!D26*100</f>
        <v>0.28282241868566577</v>
      </c>
      <c r="D26" s="24">
        <f>SUM('- 26 -'!B26,'- 26 -'!E26,'- 26 -'!H26,'- 27 -'!B26)</f>
        <v>1173632</v>
      </c>
      <c r="E26" s="344">
        <f>D26/'- 3 -'!D26*100</f>
        <v>3.1910462596919342</v>
      </c>
      <c r="F26" s="24">
        <f>D26/'- 7 -'!F26</f>
        <v>392.65038474406157</v>
      </c>
      <c r="G26" s="24">
        <f>SUM('- 28 -'!B26,'- 28 -'!E26,'- 28 -'!H26,'- 29 -'!B26,'- 29 -'!E26)</f>
        <v>1311569</v>
      </c>
      <c r="H26" s="344">
        <f>G26/'- 3 -'!D26*100</f>
        <v>3.5660900109897224</v>
      </c>
      <c r="I26" s="24">
        <f>G26/'- 7 -'!F26</f>
        <v>438.79859484777518</v>
      </c>
    </row>
    <row r="27" spans="1:9" ht="14.1" customHeight="1">
      <c r="A27" s="351" t="s">
        <v>239</v>
      </c>
      <c r="B27" s="352">
        <f>SUM('- 25 -'!H27,'- 25 -'!F27,'- 25 -'!D27,'- 25 -'!B27)</f>
        <v>25500</v>
      </c>
      <c r="C27" s="353">
        <f>B27/'- 3 -'!D27*100</f>
        <v>6.6601512105059879E-2</v>
      </c>
      <c r="D27" s="352">
        <f>SUM('- 26 -'!B27,'- 26 -'!E27,'- 26 -'!H27,'- 27 -'!B27)</f>
        <v>1977692</v>
      </c>
      <c r="E27" s="353">
        <f>D27/'- 3 -'!D27*100</f>
        <v>5.1653834383560824</v>
      </c>
      <c r="F27" s="352">
        <f>D27/'- 7 -'!F27</f>
        <v>706.8234453180844</v>
      </c>
      <c r="G27" s="352">
        <f>SUM('- 28 -'!B27,'- 28 -'!E27,'- 28 -'!H27,'- 29 -'!B27,'- 29 -'!E27)</f>
        <v>2479000</v>
      </c>
      <c r="H27" s="353">
        <f>G27/'- 3 -'!D27*100</f>
        <v>6.4747117062134691</v>
      </c>
      <c r="I27" s="352">
        <f>G27/'- 7 -'!F27</f>
        <v>885.98999285203718</v>
      </c>
    </row>
    <row r="28" spans="1:9" ht="14.1" customHeight="1">
      <c r="A28" s="23" t="s">
        <v>240</v>
      </c>
      <c r="B28" s="24">
        <f>SUM('- 25 -'!H28,'- 25 -'!F28,'- 25 -'!D28,'- 25 -'!B28)</f>
        <v>67692</v>
      </c>
      <c r="C28" s="344">
        <f>B28/'- 3 -'!D28*100</f>
        <v>0.26405849544000565</v>
      </c>
      <c r="D28" s="24">
        <f>SUM('- 26 -'!B28,'- 26 -'!E28,'- 26 -'!H28,'- 27 -'!B28)</f>
        <v>1029543</v>
      </c>
      <c r="E28" s="344">
        <f>D28/'- 3 -'!D28*100</f>
        <v>4.0161256215031278</v>
      </c>
      <c r="F28" s="24">
        <f>D28/'- 7 -'!F28</f>
        <v>526.62046035805622</v>
      </c>
      <c r="G28" s="24">
        <f>SUM('- 28 -'!B28,'- 28 -'!E28,'- 28 -'!H28,'- 29 -'!B28,'- 29 -'!E28)</f>
        <v>655010</v>
      </c>
      <c r="H28" s="344">
        <f>G28/'- 3 -'!D28*100</f>
        <v>2.5551166326620294</v>
      </c>
      <c r="I28" s="24">
        <f>G28/'- 7 -'!F28</f>
        <v>335.04347826086956</v>
      </c>
    </row>
    <row r="29" spans="1:9" ht="14.1" customHeight="1">
      <c r="A29" s="351" t="s">
        <v>241</v>
      </c>
      <c r="B29" s="352">
        <f>SUM('- 25 -'!H29,'- 25 -'!F29,'- 25 -'!D29,'- 25 -'!B29)</f>
        <v>423047</v>
      </c>
      <c r="C29" s="353">
        <f>B29/'- 3 -'!D29*100</f>
        <v>0.3085314244200843</v>
      </c>
      <c r="D29" s="352">
        <f>SUM('- 26 -'!B29,'- 26 -'!E29,'- 26 -'!H29,'- 27 -'!B29)</f>
        <v>4771542</v>
      </c>
      <c r="E29" s="353">
        <f>D29/'- 3 -'!D29*100</f>
        <v>3.4799222070839826</v>
      </c>
      <c r="F29" s="352">
        <f>D29/'- 7 -'!F29</f>
        <v>392.91353754940712</v>
      </c>
      <c r="G29" s="352">
        <f>SUM('- 28 -'!B29,'- 28 -'!E29,'- 28 -'!H29,'- 29 -'!B29,'- 29 -'!E29)</f>
        <v>6128116</v>
      </c>
      <c r="H29" s="353">
        <f>G29/'- 3 -'!D29*100</f>
        <v>4.4692820383822811</v>
      </c>
      <c r="I29" s="352">
        <f>G29/'- 7 -'!F29</f>
        <v>504.62088274044794</v>
      </c>
    </row>
    <row r="30" spans="1:9" ht="14.1" customHeight="1">
      <c r="A30" s="23" t="s">
        <v>242</v>
      </c>
      <c r="B30" s="24">
        <f>SUM('- 25 -'!H30,'- 25 -'!F30,'- 25 -'!D30,'- 25 -'!B30)</f>
        <v>11449</v>
      </c>
      <c r="C30" s="344">
        <f>B30/'- 3 -'!D30*100</f>
        <v>8.6331913897620863E-2</v>
      </c>
      <c r="D30" s="24">
        <f>SUM('- 26 -'!B30,'- 26 -'!E30,'- 26 -'!H30,'- 27 -'!B30)</f>
        <v>521531</v>
      </c>
      <c r="E30" s="344">
        <f>D30/'- 3 -'!D30*100</f>
        <v>3.9326377314123597</v>
      </c>
      <c r="F30" s="24">
        <f>D30/'- 7 -'!F30</f>
        <v>485.82300884955754</v>
      </c>
      <c r="G30" s="24">
        <f>SUM('- 28 -'!B30,'- 28 -'!E30,'- 28 -'!H30,'- 29 -'!B30,'- 29 -'!E30)</f>
        <v>406780</v>
      </c>
      <c r="H30" s="344">
        <f>G30/'- 3 -'!D30*100</f>
        <v>3.067350505308255</v>
      </c>
      <c r="I30" s="24">
        <f>G30/'- 7 -'!F30</f>
        <v>378.92873777363764</v>
      </c>
    </row>
    <row r="31" spans="1:9" ht="14.1" customHeight="1">
      <c r="A31" s="351" t="s">
        <v>243</v>
      </c>
      <c r="B31" s="352">
        <f>SUM('- 25 -'!H31,'- 25 -'!F31,'- 25 -'!D31,'- 25 -'!B31)</f>
        <v>44579</v>
      </c>
      <c r="C31" s="353">
        <f>B31/'- 3 -'!D31*100</f>
        <v>0.13886674592653081</v>
      </c>
      <c r="D31" s="352">
        <f>SUM('- 26 -'!B31,'- 26 -'!E31,'- 26 -'!H31,'- 27 -'!B31)</f>
        <v>1105851</v>
      </c>
      <c r="E31" s="353">
        <f>D31/'- 3 -'!D31*100</f>
        <v>3.4448042766683868</v>
      </c>
      <c r="F31" s="352">
        <f>D31/'- 7 -'!F31</f>
        <v>348.84889589905362</v>
      </c>
      <c r="G31" s="352">
        <f>SUM('- 28 -'!B31,'- 28 -'!E31,'- 28 -'!H31,'- 29 -'!B31,'- 29 -'!E31)</f>
        <v>1179497</v>
      </c>
      <c r="H31" s="353">
        <f>G31/'- 3 -'!D31*100</f>
        <v>3.6742167886248076</v>
      </c>
      <c r="I31" s="352">
        <f>G31/'- 7 -'!F31</f>
        <v>372.08107255520503</v>
      </c>
    </row>
    <row r="32" spans="1:9" ht="14.1" customHeight="1">
      <c r="A32" s="23" t="s">
        <v>244</v>
      </c>
      <c r="B32" s="24">
        <f>SUM('- 25 -'!H32,'- 25 -'!F32,'- 25 -'!D32,'- 25 -'!B32)</f>
        <v>25000</v>
      </c>
      <c r="C32" s="344">
        <f>B32/'- 3 -'!D32*100</f>
        <v>0.10123576063347023</v>
      </c>
      <c r="D32" s="24">
        <f>SUM('- 26 -'!B32,'- 26 -'!E32,'- 26 -'!H32,'- 27 -'!B32)</f>
        <v>985100</v>
      </c>
      <c r="E32" s="344">
        <f>D32/'- 3 -'!D32*100</f>
        <v>3.9890939120012603</v>
      </c>
      <c r="F32" s="24">
        <f>D32/'- 7 -'!F32</f>
        <v>480.2952662808442</v>
      </c>
      <c r="G32" s="24">
        <f>SUM('- 28 -'!B32,'- 28 -'!E32,'- 28 -'!H32,'- 29 -'!B32,'- 29 -'!E32)</f>
        <v>629040</v>
      </c>
      <c r="H32" s="344">
        <f>G32/'- 3 -'!D32*100</f>
        <v>2.5472537147551244</v>
      </c>
      <c r="I32" s="24">
        <f>G32/'- 7 -'!F32</f>
        <v>306.69468510943278</v>
      </c>
    </row>
    <row r="33" spans="1:10" ht="14.1" customHeight="1">
      <c r="A33" s="351" t="s">
        <v>245</v>
      </c>
      <c r="B33" s="352">
        <f>SUM('- 25 -'!H33,'- 25 -'!F33,'- 25 -'!D33,'- 25 -'!B33)</f>
        <v>30000</v>
      </c>
      <c r="C33" s="353">
        <f>B33/'- 3 -'!D33*100</f>
        <v>0.11756914045201415</v>
      </c>
      <c r="D33" s="352">
        <f>SUM('- 26 -'!B33,'- 26 -'!E33,'- 26 -'!H33,'- 27 -'!B33)</f>
        <v>845400</v>
      </c>
      <c r="E33" s="353">
        <f>D33/'- 3 -'!D33*100</f>
        <v>3.3130983779377585</v>
      </c>
      <c r="F33" s="352">
        <f>D33/'- 7 -'!F33</f>
        <v>421.75106011474185</v>
      </c>
      <c r="G33" s="352">
        <f>SUM('- 28 -'!B33,'- 28 -'!E33,'- 28 -'!H33,'- 29 -'!B33,'- 29 -'!E33)</f>
        <v>653900</v>
      </c>
      <c r="H33" s="353">
        <f>G33/'- 3 -'!D33*100</f>
        <v>2.5626153647190684</v>
      </c>
      <c r="I33" s="352">
        <f>G33/'- 7 -'!F33</f>
        <v>326.21601396857073</v>
      </c>
    </row>
    <row r="34" spans="1:10" ht="14.1" customHeight="1">
      <c r="A34" s="23" t="s">
        <v>246</v>
      </c>
      <c r="B34" s="24">
        <f>SUM('- 25 -'!H34,'- 25 -'!F34,'- 25 -'!D34,'- 25 -'!B34)</f>
        <v>25132</v>
      </c>
      <c r="C34" s="344">
        <f>B34/'- 3 -'!D34*100</f>
        <v>0.10499447329346172</v>
      </c>
      <c r="D34" s="24">
        <f>SUM('- 26 -'!B34,'- 26 -'!E34,'- 26 -'!H34,'- 27 -'!B34)</f>
        <v>969046</v>
      </c>
      <c r="E34" s="344">
        <f>D34/'- 3 -'!D34*100</f>
        <v>4.0484034047085755</v>
      </c>
      <c r="F34" s="24">
        <f>D34/'- 7 -'!F34</f>
        <v>484.69264242484871</v>
      </c>
      <c r="G34" s="24">
        <f>SUM('- 28 -'!B34,'- 28 -'!E34,'- 28 -'!H34,'- 29 -'!B34,'- 29 -'!E34)</f>
        <v>436621</v>
      </c>
      <c r="H34" s="344">
        <f>G34/'- 3 -'!D34*100</f>
        <v>1.8240805317469582</v>
      </c>
      <c r="I34" s="24">
        <f>G34/'- 7 -'!F34</f>
        <v>218.38693542739961</v>
      </c>
    </row>
    <row r="35" spans="1:10" ht="14.1" customHeight="1">
      <c r="A35" s="351" t="s">
        <v>247</v>
      </c>
      <c r="B35" s="352">
        <f>SUM('- 25 -'!H35,'- 25 -'!F35,'- 25 -'!D35,'- 25 -'!B35)</f>
        <v>595891</v>
      </c>
      <c r="C35" s="353">
        <f>B35/'- 3 -'!D35*100</f>
        <v>0.36421634701977046</v>
      </c>
      <c r="D35" s="352">
        <f>SUM('- 26 -'!B35,'- 26 -'!E35,'- 26 -'!H35,'- 27 -'!B35)</f>
        <v>4715093</v>
      </c>
      <c r="E35" s="353">
        <f>D35/'- 3 -'!D35*100</f>
        <v>2.881926305848705</v>
      </c>
      <c r="F35" s="352">
        <f>D35/'- 7 -'!F35</f>
        <v>302.36584583814289</v>
      </c>
      <c r="G35" s="352">
        <f>SUM('- 28 -'!B35,'- 28 -'!E35,'- 28 -'!H35,'- 29 -'!B35,'- 29 -'!E35)</f>
        <v>6996681</v>
      </c>
      <c r="H35" s="353">
        <f>G35/'- 3 -'!D35*100</f>
        <v>4.2764626334054965</v>
      </c>
      <c r="I35" s="352">
        <f>G35/'- 7 -'!F35</f>
        <v>448.67776067718353</v>
      </c>
    </row>
    <row r="36" spans="1:10" ht="14.1" customHeight="1">
      <c r="A36" s="23" t="s">
        <v>248</v>
      </c>
      <c r="B36" s="24">
        <f>SUM('- 25 -'!H36,'- 25 -'!F36,'- 25 -'!D36,'- 25 -'!B36)</f>
        <v>24400</v>
      </c>
      <c r="C36" s="344">
        <f>B36/'- 3 -'!D36*100</f>
        <v>0.11555678479348488</v>
      </c>
      <c r="D36" s="24">
        <f>SUM('- 26 -'!B36,'- 26 -'!E36,'- 26 -'!H36,'- 27 -'!B36)</f>
        <v>907215</v>
      </c>
      <c r="E36" s="344">
        <f>D36/'- 3 -'!D36*100</f>
        <v>4.2965101850992369</v>
      </c>
      <c r="F36" s="24">
        <f>D36/'- 7 -'!F36</f>
        <v>553.8553113553113</v>
      </c>
      <c r="G36" s="24">
        <f>SUM('- 28 -'!B36,'- 28 -'!E36,'- 28 -'!H36,'- 29 -'!B36,'- 29 -'!E36)</f>
        <v>648690</v>
      </c>
      <c r="H36" s="344">
        <f>G36/'- 3 -'!D36*100</f>
        <v>3.0721528986756437</v>
      </c>
      <c r="I36" s="24">
        <f>G36/'- 7 -'!F36</f>
        <v>396.02564102564105</v>
      </c>
    </row>
    <row r="37" spans="1:10" ht="14.1" customHeight="1">
      <c r="A37" s="351" t="s">
        <v>249</v>
      </c>
      <c r="B37" s="352">
        <f>SUM('- 25 -'!H37,'- 25 -'!F37,'- 25 -'!D37,'- 25 -'!B37)</f>
        <v>64790</v>
      </c>
      <c r="C37" s="353">
        <f>B37/'- 3 -'!D37*100</f>
        <v>0.16260530695133546</v>
      </c>
      <c r="D37" s="352">
        <f>SUM('- 26 -'!B37,'- 26 -'!E37,'- 26 -'!H37,'- 27 -'!B37)</f>
        <v>1418480</v>
      </c>
      <c r="E37" s="353">
        <f>D37/'- 3 -'!D37*100</f>
        <v>3.559999626552405</v>
      </c>
      <c r="F37" s="352">
        <f>D37/'- 7 -'!F37</f>
        <v>385.71855880353502</v>
      </c>
      <c r="G37" s="352">
        <f>SUM('- 28 -'!B37,'- 28 -'!E37,'- 28 -'!H37,'- 29 -'!B37,'- 29 -'!E37)</f>
        <v>1070192</v>
      </c>
      <c r="H37" s="353">
        <f>G37/'- 3 -'!D37*100</f>
        <v>2.6858913205257537</v>
      </c>
      <c r="I37" s="352">
        <f>G37/'- 7 -'!F37</f>
        <v>291.01074099252207</v>
      </c>
    </row>
    <row r="38" spans="1:10" ht="14.1" customHeight="1">
      <c r="A38" s="23" t="s">
        <v>250</v>
      </c>
      <c r="B38" s="24">
        <f>SUM('- 25 -'!H38,'- 25 -'!F38,'- 25 -'!D38,'- 25 -'!B38)</f>
        <v>1035000</v>
      </c>
      <c r="C38" s="344">
        <f>B38/'- 3 -'!D38*100</f>
        <v>0.9246189855098359</v>
      </c>
      <c r="D38" s="24">
        <f>SUM('- 26 -'!B38,'- 26 -'!E38,'- 26 -'!H38,'- 27 -'!B38)</f>
        <v>3351655</v>
      </c>
      <c r="E38" s="344">
        <f>D38/'- 3 -'!D38*100</f>
        <v>2.9942066143758153</v>
      </c>
      <c r="F38" s="24">
        <f>D38/'- 7 -'!F38</f>
        <v>318.20516472040254</v>
      </c>
      <c r="G38" s="24">
        <f>SUM('- 28 -'!B38,'- 28 -'!E38,'- 28 -'!H38,'- 29 -'!B38,'- 29 -'!E38)</f>
        <v>4057136</v>
      </c>
      <c r="H38" s="344">
        <f>G38/'- 3 -'!D38*100</f>
        <v>3.6244492486912394</v>
      </c>
      <c r="I38" s="24">
        <f>G38/'- 7 -'!F38</f>
        <v>385.18332858634767</v>
      </c>
    </row>
    <row r="39" spans="1:10" ht="14.1" customHeight="1">
      <c r="A39" s="351" t="s">
        <v>251</v>
      </c>
      <c r="B39" s="352">
        <f>SUM('- 25 -'!H39,'- 25 -'!F39,'- 25 -'!D39,'- 25 -'!B39)</f>
        <v>166015</v>
      </c>
      <c r="C39" s="353">
        <f>B39/'- 3 -'!D39*100</f>
        <v>0.83407069909106568</v>
      </c>
      <c r="D39" s="352">
        <f>SUM('- 26 -'!B39,'- 26 -'!E39,'- 26 -'!H39,'- 27 -'!B39)</f>
        <v>807852</v>
      </c>
      <c r="E39" s="353">
        <f>D39/'- 3 -'!D39*100</f>
        <v>4.0587036255887456</v>
      </c>
      <c r="F39" s="352">
        <f>D39/'- 7 -'!F39</f>
        <v>517.52210121716848</v>
      </c>
      <c r="G39" s="352">
        <f>SUM('- 28 -'!B39,'- 28 -'!E39,'- 28 -'!H39,'- 29 -'!B39,'- 29 -'!E39)</f>
        <v>591001</v>
      </c>
      <c r="H39" s="353">
        <f>G39/'- 3 -'!D39*100</f>
        <v>2.969229390317254</v>
      </c>
      <c r="I39" s="352">
        <f>G39/'- 7 -'!F39</f>
        <v>378.60409993593851</v>
      </c>
    </row>
    <row r="40" spans="1:10" ht="14.1" customHeight="1">
      <c r="A40" s="23" t="s">
        <v>252</v>
      </c>
      <c r="B40" s="24">
        <f>SUM('- 25 -'!H40,'- 25 -'!F40,'- 25 -'!D40,'- 25 -'!B40)</f>
        <v>839531</v>
      </c>
      <c r="C40" s="344">
        <f>B40/'- 3 -'!D40*100</f>
        <v>0.89415758134395418</v>
      </c>
      <c r="D40" s="24">
        <f>SUM('- 26 -'!B40,'- 26 -'!E40,'- 26 -'!H40,'- 27 -'!B40)</f>
        <v>3233005</v>
      </c>
      <c r="E40" s="344">
        <f>D40/'- 3 -'!D40*100</f>
        <v>3.4433700855274076</v>
      </c>
      <c r="F40" s="24">
        <f>D40/'- 7 -'!F40</f>
        <v>397.64402735412779</v>
      </c>
      <c r="G40" s="24">
        <f>SUM('- 28 -'!B40,'- 28 -'!E40,'- 28 -'!H40,'- 29 -'!B40,'- 29 -'!E40)</f>
        <v>3424999</v>
      </c>
      <c r="H40" s="344">
        <f>G40/'- 3 -'!D40*100</f>
        <v>3.6478567461421454</v>
      </c>
      <c r="I40" s="24">
        <f>G40/'- 7 -'!F40</f>
        <v>421.25836367214413</v>
      </c>
    </row>
    <row r="41" spans="1:10" ht="14.1" customHeight="1">
      <c r="A41" s="351" t="s">
        <v>253</v>
      </c>
      <c r="B41" s="352">
        <f>SUM('- 25 -'!H41,'- 25 -'!F41,'- 25 -'!D41,'- 25 -'!B41)</f>
        <v>251317</v>
      </c>
      <c r="C41" s="353">
        <f>B41/'- 3 -'!D41*100</f>
        <v>0.44227597030112736</v>
      </c>
      <c r="D41" s="352">
        <f>SUM('- 26 -'!B41,'- 26 -'!E41,'- 26 -'!H41,'- 27 -'!B41)</f>
        <v>2065435</v>
      </c>
      <c r="E41" s="353">
        <f>D41/'- 3 -'!D41*100</f>
        <v>3.6348208386973777</v>
      </c>
      <c r="F41" s="352">
        <f>D41/'- 7 -'!F41</f>
        <v>458.62884423226382</v>
      </c>
      <c r="G41" s="352">
        <f>SUM('- 28 -'!B41,'- 28 -'!E41,'- 28 -'!H41,'- 29 -'!B41,'- 29 -'!E41)</f>
        <v>1546895</v>
      </c>
      <c r="H41" s="353">
        <f>G41/'- 3 -'!D41*100</f>
        <v>2.7222769931161137</v>
      </c>
      <c r="I41" s="352">
        <f>G41/'- 7 -'!F41</f>
        <v>343.48728766514932</v>
      </c>
    </row>
    <row r="42" spans="1:10" ht="14.1" customHeight="1">
      <c r="A42" s="23" t="s">
        <v>254</v>
      </c>
      <c r="B42" s="24">
        <f>SUM('- 25 -'!H42,'- 25 -'!F42,'- 25 -'!D42,'- 25 -'!B42)</f>
        <v>218286</v>
      </c>
      <c r="C42" s="344">
        <f>B42/'- 3 -'!D42*100</f>
        <v>1.0972979103051479</v>
      </c>
      <c r="D42" s="24">
        <f>SUM('- 26 -'!B42,'- 26 -'!E42,'- 26 -'!H42,'- 27 -'!B42)</f>
        <v>812623</v>
      </c>
      <c r="E42" s="344">
        <f>D42/'- 3 -'!D42*100</f>
        <v>4.0849597306556538</v>
      </c>
      <c r="F42" s="24">
        <f>D42/'- 7 -'!F42</f>
        <v>557.35459533607684</v>
      </c>
      <c r="G42" s="24">
        <f>SUM('- 28 -'!B42,'- 28 -'!E42,'- 28 -'!H42,'- 29 -'!B42,'- 29 -'!E42)</f>
        <v>404549</v>
      </c>
      <c r="H42" s="344">
        <f>G42/'- 3 -'!D42*100</f>
        <v>2.0336199862384086</v>
      </c>
      <c r="I42" s="24">
        <f>G42/'- 7 -'!F42</f>
        <v>277.46844993141292</v>
      </c>
    </row>
    <row r="43" spans="1:10" ht="14.1" customHeight="1">
      <c r="A43" s="351" t="s">
        <v>255</v>
      </c>
      <c r="B43" s="352">
        <f>SUM('- 25 -'!H43,'- 25 -'!F43,'- 25 -'!D43,'- 25 -'!B43)</f>
        <v>13744</v>
      </c>
      <c r="C43" s="353">
        <f>B43/'- 3 -'!D43*100</f>
        <v>0.1163134624116002</v>
      </c>
      <c r="D43" s="352">
        <f>SUM('- 26 -'!B43,'- 26 -'!E43,'- 26 -'!H43,'- 27 -'!B43)</f>
        <v>612719</v>
      </c>
      <c r="E43" s="353">
        <f>D43/'- 3 -'!D43*100</f>
        <v>5.1853513078705813</v>
      </c>
      <c r="F43" s="352">
        <f>D43/'- 7 -'!F43</f>
        <v>645.56196496773339</v>
      </c>
      <c r="G43" s="352">
        <f>SUM('- 28 -'!B43,'- 28 -'!E43,'- 28 -'!H43,'- 29 -'!B43,'- 29 -'!E43)</f>
        <v>478740</v>
      </c>
      <c r="H43" s="353">
        <f>G43/'- 3 -'!D43*100</f>
        <v>4.0515066207020869</v>
      </c>
      <c r="I43" s="352">
        <f>G43/'- 7 -'!F43</f>
        <v>504.40142236270248</v>
      </c>
    </row>
    <row r="44" spans="1:10" ht="14.1" customHeight="1">
      <c r="A44" s="23" t="s">
        <v>256</v>
      </c>
      <c r="B44" s="24">
        <f>SUM('- 25 -'!H44,'- 25 -'!F44,'- 25 -'!D44,'- 25 -'!B44)</f>
        <v>10622</v>
      </c>
      <c r="C44" s="344">
        <f>B44/'- 3 -'!D44*100</f>
        <v>0.105640897726841</v>
      </c>
      <c r="D44" s="24">
        <f>SUM('- 26 -'!B44,'- 26 -'!E44,'- 26 -'!H44,'- 27 -'!B44)</f>
        <v>386535</v>
      </c>
      <c r="E44" s="344">
        <f>D44/'- 3 -'!D44*100</f>
        <v>3.8442764453817064</v>
      </c>
      <c r="F44" s="24">
        <f>D44/'- 7 -'!F44</f>
        <v>516.75802139037432</v>
      </c>
      <c r="G44" s="24">
        <f>SUM('- 28 -'!B44,'- 28 -'!E44,'- 28 -'!H44,'- 29 -'!B44,'- 29 -'!E44)</f>
        <v>159273</v>
      </c>
      <c r="H44" s="344">
        <f>G44/'- 3 -'!D44*100</f>
        <v>1.5840465734934237</v>
      </c>
      <c r="I44" s="24">
        <f>G44/'- 7 -'!F44</f>
        <v>212.93181818181819</v>
      </c>
    </row>
    <row r="45" spans="1:10" ht="14.1" customHeight="1">
      <c r="A45" s="351" t="s">
        <v>257</v>
      </c>
      <c r="B45" s="352">
        <f>SUM('- 25 -'!H45,'- 25 -'!F45,'- 25 -'!D45,'- 25 -'!B45)</f>
        <v>45904</v>
      </c>
      <c r="C45" s="353">
        <f>B45/'- 3 -'!D45*100</f>
        <v>0.28039048944583661</v>
      </c>
      <c r="D45" s="352">
        <f>SUM('- 26 -'!B45,'- 26 -'!E45,'- 26 -'!H45,'- 27 -'!B45)</f>
        <v>613393</v>
      </c>
      <c r="E45" s="353">
        <f>D45/'- 3 -'!D45*100</f>
        <v>3.7467228017743568</v>
      </c>
      <c r="F45" s="352">
        <f>D45/'- 7 -'!F45</f>
        <v>369.18025880228709</v>
      </c>
      <c r="G45" s="352">
        <f>SUM('- 28 -'!B45,'- 28 -'!E45,'- 28 -'!H45,'- 29 -'!B45,'- 29 -'!E45)</f>
        <v>495306</v>
      </c>
      <c r="H45" s="353">
        <f>G45/'- 3 -'!D45*100</f>
        <v>3.0254246201956163</v>
      </c>
      <c r="I45" s="352">
        <f>G45/'- 7 -'!F45</f>
        <v>298.10773397532353</v>
      </c>
    </row>
    <row r="46" spans="1:10" ht="14.1" customHeight="1">
      <c r="A46" s="23" t="s">
        <v>258</v>
      </c>
      <c r="B46" s="24">
        <f>SUM('- 25 -'!H46,'- 25 -'!F46,'- 25 -'!D46,'- 25 -'!B46)</f>
        <v>8418700</v>
      </c>
      <c r="C46" s="344">
        <f>B46/'- 3 -'!D46*100</f>
        <v>2.3875054627583805</v>
      </c>
      <c r="D46" s="24">
        <f>SUM('- 26 -'!B46,'- 26 -'!E46,'- 26 -'!H46,'- 27 -'!B46)</f>
        <v>9978300</v>
      </c>
      <c r="E46" s="344">
        <f>D46/'- 3 -'!D46*100</f>
        <v>2.8298010095432722</v>
      </c>
      <c r="F46" s="24">
        <f>D46/'- 7 -'!F46</f>
        <v>327.45799422420583</v>
      </c>
      <c r="G46" s="24">
        <f>SUM('- 28 -'!B46,'- 28 -'!E46,'- 28 -'!H46,'- 29 -'!B46,'- 29 -'!E46)</f>
        <v>9590200</v>
      </c>
      <c r="H46" s="344">
        <f>G46/'- 3 -'!D46*100</f>
        <v>2.7197375947528024</v>
      </c>
      <c r="I46" s="24">
        <f>G46/'- 7 -'!F46</f>
        <v>314.72171173536361</v>
      </c>
    </row>
    <row r="47" spans="1:10" ht="5.0999999999999996" customHeight="1">
      <c r="A47"/>
      <c r="B47"/>
      <c r="C47"/>
      <c r="D47"/>
      <c r="E47"/>
      <c r="F47"/>
      <c r="G47"/>
      <c r="H47"/>
      <c r="I47"/>
      <c r="J47"/>
    </row>
    <row r="48" spans="1:10" ht="14.1" customHeight="1">
      <c r="A48" s="354" t="s">
        <v>259</v>
      </c>
      <c r="B48" s="355">
        <f>SUM(B11:B46)</f>
        <v>18416592</v>
      </c>
      <c r="C48" s="356">
        <f>B48/'- 3 -'!D48*100</f>
        <v>0.91679266850691021</v>
      </c>
      <c r="D48" s="355">
        <f>SUM(D11:D46)</f>
        <v>69869823</v>
      </c>
      <c r="E48" s="356">
        <f>D48/'- 3 -'!D48*100</f>
        <v>3.47817562968629</v>
      </c>
      <c r="F48" s="355">
        <f>D48/'- 7 -'!F48</f>
        <v>404.19499001152218</v>
      </c>
      <c r="G48" s="355">
        <f>SUM(G11:G46)</f>
        <v>71819647</v>
      </c>
      <c r="H48" s="356">
        <f>G48/'- 3 -'!D48*100</f>
        <v>3.5752394267275021</v>
      </c>
      <c r="I48" s="355">
        <f>G48/'- 7 -'!F48</f>
        <v>415.47466782327541</v>
      </c>
    </row>
    <row r="49" spans="1:9" ht="5.0999999999999996" customHeight="1">
      <c r="A49" s="25" t="s">
        <v>3</v>
      </c>
      <c r="B49" s="26"/>
      <c r="C49" s="343"/>
      <c r="D49" s="26"/>
      <c r="E49" s="343"/>
      <c r="G49" s="26"/>
      <c r="H49" s="343"/>
      <c r="I49" s="26"/>
    </row>
    <row r="50" spans="1:9" ht="14.1" customHeight="1">
      <c r="A50" s="23" t="s">
        <v>260</v>
      </c>
      <c r="B50" s="24">
        <f>SUM('- 25 -'!H50,'- 25 -'!F50,'- 25 -'!D50,'- 25 -'!B50)</f>
        <v>9500</v>
      </c>
      <c r="C50" s="344">
        <f>B50/'- 3 -'!D50*100</f>
        <v>0.29420645550901586</v>
      </c>
      <c r="D50" s="24">
        <f>SUM('- 26 -'!B50,'- 26 -'!E50,'- 26 -'!H50,'- 27 -'!B50)</f>
        <v>248100</v>
      </c>
      <c r="E50" s="344">
        <f>D50/'- 3 -'!D50*100</f>
        <v>7.6834338538722982</v>
      </c>
      <c r="F50" s="24">
        <f>D50/'- 7 -'!F50</f>
        <v>1370.7182320441989</v>
      </c>
      <c r="G50" s="24">
        <f>SUM('- 28 -'!B50,'- 28 -'!E50,'- 28 -'!H50,'- 29 -'!B50,'- 29 -'!E50)</f>
        <v>59295</v>
      </c>
      <c r="H50" s="344">
        <f>G50/'- 3 -'!D50*100</f>
        <v>1.8363128188849573</v>
      </c>
      <c r="I50" s="24">
        <f>G50/'- 7 -'!F50</f>
        <v>327.59668508287291</v>
      </c>
    </row>
    <row r="51" spans="1:9" ht="14.1" customHeight="1">
      <c r="A51" s="351" t="s">
        <v>261</v>
      </c>
      <c r="B51" s="352">
        <f>SUM('- 25 -'!H51,'- 25 -'!F51,'- 25 -'!D51,'- 25 -'!B51)</f>
        <v>5371739</v>
      </c>
      <c r="C51" s="353">
        <f>B51/'- 3 -'!D51*100</f>
        <v>30.456955914079089</v>
      </c>
      <c r="D51" s="352">
        <f>SUM('- 26 -'!B51,'- 26 -'!E51,'- 26 -'!H51,'- 27 -'!B51)</f>
        <v>1768842</v>
      </c>
      <c r="E51" s="353">
        <f>D51/'- 3 -'!D51*100</f>
        <v>10.029069322424542</v>
      </c>
      <c r="F51" s="352">
        <f>D51/'- 7 -'!F51</f>
        <v>2848.376811594203</v>
      </c>
      <c r="G51" s="352">
        <f>SUM('- 28 -'!B51,'- 28 -'!E51,'- 28 -'!H51,'- 29 -'!B51,'- 29 -'!E51)</f>
        <v>383681</v>
      </c>
      <c r="H51" s="353">
        <f>G51/'- 3 -'!D51*100</f>
        <v>2.1754138281978666</v>
      </c>
      <c r="I51" s="352">
        <f>G51/'- 7 -'!F51</f>
        <v>617.84380032206116</v>
      </c>
    </row>
    <row r="52" spans="1:9" ht="50.1" customHeight="1"/>
    <row r="53" spans="1:9" ht="15" customHeight="1">
      <c r="E53" s="153"/>
    </row>
    <row r="54" spans="1:9" ht="14.45" customHeight="1">
      <c r="B54" s="91"/>
      <c r="C54" s="91"/>
      <c r="D54" s="91"/>
      <c r="E54" s="91"/>
      <c r="F54" s="91"/>
      <c r="G54" s="91"/>
      <c r="H54" s="91"/>
    </row>
    <row r="55" spans="1:9" ht="14.45" customHeight="1"/>
    <row r="56" spans="1:9" ht="14.45" customHeight="1"/>
    <row r="57" spans="1:9" ht="14.45" customHeight="1"/>
    <row r="58" spans="1:9" ht="14.45" customHeight="1"/>
    <row r="59" spans="1:9" ht="14.45" customHeight="1"/>
  </sheetData>
  <phoneticPr fontId="0" type="noConversion"/>
  <printOptions horizontalCentered="1"/>
  <pageMargins left="0.5" right="0.5" top="0.6" bottom="0" header="0.3" footer="0"/>
  <pageSetup scale="92" orientation="portrait" r:id="rId1"/>
  <headerFooter alignWithMargins="0">
    <oddHeader>&amp;C&amp;"Arial,Bold"&amp;10&amp;A</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K59"/>
  <sheetViews>
    <sheetView showGridLines="0" showZeros="0" workbookViewId="0"/>
  </sheetViews>
  <sheetFormatPr defaultColWidth="15.83203125" defaultRowHeight="12"/>
  <cols>
    <col min="1" max="1" width="32.83203125" style="1" customWidth="1"/>
    <col min="2" max="2" width="12" style="1" bestFit="1" customWidth="1"/>
    <col min="3" max="3" width="7.83203125" style="1" customWidth="1"/>
    <col min="4" max="4" width="9.83203125" style="1" customWidth="1"/>
    <col min="5" max="5" width="13.33203125" style="1" bestFit="1" customWidth="1"/>
    <col min="6" max="6" width="7.83203125" style="1" customWidth="1"/>
    <col min="7" max="7" width="9.83203125" style="1" customWidth="1"/>
    <col min="8" max="8" width="12" style="1" bestFit="1" customWidth="1"/>
    <col min="9" max="9" width="7.83203125" style="1" customWidth="1"/>
    <col min="10" max="10" width="9.83203125" style="1" customWidth="1"/>
    <col min="11" max="16384" width="15.83203125" style="1"/>
  </cols>
  <sheetData>
    <row r="1" spans="1:10" ht="6.95" customHeight="1">
      <c r="A1" s="3"/>
      <c r="B1" s="4"/>
      <c r="C1" s="4"/>
      <c r="D1" s="4"/>
      <c r="E1" s="4"/>
      <c r="F1" s="4"/>
      <c r="G1" s="4"/>
      <c r="H1" s="4"/>
      <c r="I1" s="4"/>
      <c r="J1" s="4"/>
    </row>
    <row r="2" spans="1:10" ht="15.95" customHeight="1">
      <c r="A2" s="160"/>
      <c r="B2" s="5" t="s">
        <v>441</v>
      </c>
      <c r="C2" s="6"/>
      <c r="D2" s="6"/>
      <c r="E2" s="6"/>
      <c r="F2" s="6"/>
      <c r="G2" s="6"/>
      <c r="H2" s="105"/>
      <c r="I2" s="105"/>
      <c r="J2" s="183" t="s">
        <v>5</v>
      </c>
    </row>
    <row r="3" spans="1:10" ht="15.95" customHeight="1">
      <c r="A3" s="163"/>
      <c r="B3" s="7" t="str">
        <f>OPYEAR</f>
        <v>OPERATING FUND 2012/2013 BUDGET</v>
      </c>
      <c r="C3" s="8"/>
      <c r="D3" s="8"/>
      <c r="E3" s="8"/>
      <c r="F3" s="8"/>
      <c r="G3" s="8"/>
      <c r="H3" s="107"/>
      <c r="I3" s="107"/>
      <c r="J3" s="100"/>
    </row>
    <row r="4" spans="1:10" ht="15.95" customHeight="1">
      <c r="B4" s="4"/>
      <c r="C4" s="4"/>
      <c r="D4" s="4"/>
      <c r="E4" s="4"/>
      <c r="F4" s="4"/>
      <c r="G4" s="4"/>
      <c r="H4" s="4"/>
      <c r="I4" s="4"/>
      <c r="J4" s="4"/>
    </row>
    <row r="5" spans="1:10" ht="15.95" customHeight="1">
      <c r="B5" s="4"/>
      <c r="C5" s="4"/>
      <c r="D5" s="4"/>
      <c r="E5" s="4"/>
      <c r="F5" s="4"/>
      <c r="G5" s="4"/>
      <c r="H5" s="4"/>
      <c r="I5" s="4"/>
      <c r="J5" s="4"/>
    </row>
    <row r="6" spans="1:10" ht="15.95" customHeight="1">
      <c r="B6" s="345" t="s">
        <v>23</v>
      </c>
      <c r="C6" s="346"/>
      <c r="D6" s="347"/>
      <c r="E6" s="345" t="s">
        <v>24</v>
      </c>
      <c r="F6" s="346"/>
      <c r="G6" s="347"/>
      <c r="H6" s="345" t="s">
        <v>3</v>
      </c>
      <c r="I6" s="346"/>
      <c r="J6" s="347"/>
    </row>
    <row r="7" spans="1:10" ht="15.95" customHeight="1">
      <c r="B7" s="348" t="s">
        <v>51</v>
      </c>
      <c r="C7" s="349"/>
      <c r="D7" s="350"/>
      <c r="E7" s="348" t="s">
        <v>52</v>
      </c>
      <c r="F7" s="349"/>
      <c r="G7" s="350"/>
      <c r="H7" s="348" t="s">
        <v>53</v>
      </c>
      <c r="I7" s="349"/>
      <c r="J7" s="350"/>
    </row>
    <row r="8" spans="1:10" ht="15.95" customHeight="1">
      <c r="A8" s="101"/>
      <c r="B8" s="169"/>
      <c r="C8" s="168"/>
      <c r="D8" s="168" t="s">
        <v>59</v>
      </c>
      <c r="E8" s="169"/>
      <c r="F8" s="168"/>
      <c r="G8" s="168" t="s">
        <v>59</v>
      </c>
      <c r="H8" s="169"/>
      <c r="I8" s="168"/>
      <c r="J8" s="168" t="s">
        <v>59</v>
      </c>
    </row>
    <row r="9" spans="1:10" ht="15.95" customHeight="1">
      <c r="A9" s="35" t="s">
        <v>79</v>
      </c>
      <c r="B9" s="112" t="s">
        <v>80</v>
      </c>
      <c r="C9" s="112" t="s">
        <v>81</v>
      </c>
      <c r="D9" s="112" t="s">
        <v>82</v>
      </c>
      <c r="E9" s="112" t="s">
        <v>80</v>
      </c>
      <c r="F9" s="112" t="s">
        <v>81</v>
      </c>
      <c r="G9" s="112" t="s">
        <v>82</v>
      </c>
      <c r="H9" s="112" t="s">
        <v>80</v>
      </c>
      <c r="I9" s="112" t="s">
        <v>81</v>
      </c>
      <c r="J9" s="112" t="s">
        <v>82</v>
      </c>
    </row>
    <row r="10" spans="1:10" ht="5.0999999999999996" customHeight="1">
      <c r="A10" s="37"/>
    </row>
    <row r="11" spans="1:10" ht="14.1" customHeight="1">
      <c r="A11" s="351" t="s">
        <v>224</v>
      </c>
      <c r="B11" s="352">
        <f>SUM('- 31 -'!D11,'- 31 -'!B11,'- 30 -'!F11,'- 30 -'!D11,'- 30 -'!B11)</f>
        <v>1144024</v>
      </c>
      <c r="C11" s="353">
        <f>B11/'- 3 -'!D11*100</f>
        <v>7.211192746599969</v>
      </c>
      <c r="D11" s="352">
        <f>B11/'- 7 -'!F11</f>
        <v>773.51183231913456</v>
      </c>
      <c r="E11" s="352">
        <f>SUM('- 33 -'!D11,'- 33 -'!B11,'- 32 -'!F11,'- 32 -'!D11,'- 32 -'!B11)</f>
        <v>1757930</v>
      </c>
      <c r="F11" s="353">
        <f>E11/'- 3 -'!D11*100</f>
        <v>11.080861996802936</v>
      </c>
      <c r="G11" s="352">
        <f>E11/'- 7 -'!F11</f>
        <v>1188.5936443542935</v>
      </c>
      <c r="H11" s="352">
        <f>SUM('- 34 -'!B11,'- 34 -'!D11)</f>
        <v>266000</v>
      </c>
      <c r="I11" s="353">
        <f>H11/'- 3 -'!D11*100</f>
        <v>1.6766932080057688</v>
      </c>
      <c r="J11" s="352">
        <f>H11/'- 7 -'!F11</f>
        <v>179.85125084516565</v>
      </c>
    </row>
    <row r="12" spans="1:10" ht="14.1" customHeight="1">
      <c r="A12" s="23" t="s">
        <v>225</v>
      </c>
      <c r="B12" s="24">
        <f>SUM('- 31 -'!D12,'- 31 -'!B12,'- 30 -'!F12,'- 30 -'!D12,'- 30 -'!B12)</f>
        <v>2285620</v>
      </c>
      <c r="C12" s="344">
        <f>B12/'- 3 -'!D12*100</f>
        <v>7.6183488606608325</v>
      </c>
      <c r="D12" s="24">
        <f>B12/'- 7 -'!F12</f>
        <v>989.52299313366404</v>
      </c>
      <c r="E12" s="24">
        <f>SUM('- 33 -'!D12,'- 33 -'!B12,'- 32 -'!F12,'- 32 -'!D12,'- 32 -'!B12)</f>
        <v>3249741</v>
      </c>
      <c r="F12" s="344">
        <f>E12/'- 3 -'!D12*100</f>
        <v>10.831923348934991</v>
      </c>
      <c r="G12" s="24">
        <f>E12/'- 7 -'!F12</f>
        <v>1406.9239161493103</v>
      </c>
      <c r="H12" s="24">
        <f>SUM('- 34 -'!B12,'- 34 -'!D12)</f>
        <v>496623</v>
      </c>
      <c r="I12" s="344">
        <f>H12/'- 3 -'!D12*100</f>
        <v>1.6553264611912584</v>
      </c>
      <c r="J12" s="24">
        <f>H12/'- 7 -'!F12</f>
        <v>215.00506532976593</v>
      </c>
    </row>
    <row r="13" spans="1:10" ht="14.1" customHeight="1">
      <c r="A13" s="351" t="s">
        <v>226</v>
      </c>
      <c r="B13" s="352">
        <f>SUM('- 31 -'!D13,'- 31 -'!B13,'- 30 -'!F13,'- 30 -'!D13,'- 30 -'!B13)</f>
        <v>1889100</v>
      </c>
      <c r="C13" s="353">
        <f>B13/'- 3 -'!D13*100</f>
        <v>2.4100028321456182</v>
      </c>
      <c r="D13" s="352">
        <f>B13/'- 7 -'!F13</f>
        <v>244.44875776397515</v>
      </c>
      <c r="E13" s="352">
        <f>SUM('- 33 -'!D13,'- 33 -'!B13,'- 32 -'!F13,'- 32 -'!D13,'- 32 -'!B13)</f>
        <v>6769000</v>
      </c>
      <c r="F13" s="353">
        <f>E13/'- 3 -'!D13*100</f>
        <v>8.635492653006029</v>
      </c>
      <c r="G13" s="352">
        <f>E13/'- 7 -'!F13</f>
        <v>875.90579710144925</v>
      </c>
      <c r="H13" s="352">
        <f>SUM('- 34 -'!B13,'- 34 -'!D13)</f>
        <v>1354800</v>
      </c>
      <c r="I13" s="353">
        <f>H13/'- 3 -'!D13*100</f>
        <v>1.7283742718706703</v>
      </c>
      <c r="J13" s="352">
        <f>H13/'- 7 -'!F13</f>
        <v>175.31055900621118</v>
      </c>
    </row>
    <row r="14" spans="1:10" ht="14.1" customHeight="1">
      <c r="A14" s="23" t="s">
        <v>524</v>
      </c>
      <c r="B14" s="24">
        <f>SUM('- 31 -'!D14,'- 31 -'!B14,'- 30 -'!F14,'- 30 -'!D14,'- 30 -'!B14)</f>
        <v>7960143</v>
      </c>
      <c r="C14" s="344">
        <f>B14/'- 3 -'!D14*100</f>
        <v>11.1391915070956</v>
      </c>
      <c r="D14" s="24">
        <f>B14/'- 7 -'!F14</f>
        <v>1579.3934523809523</v>
      </c>
      <c r="E14" s="24">
        <f>SUM('- 33 -'!D14,'- 33 -'!B14,'- 32 -'!F14,'- 32 -'!D14,'- 32 -'!B14)</f>
        <v>7428215</v>
      </c>
      <c r="F14" s="344">
        <f>E14/'- 3 -'!D14*100</f>
        <v>10.394827007615334</v>
      </c>
      <c r="G14" s="24">
        <f>E14/'- 7 -'!F14</f>
        <v>1473.8521825396826</v>
      </c>
      <c r="H14" s="24">
        <f>SUM('- 34 -'!B14,'- 34 -'!D14)</f>
        <v>1069414</v>
      </c>
      <c r="I14" s="344">
        <f>H14/'- 3 -'!D14*100</f>
        <v>1.4965067017475859</v>
      </c>
      <c r="J14" s="24">
        <f>H14/'- 7 -'!F14</f>
        <v>212.18531746031746</v>
      </c>
    </row>
    <row r="15" spans="1:10" ht="14.1" customHeight="1">
      <c r="A15" s="351" t="s">
        <v>227</v>
      </c>
      <c r="B15" s="352">
        <f>SUM('- 31 -'!D15,'- 31 -'!B15,'- 30 -'!F15,'- 30 -'!D15,'- 30 -'!B15)</f>
        <v>1228280</v>
      </c>
      <c r="C15" s="353">
        <f>B15/'- 3 -'!D15*100</f>
        <v>6.5664871255890658</v>
      </c>
      <c r="D15" s="352">
        <f>B15/'- 7 -'!F15</f>
        <v>822.14190093708169</v>
      </c>
      <c r="E15" s="352">
        <f>SUM('- 33 -'!D15,'- 33 -'!B15,'- 32 -'!F15,'- 32 -'!D15,'- 32 -'!B15)</f>
        <v>2412530</v>
      </c>
      <c r="F15" s="353">
        <f>E15/'- 3 -'!D15*100</f>
        <v>12.897586205993248</v>
      </c>
      <c r="G15" s="352">
        <f>E15/'- 7 -'!F15</f>
        <v>1614.8125836680053</v>
      </c>
      <c r="H15" s="352">
        <f>SUM('- 34 -'!B15,'- 34 -'!D15)</f>
        <v>305000</v>
      </c>
      <c r="I15" s="353">
        <f>H15/'- 3 -'!D15*100</f>
        <v>1.6305553890844635</v>
      </c>
      <c r="J15" s="352">
        <f>H15/'- 7 -'!F15</f>
        <v>204.14993306559572</v>
      </c>
    </row>
    <row r="16" spans="1:10" ht="14.1" customHeight="1">
      <c r="A16" s="23" t="s">
        <v>228</v>
      </c>
      <c r="B16" s="24">
        <f>SUM('- 31 -'!D16,'- 31 -'!B16,'- 30 -'!F16,'- 30 -'!D16,'- 30 -'!B16)</f>
        <v>445272</v>
      </c>
      <c r="C16" s="344">
        <f>B16/'- 3 -'!D16*100</f>
        <v>3.5180478592047657</v>
      </c>
      <c r="D16" s="24">
        <f>B16/'- 7 -'!F16</f>
        <v>449.99696816574027</v>
      </c>
      <c r="E16" s="24">
        <f>SUM('- 33 -'!D16,'- 33 -'!B16,'- 32 -'!F16,'- 32 -'!D16,'- 32 -'!B16)</f>
        <v>1916774</v>
      </c>
      <c r="F16" s="344">
        <f>E16/'- 3 -'!D16*100</f>
        <v>15.144232440574198</v>
      </c>
      <c r="G16" s="24">
        <f>E16/'- 7 -'!F16</f>
        <v>1937.1136937847398</v>
      </c>
      <c r="H16" s="24">
        <f>SUM('- 34 -'!B16,'- 34 -'!D16)</f>
        <v>196000</v>
      </c>
      <c r="I16" s="344">
        <f>H16/'- 3 -'!D16*100</f>
        <v>1.5485756580340422</v>
      </c>
      <c r="J16" s="24">
        <f>H16/'- 7 -'!F16</f>
        <v>198.07983830217282</v>
      </c>
    </row>
    <row r="17" spans="1:10" ht="14.1" customHeight="1">
      <c r="A17" s="351" t="s">
        <v>229</v>
      </c>
      <c r="B17" s="352">
        <f>SUM('- 31 -'!D17,'- 31 -'!B17,'- 30 -'!F17,'- 30 -'!D17,'- 30 -'!B17)</f>
        <v>1326960</v>
      </c>
      <c r="C17" s="353">
        <f>B17/'- 3 -'!D17*100</f>
        <v>8.1407280447394044</v>
      </c>
      <c r="D17" s="352">
        <f>B17/'- 7 -'!F17</f>
        <v>1032.2520420070011</v>
      </c>
      <c r="E17" s="352">
        <f>SUM('- 33 -'!D17,'- 33 -'!B17,'- 32 -'!F17,'- 32 -'!D17,'- 32 -'!B17)</f>
        <v>1908889</v>
      </c>
      <c r="F17" s="353">
        <f>E17/'- 3 -'!D17*100</f>
        <v>11.710787225383248</v>
      </c>
      <c r="G17" s="352">
        <f>E17/'- 7 -'!F17</f>
        <v>1484.9389342668223</v>
      </c>
      <c r="H17" s="352">
        <f>SUM('- 34 -'!B17,'- 34 -'!D17)</f>
        <v>323000</v>
      </c>
      <c r="I17" s="353">
        <f>H17/'- 3 -'!D17*100</f>
        <v>1.9815632411307256</v>
      </c>
      <c r="J17" s="352">
        <f>H17/'- 7 -'!F17</f>
        <v>251.26409957215091</v>
      </c>
    </row>
    <row r="18" spans="1:10" ht="14.1" customHeight="1">
      <c r="A18" s="23" t="s">
        <v>230</v>
      </c>
      <c r="B18" s="24">
        <f>SUM('- 31 -'!D18,'- 31 -'!B18,'- 30 -'!F18,'- 30 -'!D18,'- 30 -'!B18)</f>
        <v>9634320</v>
      </c>
      <c r="C18" s="344">
        <f>B18/'- 3 -'!D18*100</f>
        <v>8.3656026562241976</v>
      </c>
      <c r="D18" s="24">
        <f>B18/'- 7 -'!F18</f>
        <v>1523.573970111489</v>
      </c>
      <c r="E18" s="24">
        <f>SUM('- 33 -'!D18,'- 33 -'!B18,'- 32 -'!F18,'- 32 -'!D18,'- 32 -'!B18)</f>
        <v>19034154</v>
      </c>
      <c r="F18" s="344">
        <f>E18/'- 3 -'!D18*100</f>
        <v>16.527598134728809</v>
      </c>
      <c r="G18" s="24">
        <f>E18/'- 7 -'!F18</f>
        <v>3010.0662607733061</v>
      </c>
      <c r="H18" s="24">
        <f>SUM('- 34 -'!B18,'- 34 -'!D18)</f>
        <v>1975000</v>
      </c>
      <c r="I18" s="344">
        <f>H18/'- 3 -'!D18*100</f>
        <v>1.7149176325929378</v>
      </c>
      <c r="J18" s="24">
        <f>H18/'- 7 -'!F18</f>
        <v>312.32703407922827</v>
      </c>
    </row>
    <row r="19" spans="1:10" ht="14.1" customHeight="1">
      <c r="A19" s="351" t="s">
        <v>231</v>
      </c>
      <c r="B19" s="352">
        <f>SUM('- 31 -'!D19,'- 31 -'!B19,'- 30 -'!F19,'- 30 -'!D19,'- 30 -'!B19)</f>
        <v>2202300</v>
      </c>
      <c r="C19" s="353">
        <f>B19/'- 3 -'!D19*100</f>
        <v>5.6337581397930752</v>
      </c>
      <c r="D19" s="352">
        <f>B19/'- 7 -'!F19</f>
        <v>522.7391407548065</v>
      </c>
      <c r="E19" s="352">
        <f>SUM('- 33 -'!D19,'- 33 -'!B19,'- 32 -'!F19,'- 32 -'!D19,'- 32 -'!B19)</f>
        <v>3537125</v>
      </c>
      <c r="F19" s="353">
        <f>E19/'- 3 -'!D19*100</f>
        <v>9.0484070109501804</v>
      </c>
      <c r="G19" s="352">
        <f>E19/'- 7 -'!F19</f>
        <v>839.57393781153576</v>
      </c>
      <c r="H19" s="352">
        <f>SUM('- 34 -'!B19,'- 34 -'!D19)</f>
        <v>673000</v>
      </c>
      <c r="I19" s="353">
        <f>H19/'- 3 -'!D19*100</f>
        <v>1.7216179576264541</v>
      </c>
      <c r="J19" s="352">
        <f>H19/'- 7 -'!F19</f>
        <v>159.74365060526941</v>
      </c>
    </row>
    <row r="20" spans="1:10" ht="14.1" customHeight="1">
      <c r="A20" s="23" t="s">
        <v>232</v>
      </c>
      <c r="B20" s="24">
        <f>SUM('- 31 -'!D20,'- 31 -'!B20,'- 30 -'!F20,'- 30 -'!D20,'- 30 -'!B20)</f>
        <v>3403600</v>
      </c>
      <c r="C20" s="344">
        <f>B20/'- 3 -'!D20*100</f>
        <v>5.0297772983197628</v>
      </c>
      <c r="D20" s="24">
        <f>B20/'- 7 -'!F20</f>
        <v>458.39730639730641</v>
      </c>
      <c r="E20" s="24">
        <f>SUM('- 33 -'!D20,'- 33 -'!B20,'- 32 -'!F20,'- 32 -'!D20,'- 32 -'!B20)</f>
        <v>7603200</v>
      </c>
      <c r="F20" s="344">
        <f>E20/'- 3 -'!D20*100</f>
        <v>11.235868713886713</v>
      </c>
      <c r="G20" s="24">
        <f>E20/'- 7 -'!F20</f>
        <v>1024</v>
      </c>
      <c r="H20" s="24">
        <f>SUM('- 34 -'!B20,'- 34 -'!D20)</f>
        <v>1222300</v>
      </c>
      <c r="I20" s="344">
        <f>H20/'- 3 -'!D20*100</f>
        <v>1.80629239385834</v>
      </c>
      <c r="J20" s="24">
        <f>H20/'- 7 -'!F20</f>
        <v>164.61952861952861</v>
      </c>
    </row>
    <row r="21" spans="1:10" ht="14.1" customHeight="1">
      <c r="A21" s="351" t="s">
        <v>233</v>
      </c>
      <c r="B21" s="352">
        <f>SUM('- 31 -'!D21,'- 31 -'!B21,'- 30 -'!F21,'- 30 -'!D21,'- 30 -'!B21)</f>
        <v>2048000</v>
      </c>
      <c r="C21" s="353">
        <f>B21/'- 3 -'!D21*100</f>
        <v>6.2911126361052112</v>
      </c>
      <c r="D21" s="352">
        <f>B21/'- 7 -'!F21</f>
        <v>734.05017921146953</v>
      </c>
      <c r="E21" s="352">
        <f>SUM('- 33 -'!D21,'- 33 -'!B21,'- 32 -'!F21,'- 32 -'!D21,'- 32 -'!B21)</f>
        <v>3563000</v>
      </c>
      <c r="F21" s="353">
        <f>E21/'- 3 -'!D21*100</f>
        <v>10.944938634005306</v>
      </c>
      <c r="G21" s="352">
        <f>E21/'- 7 -'!F21</f>
        <v>1277.0609318996417</v>
      </c>
      <c r="H21" s="352">
        <f>SUM('- 34 -'!B21,'- 34 -'!D21)</f>
        <v>583000</v>
      </c>
      <c r="I21" s="353">
        <f>H21/'- 3 -'!D21*100</f>
        <v>1.7908782552975284</v>
      </c>
      <c r="J21" s="352">
        <f>H21/'- 7 -'!F21</f>
        <v>208.96057347670251</v>
      </c>
    </row>
    <row r="22" spans="1:10" ht="14.1" customHeight="1">
      <c r="A22" s="23" t="s">
        <v>234</v>
      </c>
      <c r="B22" s="24">
        <f>SUM('- 31 -'!D22,'- 31 -'!B22,'- 30 -'!F22,'- 30 -'!D22,'- 30 -'!B22)</f>
        <v>615155</v>
      </c>
      <c r="C22" s="344">
        <f>B22/'- 3 -'!D22*100</f>
        <v>3.2336269234903749</v>
      </c>
      <c r="D22" s="24">
        <f>B22/'- 7 -'!F22</f>
        <v>381.01889129761537</v>
      </c>
      <c r="E22" s="24">
        <f>SUM('- 33 -'!D22,'- 33 -'!B22,'- 32 -'!F22,'- 32 -'!D22,'- 32 -'!B22)</f>
        <v>2443320</v>
      </c>
      <c r="F22" s="344">
        <f>E22/'- 3 -'!D22*100</f>
        <v>12.84356842536028</v>
      </c>
      <c r="G22" s="24">
        <f>E22/'- 7 -'!F22</f>
        <v>1513.3601734283059</v>
      </c>
      <c r="H22" s="24">
        <f>SUM('- 34 -'!B22,'- 34 -'!D22)</f>
        <v>336000</v>
      </c>
      <c r="I22" s="344">
        <f>H22/'- 3 -'!D22*100</f>
        <v>1.7662193208098222</v>
      </c>
      <c r="J22" s="24">
        <f>H22/'- 7 -'!F22</f>
        <v>208.11396717249923</v>
      </c>
    </row>
    <row r="23" spans="1:10" ht="14.1" customHeight="1">
      <c r="A23" s="351" t="s">
        <v>235</v>
      </c>
      <c r="B23" s="352">
        <f>SUM('- 31 -'!D23,'- 31 -'!B23,'- 30 -'!F23,'- 30 -'!D23,'- 30 -'!B23)</f>
        <v>1567215</v>
      </c>
      <c r="C23" s="353">
        <f>B23/'- 3 -'!D23*100</f>
        <v>10.067559667963858</v>
      </c>
      <c r="D23" s="352">
        <f>B23/'- 7 -'!F23</f>
        <v>1310.9284818067754</v>
      </c>
      <c r="E23" s="352">
        <f>SUM('- 33 -'!D23,'- 33 -'!B23,'- 32 -'!F23,'- 32 -'!D23,'- 32 -'!B23)</f>
        <v>1339025</v>
      </c>
      <c r="F23" s="353">
        <f>E23/'- 3 -'!D23*100</f>
        <v>8.6017005225162499</v>
      </c>
      <c r="G23" s="352">
        <f>E23/'- 7 -'!F23</f>
        <v>1120.0543705562527</v>
      </c>
      <c r="H23" s="352">
        <f>SUM('- 34 -'!B23,'- 34 -'!D23)</f>
        <v>240000</v>
      </c>
      <c r="I23" s="353">
        <f>H23/'- 3 -'!D23*100</f>
        <v>1.5417248560735608</v>
      </c>
      <c r="J23" s="352">
        <f>H23/'- 7 -'!F23</f>
        <v>200.75282308657467</v>
      </c>
    </row>
    <row r="24" spans="1:10" ht="14.1" customHeight="1">
      <c r="A24" s="23" t="s">
        <v>236</v>
      </c>
      <c r="B24" s="24">
        <f>SUM('- 31 -'!D24,'- 31 -'!B24,'- 30 -'!F24,'- 30 -'!D24,'- 30 -'!B24)</f>
        <v>2442440</v>
      </c>
      <c r="C24" s="344">
        <f>B24/'- 3 -'!D24*100</f>
        <v>4.788430945061477</v>
      </c>
      <c r="D24" s="24">
        <f>B24/'- 7 -'!F24</f>
        <v>571.7322097378277</v>
      </c>
      <c r="E24" s="24">
        <f>SUM('- 33 -'!D24,'- 33 -'!B24,'- 32 -'!F24,'- 32 -'!D24,'- 32 -'!B24)</f>
        <v>5577195</v>
      </c>
      <c r="F24" s="344">
        <f>E24/'- 3 -'!D24*100</f>
        <v>10.934153192971841</v>
      </c>
      <c r="G24" s="24">
        <f>E24/'- 7 -'!F24</f>
        <v>1305.5231741573034</v>
      </c>
      <c r="H24" s="24">
        <f>SUM('- 34 -'!B24,'- 34 -'!D24)</f>
        <v>830000</v>
      </c>
      <c r="I24" s="344">
        <f>H24/'- 3 -'!D24*100</f>
        <v>1.6272242857147057</v>
      </c>
      <c r="J24" s="24">
        <f>H24/'- 7 -'!F24</f>
        <v>194.28838951310863</v>
      </c>
    </row>
    <row r="25" spans="1:10" ht="14.1" customHeight="1">
      <c r="A25" s="351" t="s">
        <v>237</v>
      </c>
      <c r="B25" s="352">
        <f>SUM('- 31 -'!D25,'- 31 -'!B25,'- 30 -'!F25,'- 30 -'!D25,'- 30 -'!B25)</f>
        <v>3279544</v>
      </c>
      <c r="C25" s="353">
        <f>B25/'- 3 -'!D25*100</f>
        <v>2.1842056616461933</v>
      </c>
      <c r="D25" s="352">
        <f>B25/'- 7 -'!F25</f>
        <v>241.28487345497351</v>
      </c>
      <c r="E25" s="352">
        <f>SUM('- 33 -'!D25,'- 33 -'!B25,'- 32 -'!F25,'- 32 -'!D25,'- 32 -'!B25)</f>
        <v>16006999</v>
      </c>
      <c r="F25" s="353">
        <f>E25/'- 3 -'!D25*100</f>
        <v>10.660804624595663</v>
      </c>
      <c r="G25" s="352">
        <f>E25/'- 7 -'!F25</f>
        <v>1177.6779723366685</v>
      </c>
      <c r="H25" s="352">
        <f>SUM('- 34 -'!B25,'- 34 -'!D25)</f>
        <v>2583000</v>
      </c>
      <c r="I25" s="353">
        <f>H25/'- 3 -'!D25*100</f>
        <v>1.7203011223609497</v>
      </c>
      <c r="J25" s="352">
        <f>H25/'- 7 -'!F25</f>
        <v>190.03825779870513</v>
      </c>
    </row>
    <row r="26" spans="1:10" ht="14.1" customHeight="1">
      <c r="A26" s="23" t="s">
        <v>238</v>
      </c>
      <c r="B26" s="24">
        <f>SUM('- 31 -'!D26,'- 31 -'!B26,'- 30 -'!F26,'- 30 -'!D26,'- 30 -'!B26)</f>
        <v>2819580</v>
      </c>
      <c r="C26" s="344">
        <f>B26/'- 3 -'!D26*100</f>
        <v>7.6662959197620575</v>
      </c>
      <c r="D26" s="24">
        <f>B26/'- 7 -'!F26</f>
        <v>943.31883573101368</v>
      </c>
      <c r="E26" s="24">
        <f>SUM('- 33 -'!D26,'- 33 -'!B26,'- 32 -'!F26,'- 32 -'!D26,'- 32 -'!B26)</f>
        <v>4359319</v>
      </c>
      <c r="F26" s="344">
        <f>E26/'- 3 -'!D26*100</f>
        <v>11.852768661517393</v>
      </c>
      <c r="G26" s="24">
        <f>E26/'- 7 -'!F26</f>
        <v>1458.4539979926396</v>
      </c>
      <c r="H26" s="24">
        <f>SUM('- 34 -'!B26,'- 34 -'!D26)</f>
        <v>658499</v>
      </c>
      <c r="I26" s="344">
        <f>H26/'- 3 -'!D26*100</f>
        <v>1.7904255941904095</v>
      </c>
      <c r="J26" s="24">
        <f>H26/'- 7 -'!F26</f>
        <v>220.3074606891937</v>
      </c>
    </row>
    <row r="27" spans="1:10" ht="14.1" customHeight="1">
      <c r="A27" s="351" t="s">
        <v>239</v>
      </c>
      <c r="B27" s="352">
        <f>SUM('- 31 -'!D27,'- 31 -'!B27,'- 30 -'!F27,'- 30 -'!D27,'- 30 -'!B27)</f>
        <v>210000</v>
      </c>
      <c r="C27" s="353">
        <f>B27/'- 3 -'!D27*100</f>
        <v>0.54848304086519917</v>
      </c>
      <c r="D27" s="352">
        <f>B27/'- 7 -'!F27</f>
        <v>75.053609721229449</v>
      </c>
      <c r="E27" s="352">
        <f>SUM('- 33 -'!D27,'- 33 -'!B27,'- 32 -'!F27,'- 32 -'!D27,'- 32 -'!B27)</f>
        <v>5199641</v>
      </c>
      <c r="F27" s="353">
        <f>E27/'- 3 -'!D27*100</f>
        <v>13.580547176606498</v>
      </c>
      <c r="G27" s="352">
        <f>E27/'- 7 -'!F27</f>
        <v>1858.3420300214439</v>
      </c>
      <c r="H27" s="352">
        <f>SUM('- 34 -'!B27,'- 34 -'!D27)</f>
        <v>591000</v>
      </c>
      <c r="I27" s="353">
        <f>H27/'- 3 -'!D27*100</f>
        <v>1.5435879864349176</v>
      </c>
      <c r="J27" s="352">
        <f>H27/'- 7 -'!F27</f>
        <v>211.22230164403146</v>
      </c>
    </row>
    <row r="28" spans="1:10" ht="14.1" customHeight="1">
      <c r="A28" s="23" t="s">
        <v>240</v>
      </c>
      <c r="B28" s="24">
        <f>SUM('- 31 -'!D28,'- 31 -'!B28,'- 30 -'!F28,'- 30 -'!D28,'- 30 -'!B28)</f>
        <v>2135248</v>
      </c>
      <c r="C28" s="344">
        <f>B28/'- 3 -'!D28*100</f>
        <v>8.3293502078721442</v>
      </c>
      <c r="D28" s="24">
        <f>B28/'- 7 -'!F28</f>
        <v>1092.1984654731457</v>
      </c>
      <c r="E28" s="24">
        <f>SUM('- 33 -'!D28,'- 33 -'!B28,'- 32 -'!F28,'- 32 -'!D28,'- 32 -'!B28)</f>
        <v>2941029</v>
      </c>
      <c r="F28" s="344">
        <f>E28/'- 3 -'!D28*100</f>
        <v>11.472606700724226</v>
      </c>
      <c r="G28" s="24">
        <f>E28/'- 7 -'!F28</f>
        <v>1504.3626598465473</v>
      </c>
      <c r="H28" s="24">
        <f>SUM('- 34 -'!B28,'- 34 -'!D28)</f>
        <v>445000</v>
      </c>
      <c r="I28" s="344">
        <f>H28/'- 3 -'!D28*100</f>
        <v>1.7358924314660893</v>
      </c>
      <c r="J28" s="24">
        <f>H28/'- 7 -'!F28</f>
        <v>227.62148337595909</v>
      </c>
    </row>
    <row r="29" spans="1:10" ht="14.1" customHeight="1">
      <c r="A29" s="351" t="s">
        <v>241</v>
      </c>
      <c r="B29" s="352">
        <f>SUM('- 31 -'!D29,'- 31 -'!B29,'- 30 -'!F29,'- 30 -'!D29,'- 30 -'!B29)</f>
        <v>2292753</v>
      </c>
      <c r="C29" s="353">
        <f>B29/'- 3 -'!D29*100</f>
        <v>1.6721223621333361</v>
      </c>
      <c r="D29" s="352">
        <f>B29/'- 7 -'!F29</f>
        <v>188.79718379446641</v>
      </c>
      <c r="E29" s="352">
        <f>SUM('- 33 -'!D29,'- 33 -'!B29,'- 32 -'!F29,'- 32 -'!D29,'- 32 -'!B29)</f>
        <v>15795951</v>
      </c>
      <c r="F29" s="353">
        <f>E29/'- 3 -'!D29*100</f>
        <v>11.520108314442259</v>
      </c>
      <c r="G29" s="352">
        <f>E29/'- 7 -'!F29</f>
        <v>1300.7206027667985</v>
      </c>
      <c r="H29" s="352">
        <f>SUM('- 34 -'!B29,'- 34 -'!D29)</f>
        <v>2401000</v>
      </c>
      <c r="I29" s="353">
        <f>H29/'- 3 -'!D29*100</f>
        <v>1.7510677301402027</v>
      </c>
      <c r="J29" s="352">
        <f>H29/'- 7 -'!F29</f>
        <v>197.71080368906456</v>
      </c>
    </row>
    <row r="30" spans="1:10" ht="14.1" customHeight="1">
      <c r="A30" s="23" t="s">
        <v>242</v>
      </c>
      <c r="B30" s="24">
        <f>SUM('- 31 -'!D30,'- 31 -'!B30,'- 30 -'!F30,'- 30 -'!D30,'- 30 -'!B30)</f>
        <v>1193166</v>
      </c>
      <c r="C30" s="344">
        <f>B30/'- 3 -'!D30*100</f>
        <v>8.9971442377123498</v>
      </c>
      <c r="D30" s="24">
        <f>B30/'- 7 -'!F30</f>
        <v>1111.4727526781555</v>
      </c>
      <c r="E30" s="24">
        <f>SUM('- 33 -'!D30,'- 33 -'!B30,'- 32 -'!F30,'- 32 -'!D30,'- 32 -'!B30)</f>
        <v>1538950</v>
      </c>
      <c r="F30" s="344">
        <f>E30/'- 3 -'!D30*100</f>
        <v>11.604550519062244</v>
      </c>
      <c r="G30" s="24">
        <f>E30/'- 7 -'!F30</f>
        <v>1433.5817419655334</v>
      </c>
      <c r="H30" s="24">
        <f>SUM('- 34 -'!B30,'- 34 -'!D30)</f>
        <v>216754</v>
      </c>
      <c r="I30" s="344">
        <f>H30/'- 3 -'!D30*100</f>
        <v>1.6344473460533595</v>
      </c>
      <c r="J30" s="24">
        <f>H30/'- 7 -'!F30</f>
        <v>201.91336748952025</v>
      </c>
    </row>
    <row r="31" spans="1:10" ht="14.1" customHeight="1">
      <c r="A31" s="351" t="s">
        <v>243</v>
      </c>
      <c r="B31" s="352">
        <f>SUM('- 31 -'!D31,'- 31 -'!B31,'- 30 -'!F31,'- 30 -'!D31,'- 30 -'!B31)</f>
        <v>976262</v>
      </c>
      <c r="C31" s="353">
        <f>B31/'- 3 -'!D31*100</f>
        <v>3.0411253530076228</v>
      </c>
      <c r="D31" s="352">
        <f>B31/'- 7 -'!F31</f>
        <v>307.96908517350158</v>
      </c>
      <c r="E31" s="352">
        <f>SUM('- 33 -'!D31,'- 33 -'!B31,'- 32 -'!F31,'- 32 -'!D31,'- 32 -'!B31)</f>
        <v>3644128</v>
      </c>
      <c r="F31" s="353">
        <f>E31/'- 3 -'!D31*100</f>
        <v>11.3517171111904</v>
      </c>
      <c r="G31" s="352">
        <f>E31/'- 7 -'!F31</f>
        <v>1149.567192429022</v>
      </c>
      <c r="H31" s="352">
        <f>SUM('- 34 -'!B31,'- 34 -'!D31)</f>
        <v>559545</v>
      </c>
      <c r="I31" s="353">
        <f>H31/'- 3 -'!D31*100</f>
        <v>1.7430223501976421</v>
      </c>
      <c r="J31" s="352">
        <f>H31/'- 7 -'!F31</f>
        <v>176.51261829652998</v>
      </c>
    </row>
    <row r="32" spans="1:10" ht="14.1" customHeight="1">
      <c r="A32" s="23" t="s">
        <v>244</v>
      </c>
      <c r="B32" s="24">
        <f>SUM('- 31 -'!D32,'- 31 -'!B32,'- 30 -'!F32,'- 30 -'!D32,'- 30 -'!B32)</f>
        <v>1896350</v>
      </c>
      <c r="C32" s="344">
        <f>B32/'- 3 -'!D32*100</f>
        <v>7.6791373870912505</v>
      </c>
      <c r="D32" s="24">
        <f>B32/'- 7 -'!F32</f>
        <v>924.58423328766514</v>
      </c>
      <c r="E32" s="24">
        <f>SUM('- 33 -'!D32,'- 33 -'!B32,'- 32 -'!F32,'- 32 -'!D32,'- 32 -'!B32)</f>
        <v>2674650</v>
      </c>
      <c r="F32" s="344">
        <f>E32/'- 3 -'!D32*100</f>
        <v>10.830809087132446</v>
      </c>
      <c r="G32" s="24">
        <f>E32/'- 7 -'!F32</f>
        <v>1304.0521104030656</v>
      </c>
      <c r="H32" s="24">
        <f>SUM('- 34 -'!B32,'- 34 -'!D32)</f>
        <v>422500</v>
      </c>
      <c r="I32" s="344">
        <f>H32/'- 3 -'!D32*100</f>
        <v>1.7108843547056467</v>
      </c>
      <c r="J32" s="24">
        <f>H32/'- 7 -'!F32</f>
        <v>205.99406152030929</v>
      </c>
    </row>
    <row r="33" spans="1:11" ht="14.1" customHeight="1">
      <c r="A33" s="351" t="s">
        <v>245</v>
      </c>
      <c r="B33" s="352">
        <f>SUM('- 31 -'!D33,'- 31 -'!B33,'- 30 -'!F33,'- 30 -'!D33,'- 30 -'!B33)</f>
        <v>2232400</v>
      </c>
      <c r="C33" s="353">
        <f>B33/'- 3 -'!D33*100</f>
        <v>8.7487116381692136</v>
      </c>
      <c r="D33" s="352">
        <f>B33/'- 7 -'!F33</f>
        <v>1113.6941880768272</v>
      </c>
      <c r="E33" s="352">
        <f>SUM('- 33 -'!D33,'- 33 -'!B33,'- 32 -'!F33,'- 32 -'!D33,'- 32 -'!B33)</f>
        <v>3489100</v>
      </c>
      <c r="F33" s="353">
        <f>E33/'- 3 -'!D33*100</f>
        <v>13.673682931704088</v>
      </c>
      <c r="G33" s="352">
        <f>E33/'- 7 -'!F33</f>
        <v>1740.6335744574708</v>
      </c>
      <c r="H33" s="352">
        <f>SUM('- 34 -'!B33,'- 34 -'!D33)</f>
        <v>425000</v>
      </c>
      <c r="I33" s="353">
        <f>H33/'- 3 -'!D33*100</f>
        <v>1.6655628230702004</v>
      </c>
      <c r="J33" s="352">
        <f>H33/'- 7 -'!F33</f>
        <v>212.02294836617611</v>
      </c>
    </row>
    <row r="34" spans="1:11" ht="14.1" customHeight="1">
      <c r="A34" s="23" t="s">
        <v>246</v>
      </c>
      <c r="B34" s="24">
        <f>SUM('- 31 -'!D34,'- 31 -'!B34,'- 30 -'!F34,'- 30 -'!D34,'- 30 -'!B34)</f>
        <v>2504133</v>
      </c>
      <c r="C34" s="344">
        <f>B34/'- 3 -'!D34*100</f>
        <v>10.461567936963878</v>
      </c>
      <c r="D34" s="24">
        <f>B34/'- 7 -'!F34</f>
        <v>1252.5048767068474</v>
      </c>
      <c r="E34" s="24">
        <f>SUM('- 33 -'!D34,'- 33 -'!B34,'- 32 -'!F34,'- 32 -'!D34,'- 32 -'!B34)</f>
        <v>2690685</v>
      </c>
      <c r="F34" s="344">
        <f>E34/'- 3 -'!D34*100</f>
        <v>11.240930064205717</v>
      </c>
      <c r="G34" s="24">
        <f>E34/'- 7 -'!F34</f>
        <v>1345.8135347371581</v>
      </c>
      <c r="H34" s="24">
        <f>SUM('- 34 -'!B34,'- 34 -'!D34)</f>
        <v>415019</v>
      </c>
      <c r="I34" s="344">
        <f>H34/'- 3 -'!D34*100</f>
        <v>1.7338334120555146</v>
      </c>
      <c r="J34" s="24">
        <f>H34/'- 7 -'!F34</f>
        <v>207.58215375381383</v>
      </c>
    </row>
    <row r="35" spans="1:11" ht="14.1" customHeight="1">
      <c r="A35" s="351" t="s">
        <v>247</v>
      </c>
      <c r="B35" s="352">
        <f>SUM('- 31 -'!D35,'- 31 -'!B35,'- 30 -'!F35,'- 30 -'!D35,'- 30 -'!B35)</f>
        <v>3392950</v>
      </c>
      <c r="C35" s="353">
        <f>B35/'- 3 -'!D35*100</f>
        <v>2.0738152692702698</v>
      </c>
      <c r="D35" s="352">
        <f>B35/'- 7 -'!F35</f>
        <v>217.5804796716686</v>
      </c>
      <c r="E35" s="352">
        <f>SUM('- 33 -'!D35,'- 33 -'!B35,'- 32 -'!F35,'- 32 -'!D35,'- 32 -'!B35)</f>
        <v>19905290</v>
      </c>
      <c r="F35" s="353">
        <f>E35/'- 3 -'!D35*100</f>
        <v>12.166372726168321</v>
      </c>
      <c r="G35" s="352">
        <f>E35/'- 7 -'!F35</f>
        <v>1276.4710786199821</v>
      </c>
      <c r="H35" s="352">
        <f>SUM('- 34 -'!B35,'- 34 -'!D35)</f>
        <v>2886000</v>
      </c>
      <c r="I35" s="353">
        <f>H35/'- 3 -'!D35*100</f>
        <v>1.7639608208532394</v>
      </c>
      <c r="J35" s="352">
        <f>H35/'- 7 -'!F35</f>
        <v>185.07118122354751</v>
      </c>
    </row>
    <row r="36" spans="1:11" ht="14.1" customHeight="1">
      <c r="A36" s="23" t="s">
        <v>248</v>
      </c>
      <c r="B36" s="24">
        <f>SUM('- 31 -'!D36,'- 31 -'!B36,'- 30 -'!F36,'- 30 -'!D36,'- 30 -'!B36)</f>
        <v>1552080</v>
      </c>
      <c r="C36" s="344">
        <f>B36/'- 3 -'!D36*100</f>
        <v>7.3505481369783601</v>
      </c>
      <c r="D36" s="24">
        <f>B36/'- 7 -'!F36</f>
        <v>947.54578754578756</v>
      </c>
      <c r="E36" s="24">
        <f>SUM('- 33 -'!D36,'- 33 -'!B36,'- 32 -'!F36,'- 32 -'!D36,'- 32 -'!B36)</f>
        <v>2443575</v>
      </c>
      <c r="F36" s="344">
        <f>E36/'- 3 -'!D36*100</f>
        <v>11.572609442694255</v>
      </c>
      <c r="G36" s="24">
        <f>E36/'- 7 -'!F36</f>
        <v>1491.8040293040292</v>
      </c>
      <c r="H36" s="24">
        <f>SUM('- 34 -'!B36,'- 34 -'!D36)</f>
        <v>410000</v>
      </c>
      <c r="I36" s="344">
        <f>H36/'- 3 -'!D36*100</f>
        <v>1.9417328592347867</v>
      </c>
      <c r="J36" s="24">
        <f>H36/'- 7 -'!F36</f>
        <v>250.3052503052503</v>
      </c>
    </row>
    <row r="37" spans="1:11" ht="14.1" customHeight="1">
      <c r="A37" s="351" t="s">
        <v>249</v>
      </c>
      <c r="B37" s="352">
        <f>SUM('- 31 -'!D37,'- 31 -'!B37,'- 30 -'!F37,'- 30 -'!D37,'- 30 -'!B37)</f>
        <v>2337212</v>
      </c>
      <c r="C37" s="353">
        <f>B37/'- 3 -'!D37*100</f>
        <v>5.8657674744612542</v>
      </c>
      <c r="D37" s="352">
        <f>B37/'- 7 -'!F37</f>
        <v>635.54371176070697</v>
      </c>
      <c r="E37" s="352">
        <f>SUM('- 33 -'!D37,'- 33 -'!B37,'- 32 -'!F37,'- 32 -'!D37,'- 32 -'!B37)</f>
        <v>4435472</v>
      </c>
      <c r="F37" s="353">
        <f>E37/'- 3 -'!D37*100</f>
        <v>11.13183031384556</v>
      </c>
      <c r="G37" s="352">
        <f>E37/'- 7 -'!F37</f>
        <v>1206.1106730115569</v>
      </c>
      <c r="H37" s="352">
        <f>SUM('- 34 -'!B37,'- 34 -'!D37)</f>
        <v>677000</v>
      </c>
      <c r="I37" s="353">
        <f>H37/'- 3 -'!D37*100</f>
        <v>1.6990861677119016</v>
      </c>
      <c r="J37" s="352">
        <f>H37/'- 7 -'!F37</f>
        <v>184.0924541128484</v>
      </c>
    </row>
    <row r="38" spans="1:11" ht="14.1" customHeight="1">
      <c r="A38" s="23" t="s">
        <v>250</v>
      </c>
      <c r="B38" s="24">
        <f>SUM('- 31 -'!D38,'- 31 -'!B38,'- 30 -'!F38,'- 30 -'!D38,'- 30 -'!B38)</f>
        <v>3199440</v>
      </c>
      <c r="C38" s="344">
        <f>B38/'- 3 -'!D38*100</f>
        <v>2.8582250888884917</v>
      </c>
      <c r="D38" s="24">
        <f>B38/'- 7 -'!F38</f>
        <v>303.75391626317287</v>
      </c>
      <c r="E38" s="24">
        <f>SUM('- 33 -'!D38,'- 33 -'!B38,'- 32 -'!F38,'- 32 -'!D38,'- 32 -'!B38)</f>
        <v>11960640</v>
      </c>
      <c r="F38" s="344">
        <f>E38/'- 3 -'!D38*100</f>
        <v>10.685057799853491</v>
      </c>
      <c r="G38" s="24">
        <f>E38/'- 7 -'!F38</f>
        <v>1135.5397322700085</v>
      </c>
      <c r="H38" s="24">
        <f>SUM('- 34 -'!B38,'- 34 -'!D38)</f>
        <v>2079370</v>
      </c>
      <c r="I38" s="344">
        <f>H38/'- 3 -'!D38*100</f>
        <v>1.8576086762314852</v>
      </c>
      <c r="J38" s="24">
        <f>H38/'- 7 -'!F38</f>
        <v>197.41479160732933</v>
      </c>
    </row>
    <row r="39" spans="1:11" ht="14.1" customHeight="1">
      <c r="A39" s="351" t="s">
        <v>251</v>
      </c>
      <c r="B39" s="352">
        <f>SUM('- 31 -'!D39,'- 31 -'!B39,'- 30 -'!F39,'- 30 -'!D39,'- 30 -'!B39)</f>
        <v>1987969</v>
      </c>
      <c r="C39" s="353">
        <f>B39/'- 3 -'!D39*100</f>
        <v>9.9876920374747264</v>
      </c>
      <c r="D39" s="352">
        <f>B39/'- 7 -'!F39</f>
        <v>1273.5227418321588</v>
      </c>
      <c r="E39" s="352">
        <f>SUM('- 33 -'!D39,'- 33 -'!B39,'- 32 -'!F39,'- 32 -'!D39,'- 32 -'!B39)</f>
        <v>2157724</v>
      </c>
      <c r="F39" s="353">
        <f>E39/'- 3 -'!D39*100</f>
        <v>10.840552752013798</v>
      </c>
      <c r="G39" s="352">
        <f>E39/'- 7 -'!F39</f>
        <v>1382.270339525945</v>
      </c>
      <c r="H39" s="352">
        <f>SUM('- 34 -'!B39,'- 34 -'!D39)</f>
        <v>385000</v>
      </c>
      <c r="I39" s="353">
        <f>H39/'- 3 -'!D39*100</f>
        <v>1.9342662961181838</v>
      </c>
      <c r="J39" s="352">
        <f>H39/'- 7 -'!F39</f>
        <v>246.63677130044843</v>
      </c>
    </row>
    <row r="40" spans="1:11" ht="14.1" customHeight="1">
      <c r="A40" s="23" t="s">
        <v>252</v>
      </c>
      <c r="B40" s="24">
        <f>SUM('- 31 -'!D40,'- 31 -'!B40,'- 30 -'!F40,'- 30 -'!D40,'- 30 -'!B40)</f>
        <v>1779436</v>
      </c>
      <c r="C40" s="344">
        <f>B40/'- 3 -'!D40*100</f>
        <v>1.8952202955178072</v>
      </c>
      <c r="D40" s="24">
        <f>B40/'- 7 -'!F40</f>
        <v>218.86204860769462</v>
      </c>
      <c r="E40" s="24">
        <f>SUM('- 33 -'!D40,'- 33 -'!B40,'- 32 -'!F40,'- 32 -'!D40,'- 32 -'!B40)</f>
        <v>9755733</v>
      </c>
      <c r="F40" s="344">
        <f>E40/'- 3 -'!D40*100</f>
        <v>10.390518781935864</v>
      </c>
      <c r="G40" s="24">
        <f>E40/'- 7 -'!F40</f>
        <v>1199.9081226015942</v>
      </c>
      <c r="H40" s="24">
        <f>SUM('- 34 -'!B40,'- 34 -'!D40)</f>
        <v>1569122</v>
      </c>
      <c r="I40" s="344">
        <f>H40/'- 3 -'!D40*100</f>
        <v>1.6712215896179987</v>
      </c>
      <c r="J40" s="24">
        <f>H40/'- 7 -'!F40</f>
        <v>192.99444061792781</v>
      </c>
    </row>
    <row r="41" spans="1:11" ht="14.1" customHeight="1">
      <c r="A41" s="351" t="s">
        <v>253</v>
      </c>
      <c r="B41" s="352">
        <f>SUM('- 31 -'!D41,'- 31 -'!B41,'- 30 -'!F41,'- 30 -'!D41,'- 30 -'!B41)</f>
        <v>4347969</v>
      </c>
      <c r="C41" s="353">
        <f>B41/'- 3 -'!D41*100</f>
        <v>7.6516996793460939</v>
      </c>
      <c r="D41" s="352">
        <f>B41/'- 7 -'!F41</f>
        <v>965.46441656489401</v>
      </c>
      <c r="E41" s="352">
        <f>SUM('- 33 -'!D41,'- 33 -'!B41,'- 32 -'!F41,'- 32 -'!D41,'- 32 -'!B41)</f>
        <v>5002357</v>
      </c>
      <c r="F41" s="353">
        <f>E41/'- 3 -'!D41*100</f>
        <v>8.8033133292520453</v>
      </c>
      <c r="G41" s="352">
        <f>E41/'- 7 -'!F41</f>
        <v>1110.770955923171</v>
      </c>
      <c r="H41" s="352">
        <f>SUM('- 34 -'!B41,'- 34 -'!D41)</f>
        <v>985000</v>
      </c>
      <c r="I41" s="353">
        <f>H41/'- 3 -'!D41*100</f>
        <v>1.7334355843282006</v>
      </c>
      <c r="J41" s="352">
        <f>H41/'- 7 -'!F41</f>
        <v>218.71877428666593</v>
      </c>
    </row>
    <row r="42" spans="1:11" ht="14.1" customHeight="1">
      <c r="A42" s="23" t="s">
        <v>254</v>
      </c>
      <c r="B42" s="24">
        <f>SUM('- 31 -'!D42,'- 31 -'!B42,'- 30 -'!F42,'- 30 -'!D42,'- 30 -'!B42)</f>
        <v>1618340</v>
      </c>
      <c r="C42" s="344">
        <f>B42/'- 3 -'!D42*100</f>
        <v>8.1352038159260474</v>
      </c>
      <c r="D42" s="24">
        <f>B42/'- 7 -'!F42</f>
        <v>1109.9725651577503</v>
      </c>
      <c r="E42" s="24">
        <f>SUM('- 33 -'!D42,'- 33 -'!B42,'- 32 -'!F42,'- 32 -'!D42,'- 32 -'!B42)</f>
        <v>2043945</v>
      </c>
      <c r="F42" s="344">
        <f>E42/'- 3 -'!D42*100</f>
        <v>10.274669824352708</v>
      </c>
      <c r="G42" s="24">
        <f>E42/'- 7 -'!F42</f>
        <v>1401.8827160493827</v>
      </c>
      <c r="H42" s="24">
        <f>SUM('- 34 -'!B42,'- 34 -'!D42)</f>
        <v>319000</v>
      </c>
      <c r="I42" s="344">
        <f>H42/'- 3 -'!D42*100</f>
        <v>1.6035752791628513</v>
      </c>
      <c r="J42" s="24">
        <f>H42/'- 7 -'!F42</f>
        <v>218.79286694101509</v>
      </c>
    </row>
    <row r="43" spans="1:11" ht="14.1" customHeight="1">
      <c r="A43" s="351" t="s">
        <v>255</v>
      </c>
      <c r="B43" s="352">
        <f>SUM('- 31 -'!D43,'- 31 -'!B43,'- 30 -'!F43,'- 30 -'!D43,'- 30 -'!B43)</f>
        <v>918853</v>
      </c>
      <c r="C43" s="353">
        <f>B43/'- 3 -'!D43*100</f>
        <v>7.7761185882775088</v>
      </c>
      <c r="D43" s="352">
        <f>B43/'- 7 -'!F43</f>
        <v>968.10536020018435</v>
      </c>
      <c r="E43" s="352">
        <f>SUM('- 33 -'!D43,'- 33 -'!B43,'- 32 -'!F43,'- 32 -'!D43,'- 32 -'!B43)</f>
        <v>1029884</v>
      </c>
      <c r="F43" s="353">
        <f>E43/'- 3 -'!D43*100</f>
        <v>8.7157577068035845</v>
      </c>
      <c r="G43" s="352">
        <f>E43/'- 7 -'!F43</f>
        <v>1085.0878440669037</v>
      </c>
      <c r="H43" s="352">
        <f>SUM('- 34 -'!B43,'- 34 -'!D43)</f>
        <v>206000</v>
      </c>
      <c r="I43" s="353">
        <f>H43/'- 3 -'!D43*100</f>
        <v>1.7433478795685127</v>
      </c>
      <c r="J43" s="352">
        <f>H43/'- 7 -'!F43</f>
        <v>217.04201237982352</v>
      </c>
    </row>
    <row r="44" spans="1:11" ht="14.1" customHeight="1">
      <c r="A44" s="23" t="s">
        <v>256</v>
      </c>
      <c r="B44" s="24">
        <f>SUM('- 31 -'!D44,'- 31 -'!B44,'- 30 -'!F44,'- 30 -'!D44,'- 30 -'!B44)</f>
        <v>993916</v>
      </c>
      <c r="C44" s="344">
        <f>B44/'- 3 -'!D44*100</f>
        <v>9.8849725574346543</v>
      </c>
      <c r="D44" s="24">
        <f>B44/'- 7 -'!F44</f>
        <v>1328.7647058823529</v>
      </c>
      <c r="E44" s="24">
        <f>SUM('- 33 -'!D44,'- 33 -'!B44,'- 32 -'!F44,'- 32 -'!D44,'- 32 -'!B44)</f>
        <v>1138711</v>
      </c>
      <c r="F44" s="344">
        <f>E44/'- 3 -'!D44*100</f>
        <v>11.32502845899349</v>
      </c>
      <c r="G44" s="24">
        <f>E44/'- 7 -'!F44</f>
        <v>1522.340909090909</v>
      </c>
      <c r="H44" s="24">
        <f>SUM('- 34 -'!B44,'- 34 -'!D44)</f>
        <v>162972</v>
      </c>
      <c r="I44" s="344">
        <f>H44/'- 3 -'!D44*100</f>
        <v>1.6208349072056798</v>
      </c>
      <c r="J44" s="24">
        <f>H44/'- 7 -'!F44</f>
        <v>217.87700534759358</v>
      </c>
    </row>
    <row r="45" spans="1:11" ht="14.1" customHeight="1">
      <c r="A45" s="351" t="s">
        <v>257</v>
      </c>
      <c r="B45" s="352">
        <f>SUM('- 31 -'!D45,'- 31 -'!B45,'- 30 -'!F45,'- 30 -'!D45,'- 30 -'!B45)</f>
        <v>693893</v>
      </c>
      <c r="C45" s="353">
        <f>B45/'- 3 -'!D45*100</f>
        <v>4.2384323347211552</v>
      </c>
      <c r="D45" s="352">
        <f>B45/'- 7 -'!F45</f>
        <v>417.63045440866688</v>
      </c>
      <c r="E45" s="352">
        <f>SUM('- 33 -'!D45,'- 33 -'!B45,'- 32 -'!F45,'- 32 -'!D45,'- 32 -'!B45)</f>
        <v>1656745</v>
      </c>
      <c r="F45" s="353">
        <f>E45/'- 3 -'!D45*100</f>
        <v>10.11971813865769</v>
      </c>
      <c r="G45" s="352">
        <f>E45/'- 7 -'!F45</f>
        <v>997.13812819741202</v>
      </c>
      <c r="H45" s="352">
        <f>SUM('- 34 -'!B45,'- 34 -'!D45)</f>
        <v>292680</v>
      </c>
      <c r="I45" s="353">
        <f>H45/'- 3 -'!D45*100</f>
        <v>1.7877459143213548</v>
      </c>
      <c r="J45" s="352">
        <f>H45/'- 7 -'!F45</f>
        <v>176.15407764068613</v>
      </c>
    </row>
    <row r="46" spans="1:11" ht="14.1" customHeight="1">
      <c r="A46" s="23" t="s">
        <v>258</v>
      </c>
      <c r="B46" s="24">
        <f>SUM('- 31 -'!D46,'- 31 -'!B46,'- 30 -'!F46,'- 30 -'!D46,'- 30 -'!B46)</f>
        <v>5468000</v>
      </c>
      <c r="C46" s="344">
        <f>B46/'- 3 -'!D46*100</f>
        <v>1.5507002114771666</v>
      </c>
      <c r="D46" s="24">
        <f>B46/'- 7 -'!F46</f>
        <v>179.44342347072723</v>
      </c>
      <c r="E46" s="24">
        <f>SUM('- 33 -'!D46,'- 33 -'!B46,'- 32 -'!F46,'- 32 -'!D46,'- 32 -'!B46)</f>
        <v>44857400</v>
      </c>
      <c r="F46" s="344">
        <f>E46/'- 3 -'!D46*100</f>
        <v>12.721356925076051</v>
      </c>
      <c r="G46" s="24">
        <f>E46/'- 7 -'!F46</f>
        <v>1472.0858493042792</v>
      </c>
      <c r="H46" s="24">
        <f>SUM('- 34 -'!B46,'- 34 -'!D46)</f>
        <v>6548800</v>
      </c>
      <c r="I46" s="344">
        <f>H46/'- 3 -'!D46*100</f>
        <v>1.8572102313316878</v>
      </c>
      <c r="J46" s="24">
        <f>H46/'- 7 -'!F46</f>
        <v>214.91205040693094</v>
      </c>
    </row>
    <row r="47" spans="1:11" ht="5.0999999999999996" customHeight="1">
      <c r="A47"/>
      <c r="B47"/>
      <c r="C47"/>
      <c r="D47"/>
      <c r="E47"/>
      <c r="F47"/>
      <c r="G47"/>
      <c r="H47"/>
      <c r="I47"/>
      <c r="J47"/>
      <c r="K47"/>
    </row>
    <row r="48" spans="1:11" ht="14.1" customHeight="1">
      <c r="A48" s="354" t="s">
        <v>259</v>
      </c>
      <c r="B48" s="355">
        <f>SUM(B11:B46)</f>
        <v>86021923</v>
      </c>
      <c r="C48" s="356">
        <f>B48/'- 3 -'!D48*100</f>
        <v>4.2822400766257918</v>
      </c>
      <c r="D48" s="355">
        <f>B48/'- 7 -'!F48</f>
        <v>497.63444094823211</v>
      </c>
      <c r="E48" s="355">
        <f>SUM(E11:E46)</f>
        <v>233268026</v>
      </c>
      <c r="F48" s="356">
        <f>E48/'- 3 -'!D48*100</f>
        <v>11.612268764703009</v>
      </c>
      <c r="G48" s="355">
        <f>E48/'- 7 -'!F48</f>
        <v>1349.4490667176515</v>
      </c>
      <c r="H48" s="355">
        <f>SUM(H11:H46)</f>
        <v>35108398</v>
      </c>
      <c r="I48" s="356">
        <f>H48/'- 3 -'!D48*100</f>
        <v>1.7477241114655016</v>
      </c>
      <c r="J48" s="355">
        <f>H48/'- 7 -'!F48</f>
        <v>203.10110960107264</v>
      </c>
    </row>
    <row r="49" spans="1:10" ht="5.0999999999999996" customHeight="1">
      <c r="A49" s="25" t="s">
        <v>3</v>
      </c>
      <c r="B49" s="26"/>
      <c r="C49" s="343"/>
      <c r="D49" s="26"/>
      <c r="E49" s="26"/>
      <c r="F49" s="343"/>
      <c r="H49" s="26"/>
      <c r="I49" s="343"/>
      <c r="J49" s="26"/>
    </row>
    <row r="50" spans="1:10" ht="14.1" customHeight="1">
      <c r="A50" s="23" t="s">
        <v>260</v>
      </c>
      <c r="B50" s="24">
        <f>SUM('- 31 -'!D50,'- 31 -'!B50,'- 30 -'!F50,'- 30 -'!D50,'- 30 -'!B50)</f>
        <v>34000</v>
      </c>
      <c r="C50" s="344">
        <f>B50/'- 3 -'!D50*100</f>
        <v>1.0529494197164779</v>
      </c>
      <c r="D50" s="24">
        <f>B50/'- 7 -'!F50</f>
        <v>187.84530386740332</v>
      </c>
      <c r="E50" s="24">
        <f>SUM('- 33 -'!D50,'- 33 -'!B50,'- 32 -'!F50,'- 32 -'!D50,'- 32 -'!B50)</f>
        <v>461516</v>
      </c>
      <c r="F50" s="344">
        <f>E50/'- 3 -'!D50*100</f>
        <v>14.29273542323147</v>
      </c>
      <c r="G50" s="24">
        <f>E50/'- 7 -'!F50</f>
        <v>2549.8121546961324</v>
      </c>
      <c r="H50" s="24">
        <f>SUM('- 34 -'!B50,'- 34 -'!D50)</f>
        <v>90545</v>
      </c>
      <c r="I50" s="344">
        <f>H50/'- 3 -'!D50*100</f>
        <v>2.8040972120067202</v>
      </c>
      <c r="J50" s="24">
        <f>H50/'- 7 -'!F50</f>
        <v>500.24861878453038</v>
      </c>
    </row>
    <row r="51" spans="1:10" ht="14.1" customHeight="1">
      <c r="A51" s="351" t="s">
        <v>261</v>
      </c>
      <c r="B51" s="352">
        <f>SUM('- 31 -'!D51,'- 31 -'!B51,'- 30 -'!F51,'- 30 -'!D51,'- 30 -'!B51)</f>
        <v>0</v>
      </c>
      <c r="C51" s="353">
        <f>B51/'- 3 -'!D51*100</f>
        <v>0</v>
      </c>
      <c r="D51" s="352">
        <f>B51/'- 7 -'!F51</f>
        <v>0</v>
      </c>
      <c r="E51" s="352">
        <f>SUM('- 33 -'!D51,'- 33 -'!B51,'- 32 -'!F51,'- 32 -'!D51,'- 32 -'!B51)</f>
        <v>1866919</v>
      </c>
      <c r="F51" s="353">
        <f>E51/'- 3 -'!D51*100</f>
        <v>10.585151229081797</v>
      </c>
      <c r="G51" s="352">
        <f>E51/'- 7 -'!F51</f>
        <v>3006.3107890499195</v>
      </c>
      <c r="H51" s="352">
        <f>SUM('- 34 -'!B51,'- 34 -'!D51)</f>
        <v>140496</v>
      </c>
      <c r="I51" s="353">
        <f>H51/'- 3 -'!D51*100</f>
        <v>0.79659128600709295</v>
      </c>
      <c r="J51" s="352">
        <f>H51/'- 7 -'!F51</f>
        <v>226.2415458937198</v>
      </c>
    </row>
    <row r="52" spans="1:10" ht="50.1" customHeight="1">
      <c r="B52" s="552" t="str">
        <f>IF(B48='- 10 -'!K22,"","check with page 10")</f>
        <v/>
      </c>
      <c r="C52" s="552"/>
      <c r="D52" s="552"/>
      <c r="E52" s="552"/>
      <c r="F52" s="552"/>
      <c r="G52" s="552"/>
      <c r="H52" s="552" t="str">
        <f>IF($H$48='- 10 -'!K24," ","check with page 10")</f>
        <v xml:space="preserve"> </v>
      </c>
    </row>
    <row r="53" spans="1:10" ht="15" customHeight="1">
      <c r="B53" s="1">
        <f>B48-'- 10 -'!K22</f>
        <v>0</v>
      </c>
    </row>
    <row r="54" spans="1:10" ht="14.45" customHeight="1">
      <c r="B54" s="91"/>
      <c r="C54" s="91"/>
      <c r="E54" s="91"/>
      <c r="F54" s="91"/>
      <c r="H54" s="91"/>
    </row>
    <row r="55" spans="1:10" ht="14.45" customHeight="1"/>
    <row r="56" spans="1:10" ht="14.45" customHeight="1"/>
    <row r="57" spans="1:10" ht="14.45" customHeight="1"/>
    <row r="58" spans="1:10" ht="14.45" customHeight="1"/>
    <row r="59" spans="1:10" ht="14.45" customHeight="1"/>
  </sheetData>
  <phoneticPr fontId="0" type="noConversion"/>
  <printOptions horizontalCentered="1"/>
  <pageMargins left="0.5" right="0.5" top="0.6" bottom="0" header="0.3" footer="0"/>
  <pageSetup scale="92" orientation="portrait" r:id="rId1"/>
  <headerFooter alignWithMargins="0">
    <oddHeader>&amp;C&amp;"Arial,Bold"&amp;10&amp;A</oddHead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G59"/>
  <sheetViews>
    <sheetView showGridLines="0" showZeros="0" workbookViewId="0"/>
  </sheetViews>
  <sheetFormatPr defaultColWidth="15.83203125" defaultRowHeight="12"/>
  <cols>
    <col min="1" max="1" width="35.83203125" style="1" customWidth="1"/>
    <col min="2" max="2" width="17.5" style="1" customWidth="1"/>
    <col min="3" max="3" width="9.33203125" style="1" customWidth="1"/>
    <col min="4" max="4" width="13" style="1" customWidth="1"/>
    <col min="5" max="5" width="13.5" style="1" customWidth="1"/>
    <col min="6" max="6" width="10.1640625" style="1" customWidth="1"/>
    <col min="7" max="7" width="12" style="1" customWidth="1"/>
    <col min="8" max="16384" width="15.83203125" style="1"/>
  </cols>
  <sheetData>
    <row r="1" spans="1:7" ht="6.95" customHeight="1">
      <c r="A1" s="3"/>
      <c r="B1" s="40"/>
      <c r="C1" s="40"/>
      <c r="D1" s="40"/>
      <c r="E1" s="40"/>
      <c r="F1" s="40"/>
      <c r="G1" s="40"/>
    </row>
    <row r="2" spans="1:7" ht="15.95" customHeight="1">
      <c r="A2" s="160"/>
      <c r="B2" s="5" t="s">
        <v>437</v>
      </c>
      <c r="C2" s="196"/>
      <c r="D2" s="43"/>
      <c r="E2" s="43"/>
      <c r="F2" s="43"/>
      <c r="G2" s="183" t="s">
        <v>383</v>
      </c>
    </row>
    <row r="3" spans="1:7" ht="15.95" customHeight="1">
      <c r="A3" s="163"/>
      <c r="B3" s="233" t="str">
        <f>OPYEAR</f>
        <v>OPERATING FUND 2012/2013 BUDGET</v>
      </c>
      <c r="C3" s="46"/>
      <c r="D3" s="197"/>
      <c r="E3" s="46"/>
      <c r="F3" s="46"/>
      <c r="G3" s="48"/>
    </row>
    <row r="4" spans="1:7" ht="15.95" customHeight="1">
      <c r="B4" s="40"/>
      <c r="C4" s="40"/>
      <c r="D4" s="40"/>
      <c r="E4" s="40"/>
      <c r="F4" s="40"/>
      <c r="G4" s="40"/>
    </row>
    <row r="5" spans="1:7" ht="15.95" customHeight="1">
      <c r="B5" s="214" t="s">
        <v>9</v>
      </c>
      <c r="C5" s="198"/>
      <c r="D5" s="199"/>
      <c r="E5" s="199"/>
      <c r="F5" s="199"/>
      <c r="G5" s="200"/>
    </row>
    <row r="6" spans="1:7" ht="15.95" customHeight="1">
      <c r="B6" s="389"/>
      <c r="C6" s="390"/>
      <c r="D6" s="391"/>
      <c r="E6" s="392" t="s">
        <v>182</v>
      </c>
      <c r="F6" s="393"/>
      <c r="G6" s="394"/>
    </row>
    <row r="7" spans="1:7" ht="15.95" customHeight="1">
      <c r="B7" s="395" t="s">
        <v>30</v>
      </c>
      <c r="C7" s="396"/>
      <c r="D7" s="397"/>
      <c r="E7" s="395" t="s">
        <v>219</v>
      </c>
      <c r="F7" s="396"/>
      <c r="G7" s="397"/>
    </row>
    <row r="8" spans="1:7" ht="15.95" customHeight="1">
      <c r="A8" s="101"/>
      <c r="B8" s="201"/>
      <c r="C8" s="202"/>
      <c r="D8" s="203" t="s">
        <v>59</v>
      </c>
      <c r="E8" s="204"/>
      <c r="F8" s="202"/>
      <c r="G8" s="203" t="s">
        <v>59</v>
      </c>
    </row>
    <row r="9" spans="1:7" ht="15.95" customHeight="1">
      <c r="A9" s="35" t="s">
        <v>79</v>
      </c>
      <c r="B9" s="53" t="s">
        <v>80</v>
      </c>
      <c r="C9" s="53" t="s">
        <v>81</v>
      </c>
      <c r="D9" s="53" t="s">
        <v>82</v>
      </c>
      <c r="E9" s="205" t="s">
        <v>80</v>
      </c>
      <c r="F9" s="53" t="s">
        <v>81</v>
      </c>
      <c r="G9" s="53" t="s">
        <v>82</v>
      </c>
    </row>
    <row r="10" spans="1:7" ht="5.0999999999999996" customHeight="1">
      <c r="A10" s="37"/>
      <c r="B10" s="65"/>
      <c r="C10" s="65"/>
      <c r="D10" s="65"/>
      <c r="E10" s="65"/>
      <c r="F10" s="65"/>
      <c r="G10" s="65"/>
    </row>
    <row r="11" spans="1:7" ht="14.1" customHeight="1">
      <c r="A11" s="351" t="s">
        <v>224</v>
      </c>
      <c r="B11" s="352">
        <v>1018760</v>
      </c>
      <c r="C11" s="353">
        <f>B11/'- 3 -'!$D11*100</f>
        <v>6.4216089195035977</v>
      </c>
      <c r="D11" s="352">
        <f>B11/'- 7 -'!$C11</f>
        <v>688.81676808654493</v>
      </c>
      <c r="E11" s="352">
        <v>0</v>
      </c>
      <c r="F11" s="353">
        <f>E11/'- 3 -'!$D11*100</f>
        <v>0</v>
      </c>
      <c r="G11" s="352" t="str">
        <f>IF('- 7 -'!$B11=0,"",E11/'- 7 -'!$B11)</f>
        <v/>
      </c>
    </row>
    <row r="12" spans="1:7" ht="14.1" customHeight="1">
      <c r="A12" s="23" t="s">
        <v>225</v>
      </c>
      <c r="B12" s="24">
        <v>2365578</v>
      </c>
      <c r="C12" s="344">
        <f>B12/'- 3 -'!$D12*100</f>
        <v>7.8848620772938336</v>
      </c>
      <c r="D12" s="24">
        <f>B12/'- 7 -'!$C12</f>
        <v>1024.1395433410396</v>
      </c>
      <c r="E12" s="24">
        <v>1178513</v>
      </c>
      <c r="F12" s="344">
        <f>E12/'- 3 -'!$D12*100</f>
        <v>3.9281784245955054</v>
      </c>
      <c r="G12" s="24">
        <f>IF('- 7 -'!$B12=0,"",E12/'- 7 -'!$B12)</f>
        <v>8341.6831823329558</v>
      </c>
    </row>
    <row r="13" spans="1:7" ht="14.1" customHeight="1">
      <c r="A13" s="351" t="s">
        <v>226</v>
      </c>
      <c r="B13" s="352">
        <v>5137700</v>
      </c>
      <c r="C13" s="353">
        <f>B13/'- 3 -'!$D13*100</f>
        <v>6.5543759201283898</v>
      </c>
      <c r="D13" s="352">
        <f>B13/'- 7 -'!$C13</f>
        <v>664.8162525879917</v>
      </c>
      <c r="E13" s="352">
        <v>2909800</v>
      </c>
      <c r="F13" s="353">
        <f>E13/'- 3 -'!$D13*100</f>
        <v>3.7121519458881584</v>
      </c>
      <c r="G13" s="352">
        <f>IF('- 7 -'!$B13=0,"",E13/'- 7 -'!$B13)</f>
        <v>7166.9950738916259</v>
      </c>
    </row>
    <row r="14" spans="1:7" ht="14.1" customHeight="1">
      <c r="A14" s="23" t="s">
        <v>524</v>
      </c>
      <c r="B14" s="24">
        <v>5177304</v>
      </c>
      <c r="C14" s="344">
        <f>B14/'- 3 -'!$D14*100</f>
        <v>7.2449679291505298</v>
      </c>
      <c r="D14" s="24">
        <f>B14/'- 7 -'!$C14</f>
        <v>1027.2428571428572</v>
      </c>
      <c r="E14" s="24">
        <v>0</v>
      </c>
      <c r="F14" s="344">
        <f>E14/'- 3 -'!$D14*100</f>
        <v>0</v>
      </c>
      <c r="G14" s="24" t="str">
        <f>IF('- 7 -'!$B14=0,"",E14/'- 7 -'!$B14)</f>
        <v/>
      </c>
    </row>
    <row r="15" spans="1:7" ht="14.1" customHeight="1">
      <c r="A15" s="351" t="s">
        <v>227</v>
      </c>
      <c r="B15" s="352">
        <v>1377850</v>
      </c>
      <c r="C15" s="353">
        <f>B15/'- 3 -'!$D15*100</f>
        <v>7.366100796229599</v>
      </c>
      <c r="D15" s="352">
        <f>B15/'- 7 -'!$C15</f>
        <v>922.25568942436416</v>
      </c>
      <c r="E15" s="352">
        <v>0</v>
      </c>
      <c r="F15" s="353">
        <f>E15/'- 3 -'!$D15*100</f>
        <v>0</v>
      </c>
      <c r="G15" s="352" t="str">
        <f>IF('- 7 -'!$B15=0,"",E15/'- 7 -'!$B15)</f>
        <v/>
      </c>
    </row>
    <row r="16" spans="1:7" ht="14.1" customHeight="1">
      <c r="A16" s="23" t="s">
        <v>228</v>
      </c>
      <c r="B16" s="24">
        <v>1120445</v>
      </c>
      <c r="C16" s="344">
        <f>B16/'- 3 -'!$D16*100</f>
        <v>8.8525196590099604</v>
      </c>
      <c r="D16" s="24">
        <f>B16/'- 7 -'!$C16</f>
        <v>1132.33451237999</v>
      </c>
      <c r="E16" s="24">
        <v>75291</v>
      </c>
      <c r="F16" s="344">
        <f>E16/'- 3 -'!$D16*100</f>
        <v>0.59486637688286259</v>
      </c>
      <c r="G16" s="24">
        <f>IF('- 7 -'!$B16=0,"",E16/'- 7 -'!$B16)</f>
        <v>6274.25</v>
      </c>
    </row>
    <row r="17" spans="1:7" ht="14.1" customHeight="1">
      <c r="A17" s="351" t="s">
        <v>229</v>
      </c>
      <c r="B17" s="352">
        <v>1221983</v>
      </c>
      <c r="C17" s="353">
        <f>B17/'- 3 -'!$D17*100</f>
        <v>7.4967077216304867</v>
      </c>
      <c r="D17" s="352">
        <f>B17/'- 7 -'!$C17</f>
        <v>950.58965383119414</v>
      </c>
      <c r="E17" s="352">
        <v>189100</v>
      </c>
      <c r="F17" s="353">
        <f>E17/'- 3 -'!$D17*100</f>
        <v>1.1601040523152326</v>
      </c>
      <c r="G17" s="352">
        <f>IF('- 7 -'!$B17=0,"",E17/'- 7 -'!$B17)</f>
        <v>6303.333333333333</v>
      </c>
    </row>
    <row r="18" spans="1:7" ht="14.1" customHeight="1">
      <c r="A18" s="23" t="s">
        <v>230</v>
      </c>
      <c r="B18" s="24">
        <v>6480385</v>
      </c>
      <c r="C18" s="344">
        <f>B18/'- 3 -'!$D18*100</f>
        <v>5.6270007607548278</v>
      </c>
      <c r="D18" s="24">
        <f>B18/'- 7 -'!$C18</f>
        <v>1024.80983632482</v>
      </c>
      <c r="E18" s="24">
        <v>0</v>
      </c>
      <c r="F18" s="344">
        <f>E18/'- 3 -'!$D18*100</f>
        <v>0</v>
      </c>
      <c r="G18" s="24" t="str">
        <f>IF('- 7 -'!$B18=0,"",E18/'- 7 -'!$B18)</f>
        <v/>
      </c>
    </row>
    <row r="19" spans="1:7" ht="14.1" customHeight="1">
      <c r="A19" s="351" t="s">
        <v>231</v>
      </c>
      <c r="B19" s="352">
        <v>2675200</v>
      </c>
      <c r="C19" s="353">
        <f>B19/'- 3 -'!$D19*100</f>
        <v>6.8434953346839382</v>
      </c>
      <c r="D19" s="352">
        <f>B19/'- 7 -'!$C19</f>
        <v>634.98694516971284</v>
      </c>
      <c r="E19" s="352">
        <v>927600</v>
      </c>
      <c r="F19" s="353">
        <f>E19/'- 3 -'!$D19*100</f>
        <v>2.3729165193080224</v>
      </c>
      <c r="G19" s="352">
        <f>IF('- 7 -'!$B19=0,"",E19/'- 7 -'!$B19)</f>
        <v>12368</v>
      </c>
    </row>
    <row r="20" spans="1:7" ht="14.1" customHeight="1">
      <c r="A20" s="23" t="s">
        <v>232</v>
      </c>
      <c r="B20" s="24">
        <v>4885600</v>
      </c>
      <c r="C20" s="344">
        <f>B20/'- 3 -'!$D20*100</f>
        <v>7.21984956183777</v>
      </c>
      <c r="D20" s="24">
        <f>B20/'- 7 -'!$C20</f>
        <v>657.99326599326605</v>
      </c>
      <c r="E20" s="24">
        <v>2815900</v>
      </c>
      <c r="F20" s="344">
        <f>E20/'- 3 -'!$D20*100</f>
        <v>4.1612850788396463</v>
      </c>
      <c r="G20" s="24">
        <f>IF('- 7 -'!$B20=0,"",E20/'- 7 -'!$B20)</f>
        <v>6019.4527575887132</v>
      </c>
    </row>
    <row r="21" spans="1:7" ht="14.1" customHeight="1">
      <c r="A21" s="351" t="s">
        <v>233</v>
      </c>
      <c r="B21" s="352">
        <v>2625750</v>
      </c>
      <c r="C21" s="353">
        <f>B21/'- 3 -'!$D21*100</f>
        <v>8.0658637716080364</v>
      </c>
      <c r="D21" s="352">
        <f>B21/'- 7 -'!$C21</f>
        <v>941.12903225806451</v>
      </c>
      <c r="E21" s="352">
        <v>0</v>
      </c>
      <c r="F21" s="353">
        <f>E21/'- 3 -'!$D21*100</f>
        <v>0</v>
      </c>
      <c r="G21" s="352" t="str">
        <f>IF('- 7 -'!$B21=0,"",E21/'- 7 -'!$B21)</f>
        <v/>
      </c>
    </row>
    <row r="22" spans="1:7" ht="14.1" customHeight="1">
      <c r="A22" s="23" t="s">
        <v>234</v>
      </c>
      <c r="B22" s="24">
        <v>1381770</v>
      </c>
      <c r="C22" s="344">
        <f>B22/'- 3 -'!$D22*100</f>
        <v>7.2634192586767492</v>
      </c>
      <c r="D22" s="24">
        <f>B22/'- 7 -'!$C22</f>
        <v>855.85010839269125</v>
      </c>
      <c r="E22" s="24">
        <v>0</v>
      </c>
      <c r="F22" s="344">
        <f>E22/'- 3 -'!$D22*100</f>
        <v>0</v>
      </c>
      <c r="G22" s="24" t="str">
        <f>IF('- 7 -'!$B22=0,"",E22/'- 7 -'!$B22)</f>
        <v/>
      </c>
    </row>
    <row r="23" spans="1:7" ht="14.1" customHeight="1">
      <c r="A23" s="351" t="s">
        <v>235</v>
      </c>
      <c r="B23" s="352">
        <v>976300</v>
      </c>
      <c r="C23" s="353">
        <f>B23/'- 3 -'!$D23*100</f>
        <v>6.2716082374359061</v>
      </c>
      <c r="D23" s="352">
        <f>B23/'- 7 -'!$C23</f>
        <v>816.64575491426183</v>
      </c>
      <c r="E23" s="352">
        <v>204500</v>
      </c>
      <c r="F23" s="353">
        <f>E23/'- 3 -'!$D23*100</f>
        <v>1.3136780544460132</v>
      </c>
      <c r="G23" s="352">
        <f>IF('- 7 -'!$B23=0,"",E23/'- 7 -'!$B23)</f>
        <v>8520.8333333333339</v>
      </c>
    </row>
    <row r="24" spans="1:7" ht="14.1" customHeight="1">
      <c r="A24" s="23" t="s">
        <v>236</v>
      </c>
      <c r="B24" s="24">
        <v>4072600</v>
      </c>
      <c r="C24" s="344">
        <f>B24/'- 3 -'!$D24*100</f>
        <v>7.9843778626526642</v>
      </c>
      <c r="D24" s="24">
        <f>B24/'- 7 -'!$C24</f>
        <v>953.32397003745314</v>
      </c>
      <c r="E24" s="24">
        <v>1818130</v>
      </c>
      <c r="F24" s="344">
        <f>E24/'- 3 -'!$D24*100</f>
        <v>3.5644642055258773</v>
      </c>
      <c r="G24" s="24">
        <f>IF('- 7 -'!$B24=0,"",E24/'- 7 -'!$B24)</f>
        <v>5078.5754189944137</v>
      </c>
    </row>
    <row r="25" spans="1:7" ht="14.1" customHeight="1">
      <c r="A25" s="351" t="s">
        <v>237</v>
      </c>
      <c r="B25" s="352">
        <v>12956130</v>
      </c>
      <c r="C25" s="353">
        <f>B25/'- 3 -'!$D25*100</f>
        <v>8.6288985599900769</v>
      </c>
      <c r="D25" s="352">
        <f>B25/'- 7 -'!$C25</f>
        <v>953.21733372572101</v>
      </c>
      <c r="E25" s="352">
        <v>1648383</v>
      </c>
      <c r="F25" s="353">
        <f>E25/'- 3 -'!$D25*100</f>
        <v>1.0978378339065851</v>
      </c>
      <c r="G25" s="352">
        <f>IF('- 7 -'!$B25=0,"",E25/'- 7 -'!$B25)</f>
        <v>10703.785714285714</v>
      </c>
    </row>
    <row r="26" spans="1:7" ht="14.1" customHeight="1">
      <c r="A26" s="23" t="s">
        <v>238</v>
      </c>
      <c r="B26" s="24">
        <v>2853653</v>
      </c>
      <c r="C26" s="344">
        <f>B26/'- 3 -'!$D26*100</f>
        <v>7.7589386895625427</v>
      </c>
      <c r="D26" s="24">
        <f>B26/'- 7 -'!$C26</f>
        <v>954.7183004349281</v>
      </c>
      <c r="E26" s="24">
        <v>889626</v>
      </c>
      <c r="F26" s="344">
        <f>E26/'- 3 -'!$D26*100</f>
        <v>2.4188482589301388</v>
      </c>
      <c r="G26" s="24">
        <f>IF('- 7 -'!$B26=0,"",E26/'- 7 -'!$B26)</f>
        <v>6242.9894736842107</v>
      </c>
    </row>
    <row r="27" spans="1:7" ht="14.1" customHeight="1">
      <c r="A27" s="351" t="s">
        <v>239</v>
      </c>
      <c r="B27" s="352">
        <v>2589840</v>
      </c>
      <c r="C27" s="353">
        <f>B27/'- 3 -'!$D27*100</f>
        <v>6.7642062788301303</v>
      </c>
      <c r="D27" s="352">
        <f>B27/'- 7 -'!$C27</f>
        <v>925.60400285918513</v>
      </c>
      <c r="E27" s="352">
        <v>883248</v>
      </c>
      <c r="F27" s="353">
        <f>E27/'- 3 -'!$D27*100</f>
        <v>2.3068883279909778</v>
      </c>
      <c r="G27" s="352">
        <f>IF('- 7 -'!$B27=0,"",E27/'- 7 -'!$B27)</f>
        <v>4108.1302325581391</v>
      </c>
    </row>
    <row r="28" spans="1:7" ht="14.1" customHeight="1">
      <c r="A28" s="23" t="s">
        <v>240</v>
      </c>
      <c r="B28" s="24">
        <v>1648084</v>
      </c>
      <c r="C28" s="344">
        <f>B28/'- 3 -'!$D28*100</f>
        <v>6.4289809933041759</v>
      </c>
      <c r="D28" s="24">
        <f>B28/'- 7 -'!$C28</f>
        <v>843.00971867007672</v>
      </c>
      <c r="E28" s="24">
        <v>0</v>
      </c>
      <c r="F28" s="344">
        <f>E28/'- 3 -'!$D28*100</f>
        <v>0</v>
      </c>
      <c r="G28" s="24" t="str">
        <f>IF('- 7 -'!$B28=0,"",E28/'- 7 -'!$B28)</f>
        <v/>
      </c>
    </row>
    <row r="29" spans="1:7" ht="14.1" customHeight="1">
      <c r="A29" s="351" t="s">
        <v>241</v>
      </c>
      <c r="B29" s="352">
        <v>10760440</v>
      </c>
      <c r="C29" s="353">
        <f>B29/'- 3 -'!$D29*100</f>
        <v>7.8476714894251733</v>
      </c>
      <c r="D29" s="352">
        <f>B29/'- 7 -'!$C29</f>
        <v>886.070487483531</v>
      </c>
      <c r="E29" s="352">
        <v>0</v>
      </c>
      <c r="F29" s="353">
        <f>E29/'- 3 -'!$D29*100</f>
        <v>0</v>
      </c>
      <c r="G29" s="352" t="str">
        <f>IF('- 7 -'!$B29=0,"",E29/'- 7 -'!$B29)</f>
        <v/>
      </c>
    </row>
    <row r="30" spans="1:7" ht="14.1" customHeight="1">
      <c r="A30" s="23" t="s">
        <v>242</v>
      </c>
      <c r="B30" s="24">
        <v>827133</v>
      </c>
      <c r="C30" s="344">
        <f>B30/'- 3 -'!$D30*100</f>
        <v>6.2370490818308006</v>
      </c>
      <c r="D30" s="24">
        <f>B30/'- 7 -'!$C30</f>
        <v>770.50116441546345</v>
      </c>
      <c r="E30" s="24">
        <v>0</v>
      </c>
      <c r="F30" s="344">
        <f>E30/'- 3 -'!$D30*100</f>
        <v>0</v>
      </c>
      <c r="G30" s="24" t="str">
        <f>IF('- 7 -'!$B30=0,"",E30/'- 7 -'!$B30)</f>
        <v/>
      </c>
    </row>
    <row r="31" spans="1:7" ht="14.1" customHeight="1">
      <c r="A31" s="351" t="s">
        <v>243</v>
      </c>
      <c r="B31" s="352">
        <v>2507170</v>
      </c>
      <c r="C31" s="353">
        <f>B31/'- 3 -'!$D31*100</f>
        <v>7.8100123238435195</v>
      </c>
      <c r="D31" s="352">
        <f>B31/'- 7 -'!$C31</f>
        <v>790.90536277602519</v>
      </c>
      <c r="E31" s="352">
        <v>653649</v>
      </c>
      <c r="F31" s="353">
        <f>E31/'- 3 -'!$D31*100</f>
        <v>2.0361629827526624</v>
      </c>
      <c r="G31" s="352">
        <f>IF('- 7 -'!$B31=0,"",E31/'- 7 -'!$B31)</f>
        <v>7689.9882352941177</v>
      </c>
    </row>
    <row r="32" spans="1:7" ht="14.1" customHeight="1">
      <c r="A32" s="23" t="s">
        <v>244</v>
      </c>
      <c r="B32" s="24">
        <v>1805700</v>
      </c>
      <c r="C32" s="344">
        <f>B32/'- 3 -'!$D32*100</f>
        <v>7.3120565190342868</v>
      </c>
      <c r="D32" s="24">
        <f>B32/'- 7 -'!$C32</f>
        <v>880.38692754372187</v>
      </c>
      <c r="E32" s="24">
        <v>216611</v>
      </c>
      <c r="F32" s="344">
        <f>E32/'- 3 -'!$D32*100</f>
        <v>0.87715117386306474</v>
      </c>
      <c r="G32" s="24">
        <f>IF('- 7 -'!$B32=0,"",E32/'- 7 -'!$B32)</f>
        <v>6079.4555150154356</v>
      </c>
    </row>
    <row r="33" spans="1:7" ht="14.1" customHeight="1">
      <c r="A33" s="351" t="s">
        <v>245</v>
      </c>
      <c r="B33" s="352">
        <v>2026400</v>
      </c>
      <c r="C33" s="353">
        <f>B33/'- 3 -'!$D33*100</f>
        <v>7.9414035403987153</v>
      </c>
      <c r="D33" s="352">
        <f>B33/'- 7 -'!$C33</f>
        <v>1010.9254178099277</v>
      </c>
      <c r="E33" s="352">
        <v>197000</v>
      </c>
      <c r="F33" s="353">
        <f>E33/'- 3 -'!$D33*100</f>
        <v>0.77203735563489295</v>
      </c>
      <c r="G33" s="352">
        <f>IF('- 7 -'!$B33=0,"",E33/'- 7 -'!$B33)</f>
        <v>4377.7777777777774</v>
      </c>
    </row>
    <row r="34" spans="1:7" ht="14.1" customHeight="1">
      <c r="A34" s="23" t="s">
        <v>246</v>
      </c>
      <c r="B34" s="24">
        <v>1944961</v>
      </c>
      <c r="C34" s="344">
        <f>B34/'- 3 -'!$D34*100</f>
        <v>8.1255035719928621</v>
      </c>
      <c r="D34" s="24">
        <f>B34/'- 7 -'!$C34</f>
        <v>972.82098734557098</v>
      </c>
      <c r="E34" s="24">
        <v>295991</v>
      </c>
      <c r="F34" s="344">
        <f>E34/'- 3 -'!$D34*100</f>
        <v>1.2365676883895047</v>
      </c>
      <c r="G34" s="24">
        <f>IF('- 7 -'!$B34=0,"",E34/'- 7 -'!$B34)</f>
        <v>11745.674603174604</v>
      </c>
    </row>
    <row r="35" spans="1:7" ht="14.1" customHeight="1">
      <c r="A35" s="351" t="s">
        <v>247</v>
      </c>
      <c r="B35" s="352">
        <v>12151460</v>
      </c>
      <c r="C35" s="353">
        <f>B35/'- 3 -'!$D35*100</f>
        <v>7.4271307540420315</v>
      </c>
      <c r="D35" s="352">
        <f>B35/'- 7 -'!$C35</f>
        <v>779.2394510709247</v>
      </c>
      <c r="E35" s="352">
        <v>3683418</v>
      </c>
      <c r="F35" s="353">
        <f>E35/'- 3 -'!$D35*100</f>
        <v>2.2513530973061666</v>
      </c>
      <c r="G35" s="352">
        <f>IF('- 7 -'!$B35=0,"",E35/'- 7 -'!$B35)</f>
        <v>6764.7713498622588</v>
      </c>
    </row>
    <row r="36" spans="1:7" ht="14.1" customHeight="1">
      <c r="A36" s="23" t="s">
        <v>248</v>
      </c>
      <c r="B36" s="24">
        <v>1529550</v>
      </c>
      <c r="C36" s="344">
        <f>B36/'- 3 -'!$D36*100</f>
        <v>7.2438475483965075</v>
      </c>
      <c r="D36" s="24">
        <f>B36/'- 7 -'!$C36</f>
        <v>933.79120879120876</v>
      </c>
      <c r="E36" s="24">
        <v>118250</v>
      </c>
      <c r="F36" s="344">
        <f>E36/'- 3 -'!$D36*100</f>
        <v>0.56002417220613054</v>
      </c>
      <c r="G36" s="24">
        <f>IF('- 7 -'!$B36=0,"",E36/'- 7 -'!$B36)</f>
        <v>12994.505494505494</v>
      </c>
    </row>
    <row r="37" spans="1:7" ht="14.1" customHeight="1">
      <c r="A37" s="351" t="s">
        <v>249</v>
      </c>
      <c r="B37" s="352">
        <v>3400873</v>
      </c>
      <c r="C37" s="353">
        <f>B37/'- 3 -'!$D37*100</f>
        <v>8.5352677584119316</v>
      </c>
      <c r="D37" s="352">
        <f>B37/'- 7 -'!$C37</f>
        <v>924.77851801495581</v>
      </c>
      <c r="E37" s="352">
        <v>0</v>
      </c>
      <c r="F37" s="353">
        <f>E37/'- 3 -'!$D37*100</f>
        <v>0</v>
      </c>
      <c r="G37" s="352" t="str">
        <f>IF('- 7 -'!$B37=0,"",E37/'- 7 -'!$B37)</f>
        <v/>
      </c>
    </row>
    <row r="38" spans="1:7" ht="14.1" customHeight="1">
      <c r="A38" s="23" t="s">
        <v>250</v>
      </c>
      <c r="B38" s="24">
        <v>9380035</v>
      </c>
      <c r="C38" s="344">
        <f>B38/'- 3 -'!$D38*100</f>
        <v>8.3796699958905823</v>
      </c>
      <c r="D38" s="24">
        <f>B38/'- 7 -'!$C38</f>
        <v>890.5378334757429</v>
      </c>
      <c r="E38" s="24">
        <v>589500</v>
      </c>
      <c r="F38" s="344">
        <f>E38/'- 3 -'!$D38*100</f>
        <v>0.52663081348603691</v>
      </c>
      <c r="G38" s="24">
        <f>IF('- 7 -'!$B38=0,"",E38/'- 7 -'!$B38)</f>
        <v>3447.3684210526317</v>
      </c>
    </row>
    <row r="39" spans="1:7" ht="14.1" customHeight="1">
      <c r="A39" s="351" t="s">
        <v>251</v>
      </c>
      <c r="B39" s="352">
        <v>1366000</v>
      </c>
      <c r="C39" s="353">
        <f>B39/'- 3 -'!$D39*100</f>
        <v>6.8628772999933485</v>
      </c>
      <c r="D39" s="352">
        <f>B39/'- 7 -'!$C39</f>
        <v>875.08007687379882</v>
      </c>
      <c r="E39" s="352">
        <v>147000</v>
      </c>
      <c r="F39" s="353">
        <f>E39/'- 3 -'!$D39*100</f>
        <v>0.73853804033603376</v>
      </c>
      <c r="G39" s="352">
        <f>IF('- 7 -'!$B39=0,"",E39/'- 7 -'!$B39)</f>
        <v>3418.6046511627906</v>
      </c>
    </row>
    <row r="40" spans="1:7" ht="14.1" customHeight="1">
      <c r="A40" s="23" t="s">
        <v>252</v>
      </c>
      <c r="B40" s="24">
        <v>7802810</v>
      </c>
      <c r="C40" s="344">
        <f>B40/'- 3 -'!$D40*100</f>
        <v>8.310523038799543</v>
      </c>
      <c r="D40" s="24">
        <f>B40/'- 7 -'!$C40</f>
        <v>959.70800944602991</v>
      </c>
      <c r="E40" s="24">
        <v>1983443</v>
      </c>
      <c r="F40" s="344">
        <f>E40/'- 3 -'!$D40*100</f>
        <v>2.112501617705119</v>
      </c>
      <c r="G40" s="24">
        <f>IF('- 7 -'!$B40=0,"",E40/'- 7 -'!$B40)</f>
        <v>5237.5046210720893</v>
      </c>
    </row>
    <row r="41" spans="1:7" ht="14.1" customHeight="1">
      <c r="A41" s="351" t="s">
        <v>253</v>
      </c>
      <c r="B41" s="352">
        <v>3894353</v>
      </c>
      <c r="C41" s="353">
        <f>B41/'- 3 -'!$D41*100</f>
        <v>6.8534112366855648</v>
      </c>
      <c r="D41" s="352">
        <f>B41/'- 7 -'!$C41</f>
        <v>864.73920284223379</v>
      </c>
      <c r="E41" s="352">
        <v>0</v>
      </c>
      <c r="F41" s="353">
        <f>E41/'- 3 -'!$D41*100</f>
        <v>0</v>
      </c>
      <c r="G41" s="352" t="str">
        <f>IF('- 7 -'!$B41=0,"",E41/'- 7 -'!$B41)</f>
        <v/>
      </c>
    </row>
    <row r="42" spans="1:7" ht="14.1" customHeight="1">
      <c r="A42" s="23" t="s">
        <v>254</v>
      </c>
      <c r="B42" s="24">
        <v>1411542</v>
      </c>
      <c r="C42" s="344">
        <f>B42/'- 3 -'!$D42*100</f>
        <v>7.0956547231977725</v>
      </c>
      <c r="D42" s="24">
        <f>B42/'- 7 -'!$C42</f>
        <v>968.1358024691358</v>
      </c>
      <c r="E42" s="24">
        <v>954313</v>
      </c>
      <c r="F42" s="344">
        <f>E42/'- 3 -'!$D42*100</f>
        <v>4.7972186062186148</v>
      </c>
      <c r="G42" s="24">
        <f>IF('- 7 -'!$B42=0,"",E42/'- 7 -'!$B42)</f>
        <v>7514.2755905511813</v>
      </c>
    </row>
    <row r="43" spans="1:7" ht="14.1" customHeight="1">
      <c r="A43" s="351" t="s">
        <v>255</v>
      </c>
      <c r="B43" s="352">
        <v>671546</v>
      </c>
      <c r="C43" s="353">
        <f>B43/'- 3 -'!$D43*100</f>
        <v>5.6831956074403713</v>
      </c>
      <c r="D43" s="352">
        <f>B43/'- 7 -'!$C43</f>
        <v>707.54220993019885</v>
      </c>
      <c r="E43" s="352">
        <v>0</v>
      </c>
      <c r="F43" s="353">
        <f>E43/'- 3 -'!$D43*100</f>
        <v>0</v>
      </c>
      <c r="G43" s="352" t="str">
        <f>IF('- 7 -'!$B43=0,"",E43/'- 7 -'!$B43)</f>
        <v/>
      </c>
    </row>
    <row r="44" spans="1:7" ht="14.1" customHeight="1">
      <c r="A44" s="23" t="s">
        <v>256</v>
      </c>
      <c r="B44" s="24">
        <v>519817</v>
      </c>
      <c r="C44" s="344">
        <f>B44/'- 3 -'!$D44*100</f>
        <v>5.1698300257647629</v>
      </c>
      <c r="D44" s="24">
        <f>B44/'- 7 -'!$C44</f>
        <v>694.94251336898401</v>
      </c>
      <c r="E44" s="24">
        <v>0</v>
      </c>
      <c r="F44" s="344">
        <f>E44/'- 3 -'!$D44*100</f>
        <v>0</v>
      </c>
      <c r="G44" s="24" t="str">
        <f>IF('- 7 -'!$B44=0,"",E44/'- 7 -'!$B44)</f>
        <v/>
      </c>
    </row>
    <row r="45" spans="1:7" ht="14.1" customHeight="1">
      <c r="A45" s="351" t="s">
        <v>257</v>
      </c>
      <c r="B45" s="352">
        <v>1157410</v>
      </c>
      <c r="C45" s="353">
        <f>B45/'- 3 -'!$D45*100</f>
        <v>7.0696836090429107</v>
      </c>
      <c r="D45" s="352">
        <f>B45/'- 7 -'!$C45</f>
        <v>696.60547697863376</v>
      </c>
      <c r="E45" s="352">
        <v>318118</v>
      </c>
      <c r="F45" s="353">
        <f>E45/'- 3 -'!$D45*100</f>
        <v>1.943126126732543</v>
      </c>
      <c r="G45" s="352">
        <f>IF('- 7 -'!$B45=0,"",E45/'- 7 -'!$B45)</f>
        <v>7952.95</v>
      </c>
    </row>
    <row r="46" spans="1:7" ht="14.1" customHeight="1">
      <c r="A46" s="23" t="s">
        <v>258</v>
      </c>
      <c r="B46" s="24">
        <v>26640300</v>
      </c>
      <c r="C46" s="344">
        <f>B46/'- 3 -'!$D46*100</f>
        <v>7.5550692837994076</v>
      </c>
      <c r="D46" s="24">
        <f>B46/'- 7 -'!$C46</f>
        <v>874.25505381990024</v>
      </c>
      <c r="E46" s="24">
        <v>5147500</v>
      </c>
      <c r="F46" s="344">
        <f>E46/'- 3 -'!$D46*100</f>
        <v>1.4598078527027645</v>
      </c>
      <c r="G46" s="24">
        <f>IF('- 7 -'!$B46=0,"",E46/'- 7 -'!$B46)</f>
        <v>8582.0273424474835</v>
      </c>
    </row>
    <row r="47" spans="1:7" ht="5.0999999999999996" customHeight="1">
      <c r="A47"/>
      <c r="B47"/>
      <c r="C47"/>
      <c r="D47"/>
      <c r="E47"/>
      <c r="F47"/>
      <c r="G47"/>
    </row>
    <row r="48" spans="1:7" ht="14.1" customHeight="1">
      <c r="A48" s="354" t="s">
        <v>259</v>
      </c>
      <c r="B48" s="355">
        <f>SUM(B11:B46)</f>
        <v>150362432</v>
      </c>
      <c r="C48" s="356">
        <f>B48/'- 3 -'!$D48*100</f>
        <v>7.4851620363023095</v>
      </c>
      <c r="D48" s="355">
        <f>B48/'- 7 -'!$C48</f>
        <v>869.84250268314236</v>
      </c>
      <c r="E48" s="355">
        <f>SUM(E11:E46)</f>
        <v>27844884</v>
      </c>
      <c r="F48" s="356">
        <f>E48/'- 3 -'!$D48*100</f>
        <v>1.3861405794636361</v>
      </c>
      <c r="G48" s="355">
        <f>E48/'- 7 -'!$B48</f>
        <v>6742.9026688396452</v>
      </c>
    </row>
    <row r="49" spans="1:7" ht="5.0999999999999996" customHeight="1">
      <c r="A49" s="25" t="s">
        <v>3</v>
      </c>
      <c r="B49" s="26"/>
      <c r="C49" s="343"/>
      <c r="D49" s="26"/>
      <c r="E49" s="26"/>
      <c r="F49" s="343"/>
    </row>
    <row r="50" spans="1:7" ht="14.1" customHeight="1">
      <c r="A50" s="23" t="s">
        <v>260</v>
      </c>
      <c r="B50" s="24">
        <v>230178</v>
      </c>
      <c r="C50" s="344">
        <f>B50/'- 3 -'!$D50*100</f>
        <v>7.1284056332793959</v>
      </c>
      <c r="D50" s="24">
        <f>B50/'- 7 -'!$C50</f>
        <v>1271.7016574585634</v>
      </c>
      <c r="E50" s="24">
        <v>0</v>
      </c>
      <c r="F50" s="344">
        <f>E50/'- 3 -'!$D50*100</f>
        <v>0</v>
      </c>
      <c r="G50" s="24" t="str">
        <f>IF('- 7 -'!$B50=0,"",E50/'- 7 -'!$B50)</f>
        <v/>
      </c>
    </row>
    <row r="51" spans="1:7" ht="14.1" customHeight="1">
      <c r="A51" s="351" t="s">
        <v>261</v>
      </c>
      <c r="B51" s="352">
        <v>595686</v>
      </c>
      <c r="C51" s="353">
        <f>B51/'- 3 -'!$D51*100</f>
        <v>3.3774504384211737</v>
      </c>
      <c r="D51" s="352">
        <f>B51/'- 7 -'!$C51</f>
        <v>959.23671497584542</v>
      </c>
      <c r="E51" s="352">
        <v>4010272</v>
      </c>
      <c r="F51" s="353">
        <f>E51/'- 3 -'!$D51*100</f>
        <v>22.737641852566885</v>
      </c>
      <c r="G51" s="352">
        <f>IF('- 7 -'!$B51=0,"",E51/'- 7 -'!$B51)</f>
        <v>7097.8265486725668</v>
      </c>
    </row>
    <row r="52" spans="1:7" ht="50.1" customHeight="1">
      <c r="B52" s="65"/>
      <c r="C52" s="65"/>
      <c r="D52" s="65"/>
      <c r="E52" s="65"/>
      <c r="F52" s="65"/>
      <c r="G52" s="65"/>
    </row>
    <row r="53" spans="1:7" ht="15" customHeight="1">
      <c r="C53" s="65"/>
      <c r="D53" s="65"/>
      <c r="E53" s="65"/>
      <c r="F53" s="65"/>
      <c r="G53" s="65"/>
    </row>
    <row r="54" spans="1:7" ht="14.45" customHeight="1"/>
    <row r="55" spans="1:7" ht="14.45" customHeight="1"/>
    <row r="56" spans="1:7" ht="14.45" customHeight="1"/>
    <row r="57" spans="1:7" ht="14.45" customHeight="1"/>
    <row r="58" spans="1:7" ht="14.45" customHeight="1"/>
    <row r="59" spans="1:7" ht="14.45" customHeight="1"/>
  </sheetData>
  <phoneticPr fontId="0" type="noConversion"/>
  <printOptions horizontalCentered="1"/>
  <pageMargins left="0.51181102362204722" right="0.51181102362204722" top="0.59055118110236227" bottom="0" header="0.31496062992125984" footer="0"/>
  <pageSetup scale="92" orientation="portrait" r:id="rId1"/>
  <headerFooter alignWithMargins="0">
    <oddHeader>&amp;C&amp;"Arial,Bold"&amp;10&amp;A</oddHead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J59"/>
  <sheetViews>
    <sheetView showGridLines="0" showZeros="0" workbookViewId="0"/>
  </sheetViews>
  <sheetFormatPr defaultColWidth="15.83203125" defaultRowHeight="12"/>
  <cols>
    <col min="1" max="1" width="32.83203125" style="1" customWidth="1"/>
    <col min="2" max="2" width="14.83203125" style="1" customWidth="1"/>
    <col min="3" max="3" width="7.83203125" style="1" customWidth="1"/>
    <col min="4" max="4" width="9.83203125" style="1" customWidth="1"/>
    <col min="5" max="5" width="12.33203125" style="1" customWidth="1"/>
    <col min="6" max="6" width="7.83203125" style="1" customWidth="1"/>
    <col min="7" max="7" width="9.83203125" style="1" customWidth="1"/>
    <col min="8" max="8" width="12.5" style="1" customWidth="1"/>
    <col min="9" max="9" width="7.83203125" style="1" customWidth="1"/>
    <col min="10" max="10" width="9.83203125" style="1" customWidth="1"/>
    <col min="11" max="16384" width="15.83203125" style="1"/>
  </cols>
  <sheetData>
    <row r="1" spans="1:10" ht="6.95" customHeight="1">
      <c r="A1" s="3"/>
      <c r="B1" s="3"/>
      <c r="C1" s="3"/>
      <c r="D1" s="3"/>
      <c r="E1" s="3"/>
      <c r="F1" s="3"/>
      <c r="G1" s="3"/>
      <c r="H1" s="40"/>
      <c r="I1" s="40"/>
      <c r="J1" s="40"/>
    </row>
    <row r="2" spans="1:10" ht="15.95" customHeight="1">
      <c r="A2" s="160"/>
      <c r="B2" s="5" t="s">
        <v>437</v>
      </c>
      <c r="C2" s="43"/>
      <c r="D2" s="43"/>
      <c r="E2" s="189"/>
      <c r="F2" s="189"/>
      <c r="G2" s="189"/>
      <c r="H2" s="189"/>
      <c r="I2" s="41"/>
      <c r="J2" s="183" t="s">
        <v>397</v>
      </c>
    </row>
    <row r="3" spans="1:10" ht="15.95" customHeight="1">
      <c r="A3" s="163"/>
      <c r="B3" s="106" t="str">
        <f>OPYEAR</f>
        <v>OPERATING FUND 2012/2013 BUDGET</v>
      </c>
      <c r="C3" s="46"/>
      <c r="D3" s="46"/>
      <c r="E3" s="190"/>
      <c r="F3" s="190"/>
      <c r="G3" s="190"/>
      <c r="H3" s="190"/>
      <c r="I3" s="45"/>
      <c r="J3" s="212"/>
    </row>
    <row r="4" spans="1:10" ht="15.95" customHeight="1">
      <c r="H4" s="40"/>
      <c r="I4" s="40"/>
      <c r="J4" s="40"/>
    </row>
    <row r="5" spans="1:10" ht="15.95" customHeight="1">
      <c r="B5" s="214" t="s">
        <v>353</v>
      </c>
      <c r="C5" s="71"/>
      <c r="D5" s="71"/>
      <c r="E5" s="71"/>
      <c r="F5" s="71"/>
      <c r="G5" s="71"/>
      <c r="H5" s="71"/>
      <c r="I5" s="230"/>
      <c r="J5" s="231"/>
    </row>
    <row r="6" spans="1:10" ht="15.95" customHeight="1">
      <c r="B6" s="398" t="s">
        <v>355</v>
      </c>
      <c r="C6" s="399"/>
      <c r="D6" s="399"/>
      <c r="E6" s="399"/>
      <c r="F6" s="399"/>
      <c r="G6" s="400"/>
      <c r="H6" s="401"/>
      <c r="I6" s="399"/>
      <c r="J6" s="400"/>
    </row>
    <row r="7" spans="1:10" ht="15.95" customHeight="1">
      <c r="B7" s="382" t="s">
        <v>31</v>
      </c>
      <c r="C7" s="383"/>
      <c r="D7" s="385"/>
      <c r="E7" s="382" t="s">
        <v>32</v>
      </c>
      <c r="F7" s="383"/>
      <c r="G7" s="385"/>
      <c r="H7" s="382" t="s">
        <v>33</v>
      </c>
      <c r="I7" s="383"/>
      <c r="J7" s="385"/>
    </row>
    <row r="8" spans="1:10" ht="15.95" customHeight="1">
      <c r="A8" s="101"/>
      <c r="B8" s="232"/>
      <c r="C8" s="217"/>
      <c r="D8" s="203" t="s">
        <v>59</v>
      </c>
      <c r="E8" s="232"/>
      <c r="F8" s="217"/>
      <c r="G8" s="203" t="s">
        <v>59</v>
      </c>
      <c r="H8" s="204"/>
      <c r="I8" s="202"/>
      <c r="J8" s="203" t="s">
        <v>59</v>
      </c>
    </row>
    <row r="9" spans="1:10" ht="15.95" customHeight="1">
      <c r="A9" s="35" t="s">
        <v>79</v>
      </c>
      <c r="B9" s="53" t="s">
        <v>80</v>
      </c>
      <c r="C9" s="53" t="s">
        <v>81</v>
      </c>
      <c r="D9" s="53" t="s">
        <v>82</v>
      </c>
      <c r="E9" s="53" t="s">
        <v>80</v>
      </c>
      <c r="F9" s="53" t="s">
        <v>81</v>
      </c>
      <c r="G9" s="53" t="s">
        <v>82</v>
      </c>
      <c r="H9" s="205" t="s">
        <v>80</v>
      </c>
      <c r="I9" s="53" t="s">
        <v>81</v>
      </c>
      <c r="J9" s="53" t="s">
        <v>82</v>
      </c>
    </row>
    <row r="10" spans="1:10" ht="5.0999999999999996" customHeight="1">
      <c r="A10" s="37"/>
      <c r="B10" s="65"/>
      <c r="C10" s="65"/>
      <c r="D10" s="65"/>
      <c r="E10" s="65"/>
      <c r="F10" s="65"/>
      <c r="G10" s="65"/>
      <c r="H10" s="65"/>
      <c r="I10" s="65"/>
      <c r="J10" s="65"/>
    </row>
    <row r="11" spans="1:10" ht="14.1" customHeight="1">
      <c r="A11" s="351" t="s">
        <v>224</v>
      </c>
      <c r="B11" s="352">
        <v>8587062</v>
      </c>
      <c r="C11" s="353">
        <f>B11/'- 3 -'!$D11*100</f>
        <v>54.12732530873847</v>
      </c>
      <c r="D11" s="352">
        <f>B11/'- 6 -'!$B11</f>
        <v>5805.9918864097363</v>
      </c>
      <c r="E11" s="352">
        <v>0</v>
      </c>
      <c r="F11" s="353">
        <f>E11/'- 3 -'!$D11*100</f>
        <v>0</v>
      </c>
      <c r="G11" s="352" t="str">
        <f>IF('- 6 -'!$C11=0,"",E11/'- 6 -'!$C11)</f>
        <v/>
      </c>
      <c r="H11" s="352">
        <v>0</v>
      </c>
      <c r="I11" s="353">
        <f>H11/'- 3 -'!$D11*100</f>
        <v>0</v>
      </c>
      <c r="J11" s="352" t="str">
        <f>IF('- 6 -'!$D11=0,"",H11/'- 6 -'!$D11)</f>
        <v/>
      </c>
    </row>
    <row r="12" spans="1:10" ht="14.1" customHeight="1">
      <c r="A12" s="23" t="s">
        <v>225</v>
      </c>
      <c r="B12" s="24">
        <v>13476888</v>
      </c>
      <c r="C12" s="344">
        <f>B12/'- 3 -'!$D12*100</f>
        <v>44.920693002359812</v>
      </c>
      <c r="D12" s="24">
        <f>B12/'- 6 -'!$B12</f>
        <v>6214.728803711253</v>
      </c>
      <c r="E12" s="24">
        <v>0</v>
      </c>
      <c r="F12" s="344">
        <f>E12/'- 3 -'!$D12*100</f>
        <v>0</v>
      </c>
      <c r="G12" s="24" t="str">
        <f>IF('- 6 -'!$C12=0,"",E12/'- 6 -'!$C12)</f>
        <v/>
      </c>
      <c r="H12" s="24">
        <v>0</v>
      </c>
      <c r="I12" s="344">
        <f>H12/'- 3 -'!$D12*100</f>
        <v>0</v>
      </c>
      <c r="J12" s="24" t="str">
        <f>IF('- 6 -'!$D12=0,"",H12/'- 6 -'!$D12)</f>
        <v/>
      </c>
    </row>
    <row r="13" spans="1:10" ht="14.1" customHeight="1">
      <c r="A13" s="351" t="s">
        <v>226</v>
      </c>
      <c r="B13" s="352">
        <v>31483200</v>
      </c>
      <c r="C13" s="353">
        <f>B13/'- 3 -'!$D13*100</f>
        <v>40.164417534808599</v>
      </c>
      <c r="D13" s="352">
        <f>B13/'- 6 -'!$B13</f>
        <v>5598.00853485064</v>
      </c>
      <c r="E13" s="352">
        <v>0</v>
      </c>
      <c r="F13" s="353">
        <f>E13/'- 3 -'!$D13*100</f>
        <v>0</v>
      </c>
      <c r="G13" s="352" t="str">
        <f>IF('- 6 -'!$C13=0,"",E13/'- 6 -'!$C13)</f>
        <v/>
      </c>
      <c r="H13" s="352">
        <v>1482400</v>
      </c>
      <c r="I13" s="353">
        <f>H13/'- 3 -'!$D13*100</f>
        <v>1.8911588578543563</v>
      </c>
      <c r="J13" s="352">
        <f>IF('- 6 -'!$D13=0,"",H13/'- 6 -'!$D13)</f>
        <v>4676.3406940063087</v>
      </c>
    </row>
    <row r="14" spans="1:10" ht="14.1" customHeight="1">
      <c r="A14" s="23" t="s">
        <v>524</v>
      </c>
      <c r="B14" s="24">
        <v>0</v>
      </c>
      <c r="C14" s="344">
        <f>B14/'- 3 -'!$D14*100</f>
        <v>0</v>
      </c>
      <c r="D14" s="24"/>
      <c r="E14" s="24">
        <v>34330235</v>
      </c>
      <c r="F14" s="344">
        <f>E14/'- 3 -'!$D14*100</f>
        <v>48.040727678962064</v>
      </c>
      <c r="G14" s="24">
        <f>IF('- 6 -'!$C14=0,"",E14/'- 6 -'!$C14)</f>
        <v>6811.5545634920636</v>
      </c>
      <c r="H14" s="24">
        <v>0</v>
      </c>
      <c r="I14" s="344">
        <f>H14/'- 3 -'!$D14*100</f>
        <v>0</v>
      </c>
      <c r="J14" s="24" t="str">
        <f>IF('- 6 -'!$D14=0,"",H14/'- 6 -'!$D14)</f>
        <v/>
      </c>
    </row>
    <row r="15" spans="1:10" ht="14.1" customHeight="1">
      <c r="A15" s="351" t="s">
        <v>227</v>
      </c>
      <c r="B15" s="352">
        <v>8810553</v>
      </c>
      <c r="C15" s="353">
        <f>B15/'- 3 -'!$D15*100</f>
        <v>47.101949753981273</v>
      </c>
      <c r="D15" s="352">
        <f>B15/'- 6 -'!$B15</f>
        <v>5897.2911646586344</v>
      </c>
      <c r="E15" s="352">
        <v>0</v>
      </c>
      <c r="F15" s="353">
        <f>E15/'- 3 -'!$D15*100</f>
        <v>0</v>
      </c>
      <c r="G15" s="352" t="str">
        <f>IF('- 6 -'!$C15=0,"",E15/'- 6 -'!$C15)</f>
        <v/>
      </c>
      <c r="H15" s="352">
        <v>0</v>
      </c>
      <c r="I15" s="353">
        <f>H15/'- 3 -'!$D15*100</f>
        <v>0</v>
      </c>
      <c r="J15" s="352" t="str">
        <f>IF('- 6 -'!$D15=0,"",H15/'- 6 -'!$D15)</f>
        <v/>
      </c>
    </row>
    <row r="16" spans="1:10" ht="14.1" customHeight="1">
      <c r="A16" s="23" t="s">
        <v>228</v>
      </c>
      <c r="B16" s="24">
        <v>3558666</v>
      </c>
      <c r="C16" s="344">
        <f>B16/'- 3 -'!$D16*100</f>
        <v>28.116650727925368</v>
      </c>
      <c r="D16" s="24">
        <f>B16/'- 6 -'!$B16</f>
        <v>6011.260135135135</v>
      </c>
      <c r="E16" s="24">
        <v>0</v>
      </c>
      <c r="F16" s="344">
        <f>E16/'- 3 -'!$D16*100</f>
        <v>0</v>
      </c>
      <c r="G16" s="24" t="str">
        <f>IF('- 6 -'!$C16=0,"",E16/'- 6 -'!$C16)</f>
        <v/>
      </c>
      <c r="H16" s="24">
        <v>0</v>
      </c>
      <c r="I16" s="344">
        <f>H16/'- 3 -'!$D16*100</f>
        <v>0</v>
      </c>
      <c r="J16" s="24" t="str">
        <f>IF('- 6 -'!$D16=0,"",H16/'- 6 -'!$D16)</f>
        <v/>
      </c>
    </row>
    <row r="17" spans="1:10" ht="14.1" customHeight="1">
      <c r="A17" s="351" t="s">
        <v>229</v>
      </c>
      <c r="B17" s="352">
        <v>7474901</v>
      </c>
      <c r="C17" s="353">
        <f>B17/'- 3 -'!$D17*100</f>
        <v>45.857551246722295</v>
      </c>
      <c r="D17" s="352">
        <f>B17/'- 6 -'!$B17</f>
        <v>5953.7244125846273</v>
      </c>
      <c r="E17" s="352">
        <v>0</v>
      </c>
      <c r="F17" s="353">
        <f>E17/'- 3 -'!$D17*100</f>
        <v>0</v>
      </c>
      <c r="G17" s="352" t="str">
        <f>IF('- 6 -'!$C17=0,"",E17/'- 6 -'!$C17)</f>
        <v/>
      </c>
      <c r="H17" s="352">
        <v>0</v>
      </c>
      <c r="I17" s="353">
        <f>H17/'- 3 -'!$D17*100</f>
        <v>0</v>
      </c>
      <c r="J17" s="352" t="str">
        <f>IF('- 6 -'!$D17=0,"",H17/'- 6 -'!$D17)</f>
        <v/>
      </c>
    </row>
    <row r="18" spans="1:10" ht="14.1" customHeight="1">
      <c r="A18" s="23" t="s">
        <v>230</v>
      </c>
      <c r="B18" s="24">
        <v>42844869</v>
      </c>
      <c r="C18" s="344">
        <f>B18/'- 3 -'!$D18*100</f>
        <v>37.202744969232683</v>
      </c>
      <c r="D18" s="24">
        <f>B18/'- 6 -'!$B18</f>
        <v>6775.4991697635805</v>
      </c>
      <c r="E18" s="24">
        <v>0</v>
      </c>
      <c r="F18" s="344">
        <f>E18/'- 3 -'!$D18*100</f>
        <v>0</v>
      </c>
      <c r="G18" s="24" t="str">
        <f>IF('- 6 -'!$C18=0,"",E18/'- 6 -'!$C18)</f>
        <v/>
      </c>
      <c r="H18" s="24">
        <v>0</v>
      </c>
      <c r="I18" s="344">
        <f>H18/'- 3 -'!$D18*100</f>
        <v>0</v>
      </c>
      <c r="J18" s="24" t="str">
        <f>IF('- 6 -'!$D18=0,"",H18/'- 6 -'!$D18)</f>
        <v/>
      </c>
    </row>
    <row r="19" spans="1:10" ht="14.1" customHeight="1">
      <c r="A19" s="351" t="s">
        <v>231</v>
      </c>
      <c r="B19" s="352">
        <v>19430100</v>
      </c>
      <c r="C19" s="353">
        <f>B19/'- 3 -'!$D19*100</f>
        <v>49.704619730278999</v>
      </c>
      <c r="D19" s="352">
        <f>B19/'- 6 -'!$B19</f>
        <v>4695.5292411793134</v>
      </c>
      <c r="E19" s="352">
        <v>0</v>
      </c>
      <c r="F19" s="353">
        <f>E19/'- 3 -'!$D19*100</f>
        <v>0</v>
      </c>
      <c r="G19" s="352" t="str">
        <f>IF('- 6 -'!$C19=0,"",E19/'- 6 -'!$C19)</f>
        <v/>
      </c>
      <c r="H19" s="352">
        <v>0</v>
      </c>
      <c r="I19" s="353">
        <f>H19/'- 3 -'!$D19*100</f>
        <v>0</v>
      </c>
      <c r="J19" s="352" t="str">
        <f>IF('- 6 -'!$D19=0,"",H19/'- 6 -'!$D19)</f>
        <v/>
      </c>
    </row>
    <row r="20" spans="1:10" ht="14.1" customHeight="1">
      <c r="A20" s="23" t="s">
        <v>232</v>
      </c>
      <c r="B20" s="24">
        <v>33226300</v>
      </c>
      <c r="C20" s="344">
        <f>B20/'- 3 -'!$D20*100</f>
        <v>49.101213258656109</v>
      </c>
      <c r="D20" s="24">
        <f>B20/'- 6 -'!$B20</f>
        <v>4775.814983039154</v>
      </c>
      <c r="E20" s="24">
        <v>0</v>
      </c>
      <c r="F20" s="344">
        <f>E20/'- 3 -'!$D20*100</f>
        <v>0</v>
      </c>
      <c r="G20" s="24" t="str">
        <f>IF('- 6 -'!$C20=0,"",E20/'- 6 -'!$C20)</f>
        <v/>
      </c>
      <c r="H20" s="24">
        <v>0</v>
      </c>
      <c r="I20" s="344">
        <f>H20/'- 3 -'!$D20*100</f>
        <v>0</v>
      </c>
      <c r="J20" s="24" t="str">
        <f>IF('- 6 -'!$D20=0,"",H20/'- 6 -'!$D20)</f>
        <v/>
      </c>
    </row>
    <row r="21" spans="1:10" ht="14.1" customHeight="1">
      <c r="A21" s="351" t="s">
        <v>233</v>
      </c>
      <c r="B21" s="352">
        <v>13947386</v>
      </c>
      <c r="C21" s="353">
        <f>B21/'- 3 -'!$D21*100</f>
        <v>42.844031399041462</v>
      </c>
      <c r="D21" s="352">
        <f>B21/'- 6 -'!$B21</f>
        <v>5657.0212938552022</v>
      </c>
      <c r="E21" s="352">
        <v>0</v>
      </c>
      <c r="F21" s="353">
        <f>E21/'- 3 -'!$D21*100</f>
        <v>0</v>
      </c>
      <c r="G21" s="352" t="str">
        <f>IF('- 6 -'!$C21=0,"",E21/'- 6 -'!$C21)</f>
        <v/>
      </c>
      <c r="H21" s="352">
        <v>0</v>
      </c>
      <c r="I21" s="353">
        <f>H21/'- 3 -'!$D21*100</f>
        <v>0</v>
      </c>
      <c r="J21" s="352" t="str">
        <f>IF('- 6 -'!$D21=0,"",H21/'- 6 -'!$D21)</f>
        <v/>
      </c>
    </row>
    <row r="22" spans="1:10" ht="14.1" customHeight="1">
      <c r="A22" s="23" t="s">
        <v>234</v>
      </c>
      <c r="B22" s="24">
        <v>4276567</v>
      </c>
      <c r="C22" s="344">
        <f>B22/'- 3 -'!$D22*100</f>
        <v>22.480223994457436</v>
      </c>
      <c r="D22" s="24">
        <f>B22/'- 6 -'!$B22</f>
        <v>4638.3590021691971</v>
      </c>
      <c r="E22" s="24">
        <v>0</v>
      </c>
      <c r="F22" s="344">
        <f>E22/'- 3 -'!$D22*100</f>
        <v>0</v>
      </c>
      <c r="G22" s="24" t="str">
        <f>IF('- 6 -'!$C22=0,"",E22/'- 6 -'!$C22)</f>
        <v/>
      </c>
      <c r="H22" s="24">
        <v>0</v>
      </c>
      <c r="I22" s="344">
        <f>H22/'- 3 -'!$D22*100</f>
        <v>0</v>
      </c>
      <c r="J22" s="24" t="str">
        <f>IF('- 6 -'!$D22=0,"",H22/'- 6 -'!$D22)</f>
        <v/>
      </c>
    </row>
    <row r="23" spans="1:10" ht="14.1" customHeight="1">
      <c r="A23" s="351" t="s">
        <v>235</v>
      </c>
      <c r="B23" s="352">
        <v>6951408</v>
      </c>
      <c r="C23" s="353">
        <f>B23/'- 3 -'!$D23*100</f>
        <v>44.654827076285827</v>
      </c>
      <c r="D23" s="352">
        <f>B23/'- 6 -'!$B23</f>
        <v>5933.7669654289375</v>
      </c>
      <c r="E23" s="352">
        <v>0</v>
      </c>
      <c r="F23" s="353">
        <f>E23/'- 3 -'!$D23*100</f>
        <v>0</v>
      </c>
      <c r="G23" s="352" t="str">
        <f>IF('- 6 -'!$C23=0,"",E23/'- 6 -'!$C23)</f>
        <v/>
      </c>
      <c r="H23" s="352">
        <v>0</v>
      </c>
      <c r="I23" s="353">
        <f>H23/'- 3 -'!$D23*100</f>
        <v>0</v>
      </c>
      <c r="J23" s="352" t="str">
        <f>IF('- 6 -'!$D23=0,"",H23/'- 6 -'!$D23)</f>
        <v/>
      </c>
    </row>
    <row r="24" spans="1:10" ht="14.1" customHeight="1">
      <c r="A24" s="23" t="s">
        <v>236</v>
      </c>
      <c r="B24" s="24">
        <v>18259665</v>
      </c>
      <c r="C24" s="344">
        <f>B24/'- 3 -'!$D24*100</f>
        <v>35.798277514475679</v>
      </c>
      <c r="D24" s="24">
        <f>B24/'- 6 -'!$B24</f>
        <v>6114.0683073832242</v>
      </c>
      <c r="E24" s="24">
        <v>0</v>
      </c>
      <c r="F24" s="344">
        <f>E24/'- 3 -'!$D24*100</f>
        <v>0</v>
      </c>
      <c r="G24" s="24" t="str">
        <f>IF('- 6 -'!$C24=0,"",E24/'- 6 -'!$C24)</f>
        <v/>
      </c>
      <c r="H24" s="24">
        <v>1333755</v>
      </c>
      <c r="I24" s="344">
        <f>H24/'- 3 -'!$D24*100</f>
        <v>2.6148415990282139</v>
      </c>
      <c r="J24" s="24">
        <f>IF('- 6 -'!$D24=0,"",H24/'- 6 -'!$D24)</f>
        <v>5023.5593220338988</v>
      </c>
    </row>
    <row r="25" spans="1:10" ht="14.1" customHeight="1">
      <c r="A25" s="351" t="s">
        <v>237</v>
      </c>
      <c r="B25" s="352">
        <v>50289144</v>
      </c>
      <c r="C25" s="353">
        <f>B25/'- 3 -'!$D25*100</f>
        <v>33.493020079663729</v>
      </c>
      <c r="D25" s="352">
        <f>B25/'- 6 -'!$B25</f>
        <v>5328.0864544154265</v>
      </c>
      <c r="E25" s="352">
        <v>0</v>
      </c>
      <c r="F25" s="353">
        <f>E25/'- 3 -'!$D25*100</f>
        <v>0</v>
      </c>
      <c r="G25" s="352" t="str">
        <f>IF('- 6 -'!$C25=0,"",E25/'- 6 -'!$C25)</f>
        <v/>
      </c>
      <c r="H25" s="352">
        <v>17159844</v>
      </c>
      <c r="I25" s="353">
        <f>H25/'- 3 -'!$D25*100</f>
        <v>11.42860971457174</v>
      </c>
      <c r="J25" s="352">
        <f>IF('- 6 -'!$D25=0,"",H25/'- 6 -'!$D25)</f>
        <v>4491.5178641539069</v>
      </c>
    </row>
    <row r="26" spans="1:10" ht="14.1" customHeight="1">
      <c r="A26" s="23" t="s">
        <v>238</v>
      </c>
      <c r="B26" s="24">
        <v>14461868</v>
      </c>
      <c r="C26" s="344">
        <f>B26/'- 3 -'!$D26*100</f>
        <v>39.321090247674285</v>
      </c>
      <c r="D26" s="24">
        <f>B26/'- 6 -'!$B26</f>
        <v>6335.9772179627598</v>
      </c>
      <c r="E26" s="24">
        <v>0</v>
      </c>
      <c r="F26" s="344">
        <f>E26/'- 3 -'!$D26*100</f>
        <v>0</v>
      </c>
      <c r="G26" s="24" t="str">
        <f>IF('- 6 -'!$C26=0,"",E26/'- 6 -'!$C26)</f>
        <v/>
      </c>
      <c r="H26" s="24">
        <v>824934</v>
      </c>
      <c r="I26" s="344">
        <f>H26/'- 3 -'!$D26*100</f>
        <v>2.2429539712556452</v>
      </c>
      <c r="J26" s="24">
        <f>IF('- 6 -'!$D26=0,"",H26/'- 6 -'!$D26)</f>
        <v>4114.3840399002493</v>
      </c>
    </row>
    <row r="27" spans="1:10" ht="14.1" customHeight="1">
      <c r="A27" s="351" t="s">
        <v>239</v>
      </c>
      <c r="B27" s="352">
        <v>15470274</v>
      </c>
      <c r="C27" s="353">
        <f>B27/'- 3 -'!$D27*100</f>
        <v>40.405632983513463</v>
      </c>
      <c r="D27" s="352">
        <f>B27/'- 6 -'!$B27</f>
        <v>6872.6228342958684</v>
      </c>
      <c r="E27" s="352">
        <v>0</v>
      </c>
      <c r="F27" s="353">
        <f>E27/'- 3 -'!$D27*100</f>
        <v>0</v>
      </c>
      <c r="G27" s="352" t="str">
        <f>IF('- 6 -'!$C27=0,"",E27/'- 6 -'!$C27)</f>
        <v/>
      </c>
      <c r="H27" s="352">
        <v>0</v>
      </c>
      <c r="I27" s="353">
        <f>H27/'- 3 -'!$D27*100</f>
        <v>0</v>
      </c>
      <c r="J27" s="352" t="str">
        <f>IF('- 6 -'!$D27=0,"",H27/'- 6 -'!$D27)</f>
        <v/>
      </c>
    </row>
    <row r="28" spans="1:10" ht="14.1" customHeight="1">
      <c r="A28" s="23" t="s">
        <v>240</v>
      </c>
      <c r="B28" s="24">
        <v>12957642</v>
      </c>
      <c r="C28" s="344">
        <f>B28/'- 3 -'!$D28*100</f>
        <v>50.546230735836218</v>
      </c>
      <c r="D28" s="24">
        <f>B28/'- 6 -'!$B28</f>
        <v>6627.9498721227619</v>
      </c>
      <c r="E28" s="24">
        <v>0</v>
      </c>
      <c r="F28" s="344">
        <f>E28/'- 3 -'!$D28*100</f>
        <v>0</v>
      </c>
      <c r="G28" s="24" t="str">
        <f>IF('- 6 -'!$C28=0,"",E28/'- 6 -'!$C28)</f>
        <v/>
      </c>
      <c r="H28" s="24">
        <v>0</v>
      </c>
      <c r="I28" s="344">
        <f>H28/'- 3 -'!$D28*100</f>
        <v>0</v>
      </c>
      <c r="J28" s="24" t="str">
        <f>IF('- 6 -'!$D28=0,"",H28/'- 6 -'!$D28)</f>
        <v/>
      </c>
    </row>
    <row r="29" spans="1:10" ht="14.1" customHeight="1">
      <c r="A29" s="351" t="s">
        <v>241</v>
      </c>
      <c r="B29" s="352">
        <v>43203969</v>
      </c>
      <c r="C29" s="353">
        <f>B29/'- 3 -'!$D29*100</f>
        <v>31.508986226521319</v>
      </c>
      <c r="D29" s="352">
        <f>B29/'- 6 -'!$B29</f>
        <v>5541.4569358045273</v>
      </c>
      <c r="E29" s="352">
        <v>0</v>
      </c>
      <c r="F29" s="353">
        <f>E29/'- 3 -'!$D29*100</f>
        <v>0</v>
      </c>
      <c r="G29" s="352" t="str">
        <f>IF('- 6 -'!$C29=0,"",E29/'- 6 -'!$C29)</f>
        <v/>
      </c>
      <c r="H29" s="352">
        <v>6946536</v>
      </c>
      <c r="I29" s="353">
        <f>H29/'- 3 -'!$D29*100</f>
        <v>5.0661620265960865</v>
      </c>
      <c r="J29" s="352">
        <f>IF('- 6 -'!$D29=0,"",H29/'- 6 -'!$D29)</f>
        <v>5300.676077832888</v>
      </c>
    </row>
    <row r="30" spans="1:10" ht="14.1" customHeight="1">
      <c r="A30" s="23" t="s">
        <v>242</v>
      </c>
      <c r="B30" s="24">
        <v>7090753</v>
      </c>
      <c r="C30" s="344">
        <f>B30/'- 3 -'!$D30*100</f>
        <v>53.468274737120872</v>
      </c>
      <c r="D30" s="24">
        <f>B30/'- 6 -'!$B30</f>
        <v>6605.265952491849</v>
      </c>
      <c r="E30" s="24">
        <v>0</v>
      </c>
      <c r="F30" s="344">
        <f>E30/'- 3 -'!$D30*100</f>
        <v>0</v>
      </c>
      <c r="G30" s="24" t="str">
        <f>IF('- 6 -'!$C30=0,"",E30/'- 6 -'!$C30)</f>
        <v/>
      </c>
      <c r="H30" s="24">
        <v>0</v>
      </c>
      <c r="I30" s="344">
        <f>H30/'- 3 -'!$D30*100</f>
        <v>0</v>
      </c>
      <c r="J30" s="24" t="str">
        <f>IF('- 6 -'!$D30=0,"",H30/'- 6 -'!$D30)</f>
        <v/>
      </c>
    </row>
    <row r="31" spans="1:10" ht="14.1" customHeight="1">
      <c r="A31" s="351" t="s">
        <v>243</v>
      </c>
      <c r="B31" s="352">
        <v>12039931</v>
      </c>
      <c r="C31" s="353">
        <f>B31/'- 3 -'!$D31*100</f>
        <v>37.505238770496462</v>
      </c>
      <c r="D31" s="352">
        <f>B31/'- 6 -'!$B31</f>
        <v>5119.0182823129253</v>
      </c>
      <c r="E31" s="352">
        <v>0</v>
      </c>
      <c r="F31" s="353">
        <f>E31/'- 3 -'!$D31*100</f>
        <v>0</v>
      </c>
      <c r="G31" s="352" t="str">
        <f>IF('- 6 -'!$C31=0,"",E31/'- 6 -'!$C31)</f>
        <v/>
      </c>
      <c r="H31" s="352">
        <v>0</v>
      </c>
      <c r="I31" s="353">
        <f>H31/'- 3 -'!$D31*100</f>
        <v>0</v>
      </c>
      <c r="J31" s="352" t="str">
        <f>IF('- 6 -'!$D31=0,"",H31/'- 6 -'!$D31)</f>
        <v/>
      </c>
    </row>
    <row r="32" spans="1:10" ht="14.1" customHeight="1">
      <c r="A32" s="23" t="s">
        <v>244</v>
      </c>
      <c r="B32" s="24">
        <v>10471145</v>
      </c>
      <c r="C32" s="344">
        <f>B32/'- 3 -'!$D32*100</f>
        <v>42.402173151134342</v>
      </c>
      <c r="D32" s="24">
        <f>B32/'- 6 -'!$B32</f>
        <v>6014.7883278763857</v>
      </c>
      <c r="E32" s="24">
        <v>0</v>
      </c>
      <c r="F32" s="344">
        <f>E32/'- 3 -'!$D32*100</f>
        <v>0</v>
      </c>
      <c r="G32" s="24" t="str">
        <f>IF('- 6 -'!$C32=0,"",E32/'- 6 -'!$C32)</f>
        <v/>
      </c>
      <c r="H32" s="24">
        <v>540400</v>
      </c>
      <c r="I32" s="344">
        <f>H32/'- 3 -'!$D32*100</f>
        <v>2.1883122018530923</v>
      </c>
      <c r="J32" s="24">
        <f>IF('- 6 -'!$D32=0,"",H32/'- 6 -'!$D32)</f>
        <v>6320.4678362573095</v>
      </c>
    </row>
    <row r="33" spans="1:10" ht="14.1" customHeight="1">
      <c r="A33" s="351" t="s">
        <v>245</v>
      </c>
      <c r="B33" s="352">
        <v>10065700</v>
      </c>
      <c r="C33" s="353">
        <f>B33/'- 3 -'!$D33*100</f>
        <v>39.447189901594633</v>
      </c>
      <c r="D33" s="352">
        <f>B33/'- 6 -'!$B33</f>
        <v>6011.1675126903556</v>
      </c>
      <c r="E33" s="352">
        <v>0</v>
      </c>
      <c r="F33" s="353">
        <f>E33/'- 3 -'!$D33*100</f>
        <v>0</v>
      </c>
      <c r="G33" s="352" t="str">
        <f>IF('- 6 -'!$C33=0,"",E33/'- 6 -'!$C33)</f>
        <v/>
      </c>
      <c r="H33" s="352">
        <v>0</v>
      </c>
      <c r="I33" s="353">
        <f>H33/'- 3 -'!$D33*100</f>
        <v>0</v>
      </c>
      <c r="J33" s="352" t="str">
        <f>IF('- 6 -'!$D33=0,"",H33/'- 6 -'!$D33)</f>
        <v/>
      </c>
    </row>
    <row r="34" spans="1:10" ht="14.1" customHeight="1">
      <c r="A34" s="23" t="s">
        <v>246</v>
      </c>
      <c r="B34" s="24">
        <v>9167230</v>
      </c>
      <c r="C34" s="344">
        <f>B34/'- 3 -'!$D34*100</f>
        <v>38.298125314739025</v>
      </c>
      <c r="D34" s="24">
        <f>B34/'- 6 -'!$B34</f>
        <v>5527.0891112986856</v>
      </c>
      <c r="E34" s="24">
        <v>0</v>
      </c>
      <c r="F34" s="344">
        <f>E34/'- 3 -'!$D34*100</f>
        <v>0</v>
      </c>
      <c r="G34" s="24" t="str">
        <f>IF('- 6 -'!$C34=0,"",E34/'- 6 -'!$C34)</f>
        <v/>
      </c>
      <c r="H34" s="24">
        <v>1310285</v>
      </c>
      <c r="I34" s="344">
        <f>H34/'- 3 -'!$D34*100</f>
        <v>5.4740045933202097</v>
      </c>
      <c r="J34" s="24">
        <f>IF('- 6 -'!$D34=0,"",H34/'- 6 -'!$D34)</f>
        <v>7361.151685393258</v>
      </c>
    </row>
    <row r="35" spans="1:10" ht="14.1" customHeight="1">
      <c r="A35" s="351" t="s">
        <v>247</v>
      </c>
      <c r="B35" s="352">
        <v>48069550</v>
      </c>
      <c r="C35" s="353">
        <f>B35/'- 3 -'!$D35*100</f>
        <v>29.380735577285456</v>
      </c>
      <c r="D35" s="352">
        <f>B35/'- 6 -'!$B35</f>
        <v>5220.9786032366674</v>
      </c>
      <c r="E35" s="352">
        <v>0</v>
      </c>
      <c r="F35" s="353">
        <f>E35/'- 3 -'!$D35*100</f>
        <v>0</v>
      </c>
      <c r="G35" s="352" t="str">
        <f>IF('- 6 -'!$C35=0,"",E35/'- 6 -'!$C35)</f>
        <v/>
      </c>
      <c r="H35" s="352">
        <v>5277024</v>
      </c>
      <c r="I35" s="353">
        <f>H35/'- 3 -'!$D35*100</f>
        <v>3.2253858581781856</v>
      </c>
      <c r="J35" s="352">
        <f>IF('- 6 -'!$D35=0,"",H35/'- 6 -'!$D35)</f>
        <v>4703.229946524064</v>
      </c>
    </row>
    <row r="36" spans="1:10" ht="14.1" customHeight="1">
      <c r="A36" s="23" t="s">
        <v>248</v>
      </c>
      <c r="B36" s="24">
        <v>10513380</v>
      </c>
      <c r="C36" s="344">
        <f>B36/'- 3 -'!$D36*100</f>
        <v>49.790671725906883</v>
      </c>
      <c r="D36" s="24">
        <f>B36/'- 6 -'!$B36</f>
        <v>6454.2820308183436</v>
      </c>
      <c r="E36" s="24">
        <v>0</v>
      </c>
      <c r="F36" s="344">
        <f>E36/'- 3 -'!$D36*100</f>
        <v>0</v>
      </c>
      <c r="G36" s="24" t="str">
        <f>IF('- 6 -'!$C36=0,"",E36/'- 6 -'!$C36)</f>
        <v/>
      </c>
      <c r="H36" s="24">
        <v>0</v>
      </c>
      <c r="I36" s="344">
        <f>H36/'- 3 -'!$D36*100</f>
        <v>0</v>
      </c>
      <c r="J36" s="24" t="str">
        <f>IF('- 6 -'!$D36=0,"",H36/'- 6 -'!$D36)</f>
        <v/>
      </c>
    </row>
    <row r="37" spans="1:10" ht="14.1" customHeight="1">
      <c r="A37" s="351" t="s">
        <v>249</v>
      </c>
      <c r="B37" s="352">
        <v>9433057</v>
      </c>
      <c r="C37" s="353">
        <f>B37/'- 3 -'!$D37*100</f>
        <v>23.674411621769465</v>
      </c>
      <c r="D37" s="352">
        <f>B37/'- 6 -'!$B37</f>
        <v>5143.4334787350053</v>
      </c>
      <c r="E37" s="352">
        <v>0</v>
      </c>
      <c r="F37" s="353">
        <f>E37/'- 3 -'!$D37*100</f>
        <v>0</v>
      </c>
      <c r="G37" s="352" t="str">
        <f>IF('- 6 -'!$C37=0,"",E37/'- 6 -'!$C37)</f>
        <v/>
      </c>
      <c r="H37" s="352">
        <v>3259255</v>
      </c>
      <c r="I37" s="353">
        <f>H37/'- 3 -'!$D37*100</f>
        <v>8.1798450333025912</v>
      </c>
      <c r="J37" s="352">
        <f>IF('- 6 -'!$D37=0,"",H37/'- 6 -'!$D37)</f>
        <v>4915.920060331825</v>
      </c>
    </row>
    <row r="38" spans="1:10" ht="14.1" customHeight="1">
      <c r="A38" s="23" t="s">
        <v>250</v>
      </c>
      <c r="B38" s="24">
        <v>32877128</v>
      </c>
      <c r="C38" s="344">
        <f>B38/'- 3 -'!$D38*100</f>
        <v>29.370837427861851</v>
      </c>
      <c r="D38" s="24">
        <f>B38/'- 6 -'!$B38</f>
        <v>5697.4487479421196</v>
      </c>
      <c r="E38" s="24">
        <v>0</v>
      </c>
      <c r="F38" s="344">
        <f>E38/'- 3 -'!$D38*100</f>
        <v>0</v>
      </c>
      <c r="G38" s="24" t="str">
        <f>IF('- 6 -'!$C38=0,"",E38/'- 6 -'!$C38)</f>
        <v/>
      </c>
      <c r="H38" s="24">
        <v>1336864</v>
      </c>
      <c r="I38" s="344">
        <f>H38/'- 3 -'!$D38*100</f>
        <v>1.1942896960817595</v>
      </c>
      <c r="J38" s="24">
        <f>IF('- 6 -'!$D38=0,"",H38/'- 6 -'!$D38)</f>
        <v>5054.3062381852551</v>
      </c>
    </row>
    <row r="39" spans="1:10" ht="14.1" customHeight="1">
      <c r="A39" s="351" t="s">
        <v>251</v>
      </c>
      <c r="B39" s="352">
        <v>9577428</v>
      </c>
      <c r="C39" s="353">
        <f>B39/'- 3 -'!$D39*100</f>
        <v>48.11765242571061</v>
      </c>
      <c r="D39" s="352">
        <f>B39/'- 6 -'!$B39</f>
        <v>6309.241106719368</v>
      </c>
      <c r="E39" s="352">
        <v>0</v>
      </c>
      <c r="F39" s="353">
        <f>E39/'- 3 -'!$D39*100</f>
        <v>0</v>
      </c>
      <c r="G39" s="352" t="str">
        <f>IF('- 6 -'!$C39=0,"",E39/'- 6 -'!$C39)</f>
        <v/>
      </c>
      <c r="H39" s="352">
        <v>0</v>
      </c>
      <c r="I39" s="353">
        <f>H39/'- 3 -'!$D39*100</f>
        <v>0</v>
      </c>
      <c r="J39" s="352" t="str">
        <f>IF('- 6 -'!$D39=0,"",H39/'- 6 -'!$D39)</f>
        <v/>
      </c>
    </row>
    <row r="40" spans="1:10" ht="14.1" customHeight="1">
      <c r="A40" s="23" t="s">
        <v>252</v>
      </c>
      <c r="B40" s="24">
        <v>32090504</v>
      </c>
      <c r="C40" s="344">
        <f>B40/'- 3 -'!$D40*100</f>
        <v>34.17856808235608</v>
      </c>
      <c r="D40" s="24">
        <f>B40/'- 6 -'!$B40</f>
        <v>5799.4188021831069</v>
      </c>
      <c r="E40" s="24">
        <v>0</v>
      </c>
      <c r="F40" s="344">
        <f>E40/'- 3 -'!$D40*100</f>
        <v>0</v>
      </c>
      <c r="G40" s="24" t="str">
        <f>IF('- 6 -'!$C40=0,"",E40/'- 6 -'!$C40)</f>
        <v/>
      </c>
      <c r="H40" s="24">
        <v>3520335</v>
      </c>
      <c r="I40" s="344">
        <f>H40/'- 3 -'!$D40*100</f>
        <v>3.7493960665186497</v>
      </c>
      <c r="J40" s="24">
        <f>IF('- 6 -'!$D40=0,"",H40/'- 6 -'!$D40)</f>
        <v>4968.7155963302748</v>
      </c>
    </row>
    <row r="41" spans="1:10" ht="14.1" customHeight="1">
      <c r="A41" s="351" t="s">
        <v>253</v>
      </c>
      <c r="B41" s="352">
        <v>13019255</v>
      </c>
      <c r="C41" s="353">
        <f>B41/'- 3 -'!$D41*100</f>
        <v>22.911715632936904</v>
      </c>
      <c r="D41" s="352">
        <f>B41/'- 6 -'!$B41</f>
        <v>5805.6878483835008</v>
      </c>
      <c r="E41" s="352">
        <v>0</v>
      </c>
      <c r="F41" s="353">
        <f>E41/'- 3 -'!$D41*100</f>
        <v>0</v>
      </c>
      <c r="G41" s="352" t="str">
        <f>IF('- 6 -'!$C41=0,"",E41/'- 6 -'!$C41)</f>
        <v/>
      </c>
      <c r="H41" s="352">
        <v>0</v>
      </c>
      <c r="I41" s="353">
        <f>H41/'- 3 -'!$D41*100</f>
        <v>0</v>
      </c>
      <c r="J41" s="352" t="str">
        <f>IF('- 6 -'!$D41=0,"",H41/'- 6 -'!$D41)</f>
        <v/>
      </c>
    </row>
    <row r="42" spans="1:10" ht="14.1" customHeight="1">
      <c r="A42" s="23" t="s">
        <v>254</v>
      </c>
      <c r="B42" s="24">
        <v>7105664</v>
      </c>
      <c r="C42" s="344">
        <f>B42/'- 3 -'!$D42*100</f>
        <v>35.719332703565584</v>
      </c>
      <c r="D42" s="24">
        <f>B42/'- 6 -'!$B42</f>
        <v>6407.271415689811</v>
      </c>
      <c r="E42" s="24">
        <v>0</v>
      </c>
      <c r="F42" s="344">
        <f>E42/'- 3 -'!$D42*100</f>
        <v>0</v>
      </c>
      <c r="G42" s="24" t="str">
        <f>IF('- 6 -'!$C42=0,"",E42/'- 6 -'!$C42)</f>
        <v/>
      </c>
      <c r="H42" s="24">
        <v>0</v>
      </c>
      <c r="I42" s="344">
        <f>H42/'- 3 -'!$D42*100</f>
        <v>0</v>
      </c>
      <c r="J42" s="24" t="str">
        <f>IF('- 6 -'!$D42=0,"",H42/'- 6 -'!$D42)</f>
        <v/>
      </c>
    </row>
    <row r="43" spans="1:10" ht="14.1" customHeight="1">
      <c r="A43" s="351" t="s">
        <v>255</v>
      </c>
      <c r="B43" s="352">
        <v>5485563</v>
      </c>
      <c r="C43" s="353">
        <f>B43/'- 3 -'!$D43*100</f>
        <v>46.423517593638302</v>
      </c>
      <c r="D43" s="352">
        <f>B43/'- 6 -'!$B43</f>
        <v>5779.6001580402999</v>
      </c>
      <c r="E43" s="352">
        <v>0</v>
      </c>
      <c r="F43" s="353">
        <f>E43/'- 3 -'!$D43*100</f>
        <v>0</v>
      </c>
      <c r="G43" s="352" t="str">
        <f>IF('- 6 -'!$C43=0,"",E43/'- 6 -'!$C43)</f>
        <v/>
      </c>
      <c r="H43" s="352">
        <v>0</v>
      </c>
      <c r="I43" s="353">
        <f>H43/'- 3 -'!$D43*100</f>
        <v>0</v>
      </c>
      <c r="J43" s="352" t="str">
        <f>IF('- 6 -'!$D43=0,"",H43/'- 6 -'!$D43)</f>
        <v/>
      </c>
    </row>
    <row r="44" spans="1:10" ht="14.1" customHeight="1">
      <c r="A44" s="23" t="s">
        <v>256</v>
      </c>
      <c r="B44" s="24">
        <v>4561676</v>
      </c>
      <c r="C44" s="344">
        <f>B44/'- 3 -'!$D44*100</f>
        <v>45.368061361230012</v>
      </c>
      <c r="D44" s="24">
        <f>B44/'- 6 -'!$B44</f>
        <v>6498.1139601139603</v>
      </c>
      <c r="E44" s="24">
        <v>346437</v>
      </c>
      <c r="F44" s="344">
        <f>E44/'- 3 -'!$D44*100</f>
        <v>3.4454825537369249</v>
      </c>
      <c r="G44" s="24">
        <f>IF('- 6 -'!$C44=0,"",E44/'- 6 -'!$C44)</f>
        <v>7531.239130434783</v>
      </c>
      <c r="H44" s="24">
        <v>0</v>
      </c>
      <c r="I44" s="344">
        <f>H44/'- 3 -'!$D44*100</f>
        <v>0</v>
      </c>
      <c r="J44" s="24" t="str">
        <f>IF('- 6 -'!$D44=0,"",H44/'- 6 -'!$D44)</f>
        <v/>
      </c>
    </row>
    <row r="45" spans="1:10" ht="14.1" customHeight="1">
      <c r="A45" s="351" t="s">
        <v>257</v>
      </c>
      <c r="B45" s="352">
        <v>4012766</v>
      </c>
      <c r="C45" s="353">
        <f>B45/'- 3 -'!$D45*100</f>
        <v>24.510749014717938</v>
      </c>
      <c r="D45" s="352">
        <f>B45/'- 6 -'!$B45</f>
        <v>5400.7617765814266</v>
      </c>
      <c r="E45" s="352">
        <v>0</v>
      </c>
      <c r="F45" s="353">
        <f>E45/'- 3 -'!$D45*100</f>
        <v>0</v>
      </c>
      <c r="G45" s="352" t="str">
        <f>IF('- 6 -'!$C45=0,"",E45/'- 6 -'!$C45)</f>
        <v/>
      </c>
      <c r="H45" s="352">
        <v>0</v>
      </c>
      <c r="I45" s="353">
        <f>H45/'- 3 -'!$D45*100</f>
        <v>0</v>
      </c>
      <c r="J45" s="352" t="str">
        <f>IF('- 6 -'!$D45=0,"",H45/'- 6 -'!$D45)</f>
        <v/>
      </c>
    </row>
    <row r="46" spans="1:10" ht="14.1" customHeight="1">
      <c r="A46" s="23" t="s">
        <v>258</v>
      </c>
      <c r="B46" s="24">
        <v>120366100</v>
      </c>
      <c r="C46" s="344">
        <f>B46/'- 3 -'!$D46*100</f>
        <v>34.135284697271729</v>
      </c>
      <c r="D46" s="24">
        <f>B46/'- 6 -'!$B46</f>
        <v>5147.8763306346418</v>
      </c>
      <c r="E46" s="24">
        <v>0</v>
      </c>
      <c r="F46" s="344">
        <f>E46/'- 3 -'!$D46*100</f>
        <v>0</v>
      </c>
      <c r="G46" s="24" t="str">
        <f>IF('- 6 -'!$C46=0,"",E46/'- 6 -'!$C46)</f>
        <v/>
      </c>
      <c r="H46" s="24">
        <v>5415300</v>
      </c>
      <c r="I46" s="344">
        <f>H46/'- 3 -'!$D46*100</f>
        <v>1.5357547284587236</v>
      </c>
      <c r="J46" s="24">
        <f>IF('- 6 -'!$D46=0,"",H46/'- 6 -'!$D46)</f>
        <v>5068.1328965839966</v>
      </c>
    </row>
    <row r="47" spans="1:10" ht="5.0999999999999996" customHeight="1">
      <c r="A47"/>
      <c r="B47"/>
      <c r="C47"/>
      <c r="D47"/>
      <c r="E47"/>
      <c r="F47"/>
      <c r="G47"/>
      <c r="H47"/>
      <c r="I47"/>
      <c r="J47"/>
    </row>
    <row r="48" spans="1:10" ht="14.1" customHeight="1">
      <c r="A48" s="354" t="s">
        <v>259</v>
      </c>
      <c r="B48" s="355">
        <f>SUM(B11:B46)</f>
        <v>694657292</v>
      </c>
      <c r="C48" s="356">
        <f>B48/'- 3 -'!$D48*100</f>
        <v>34.580595173659916</v>
      </c>
      <c r="D48" s="355">
        <f>B48/'- 6 -'!$B48</f>
        <v>5583.1927128064035</v>
      </c>
      <c r="E48" s="355">
        <f>SUM(E11:E46)</f>
        <v>34676672</v>
      </c>
      <c r="F48" s="356">
        <f>E48/'- 3 -'!$D48*100</f>
        <v>1.7262324461452396</v>
      </c>
      <c r="G48" s="355">
        <f>E48/'- 6 -'!$C48</f>
        <v>6818.0637042862763</v>
      </c>
      <c r="H48" s="355">
        <f>SUM(H11:H46)</f>
        <v>48406932</v>
      </c>
      <c r="I48" s="356">
        <f>H48/'- 3 -'!$D48*100</f>
        <v>2.4097357623230478</v>
      </c>
      <c r="J48" s="355">
        <f>H48/'- 6 -'!$D48</f>
        <v>4838.7576969212314</v>
      </c>
    </row>
    <row r="49" spans="1:10" ht="5.0999999999999996" customHeight="1">
      <c r="A49" s="25" t="s">
        <v>3</v>
      </c>
      <c r="B49" s="26"/>
      <c r="C49" s="343"/>
      <c r="D49" s="26"/>
      <c r="E49" s="26"/>
      <c r="F49" s="343"/>
      <c r="H49" s="26"/>
      <c r="I49" s="343"/>
      <c r="J49" s="26"/>
    </row>
    <row r="50" spans="1:10" ht="14.1" customHeight="1">
      <c r="A50" s="23" t="s">
        <v>260</v>
      </c>
      <c r="B50" s="24">
        <v>1575391</v>
      </c>
      <c r="C50" s="344">
        <f>B50/'- 3 -'!$D50*100</f>
        <v>48.788442331663582</v>
      </c>
      <c r="D50" s="24">
        <f>B50/'- 6 -'!$B50</f>
        <v>8703.8176795580112</v>
      </c>
      <c r="E50" s="24">
        <v>0</v>
      </c>
      <c r="F50" s="344">
        <f>E50/'- 3 -'!$D50*100</f>
        <v>0</v>
      </c>
      <c r="G50" s="24" t="str">
        <f>IF('- 6 -'!$C50=0,"",E50/'- 6 -'!$C50)</f>
        <v/>
      </c>
      <c r="H50" s="24">
        <v>0</v>
      </c>
      <c r="I50" s="344">
        <f>H50/'- 3 -'!$D50*100</f>
        <v>0</v>
      </c>
      <c r="J50" s="24" t="str">
        <f>IF('- 6 -'!$D50=0,"",H50/'- 6 -'!$D50)</f>
        <v/>
      </c>
    </row>
    <row r="51" spans="1:10" ht="14.1" customHeight="1">
      <c r="A51" s="351" t="s">
        <v>261</v>
      </c>
      <c r="B51" s="352">
        <v>250958</v>
      </c>
      <c r="C51" s="353">
        <f>B51/'- 3 -'!$D51*100</f>
        <v>1.4228942884763127</v>
      </c>
      <c r="D51" s="352">
        <f>B51/'- 6 -'!$B51</f>
        <v>4481.3928571428569</v>
      </c>
      <c r="E51" s="352">
        <v>0</v>
      </c>
      <c r="F51" s="353">
        <f>E51/'- 3 -'!$D51*100</f>
        <v>0</v>
      </c>
      <c r="G51" s="352" t="str">
        <f>IF('- 6 -'!$C51=0,"",E51/'- 6 -'!$C51)</f>
        <v/>
      </c>
      <c r="H51" s="352">
        <v>0</v>
      </c>
      <c r="I51" s="353">
        <f>H51/'- 3 -'!$D51*100</f>
        <v>0</v>
      </c>
      <c r="J51" s="352" t="str">
        <f>IF('- 6 -'!$D51=0,"",H51/'- 6 -'!$D51)</f>
        <v/>
      </c>
    </row>
    <row r="52" spans="1:10" ht="50.1" customHeight="1">
      <c r="A52" s="27"/>
      <c r="B52" s="27"/>
      <c r="C52" s="27"/>
      <c r="D52" s="27"/>
      <c r="E52" s="27"/>
      <c r="F52" s="27"/>
      <c r="G52" s="27"/>
      <c r="H52" s="70"/>
      <c r="I52" s="70"/>
      <c r="J52" s="70"/>
    </row>
    <row r="53" spans="1:10" ht="15" customHeight="1">
      <c r="A53" s="65" t="s">
        <v>555</v>
      </c>
      <c r="B53" s="65"/>
      <c r="C53" s="65"/>
      <c r="D53" s="65"/>
      <c r="E53" s="65"/>
      <c r="F53" s="65"/>
      <c r="G53" s="65"/>
      <c r="I53" s="65"/>
      <c r="J53" s="65"/>
    </row>
    <row r="54" spans="1:10" ht="14.45" customHeight="1"/>
    <row r="55" spans="1:10" ht="14.45" customHeight="1">
      <c r="A55" s="28"/>
    </row>
    <row r="56" spans="1:10" ht="14.45" customHeight="1"/>
    <row r="57" spans="1:10" ht="14.45" customHeight="1"/>
    <row r="58" spans="1:10" ht="14.45" customHeight="1"/>
    <row r="59" spans="1:10" ht="14.45" customHeight="1"/>
  </sheetData>
  <phoneticPr fontId="0" type="noConversion"/>
  <printOptions horizontalCentered="1"/>
  <pageMargins left="0.5" right="0.5" top="0.6" bottom="0" header="0.3" footer="0"/>
  <pageSetup scale="92" orientation="portrait" r:id="rId1"/>
  <headerFooter alignWithMargins="0">
    <oddHeader>&amp;C&amp;"Arial,Bold"&amp;10&amp;A</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I59"/>
  <sheetViews>
    <sheetView showGridLines="0" showZeros="0" workbookViewId="0"/>
  </sheetViews>
  <sheetFormatPr defaultColWidth="15.83203125" defaultRowHeight="12"/>
  <cols>
    <col min="1" max="1" width="31.83203125" style="1" customWidth="1"/>
    <col min="2" max="2" width="14.33203125" style="1" customWidth="1"/>
    <col min="3" max="3" width="7.83203125" style="1" customWidth="1"/>
    <col min="4" max="4" width="9.83203125" style="1" customWidth="1"/>
    <col min="5" max="5" width="10.83203125" style="1" customWidth="1"/>
    <col min="6" max="6" width="10.1640625" style="1" customWidth="1"/>
    <col min="7" max="7" width="11.83203125" style="1" customWidth="1"/>
    <col min="8" max="8" width="14.83203125" style="1" customWidth="1"/>
    <col min="9" max="9" width="11" style="1" customWidth="1"/>
    <col min="10" max="16384" width="15.83203125" style="1"/>
  </cols>
  <sheetData>
    <row r="1" spans="1:9" ht="6.95" customHeight="1">
      <c r="A1" s="3"/>
      <c r="B1" s="40"/>
      <c r="C1" s="40"/>
      <c r="D1" s="40"/>
      <c r="E1" s="40"/>
      <c r="F1" s="40"/>
      <c r="G1" s="40"/>
      <c r="H1" s="40"/>
      <c r="I1" s="40"/>
    </row>
    <row r="2" spans="1:9" ht="15.95" customHeight="1">
      <c r="A2" s="160"/>
      <c r="B2" s="5" t="s">
        <v>437</v>
      </c>
      <c r="C2" s="43"/>
      <c r="D2" s="43"/>
      <c r="E2" s="43"/>
      <c r="F2" s="43"/>
      <c r="G2" s="43"/>
      <c r="H2" s="211"/>
      <c r="I2" s="183" t="s">
        <v>396</v>
      </c>
    </row>
    <row r="3" spans="1:9" ht="15.95" customHeight="1">
      <c r="A3" s="163"/>
      <c r="B3" s="106" t="str">
        <f>OPYEAR</f>
        <v>OPERATING FUND 2012/2013 BUDGET</v>
      </c>
      <c r="C3" s="46"/>
      <c r="D3" s="46"/>
      <c r="E3" s="46"/>
      <c r="F3" s="46"/>
      <c r="G3" s="46"/>
      <c r="H3" s="212"/>
      <c r="I3" s="213"/>
    </row>
    <row r="4" spans="1:9" ht="15.95" customHeight="1">
      <c r="B4" s="40"/>
      <c r="C4" s="40"/>
      <c r="D4" s="40"/>
      <c r="E4" s="40"/>
      <c r="F4" s="40"/>
      <c r="G4" s="40"/>
      <c r="H4" s="40"/>
      <c r="I4" s="40"/>
    </row>
    <row r="5" spans="1:9" ht="15.95" customHeight="1">
      <c r="B5" s="214" t="s">
        <v>353</v>
      </c>
      <c r="C5" s="215"/>
      <c r="D5" s="215"/>
      <c r="E5" s="215"/>
      <c r="F5" s="215"/>
      <c r="G5" s="215"/>
      <c r="H5" s="215"/>
      <c r="I5" s="216"/>
    </row>
    <row r="6" spans="1:9" ht="15.95" customHeight="1">
      <c r="B6" s="395" t="s">
        <v>354</v>
      </c>
      <c r="C6" s="396"/>
      <c r="D6" s="396"/>
      <c r="E6" s="396"/>
      <c r="F6" s="396"/>
      <c r="G6" s="396"/>
      <c r="H6" s="396"/>
      <c r="I6" s="397"/>
    </row>
    <row r="7" spans="1:9" ht="15.95" customHeight="1">
      <c r="B7" s="204"/>
      <c r="C7" s="217"/>
      <c r="D7" s="217"/>
      <c r="E7" s="218" t="s">
        <v>161</v>
      </c>
      <c r="F7" s="219" t="s">
        <v>162</v>
      </c>
      <c r="G7" s="219"/>
      <c r="H7" s="219"/>
      <c r="I7" s="220"/>
    </row>
    <row r="8" spans="1:9" ht="15.95" customHeight="1">
      <c r="A8" s="101"/>
      <c r="B8" s="221"/>
      <c r="C8" s="221"/>
      <c r="D8" s="203" t="s">
        <v>59</v>
      </c>
      <c r="E8" s="222" t="s">
        <v>163</v>
      </c>
      <c r="F8" s="221"/>
      <c r="G8" s="223"/>
      <c r="H8" s="224" t="s">
        <v>69</v>
      </c>
      <c r="I8" s="221"/>
    </row>
    <row r="9" spans="1:9" ht="15.95" customHeight="1">
      <c r="A9" s="35" t="s">
        <v>79</v>
      </c>
      <c r="B9" s="53" t="s">
        <v>80</v>
      </c>
      <c r="C9" s="53" t="s">
        <v>81</v>
      </c>
      <c r="D9" s="53" t="s">
        <v>82</v>
      </c>
      <c r="E9" s="225" t="s">
        <v>86</v>
      </c>
      <c r="F9" s="53" t="s">
        <v>68</v>
      </c>
      <c r="G9" s="226" t="s">
        <v>32</v>
      </c>
      <c r="H9" s="53" t="s">
        <v>84</v>
      </c>
      <c r="I9" s="53" t="s">
        <v>44</v>
      </c>
    </row>
    <row r="10" spans="1:9" ht="5.0999999999999996" customHeight="1">
      <c r="A10" s="37"/>
      <c r="B10" s="65"/>
      <c r="C10" s="65"/>
      <c r="D10" s="65"/>
      <c r="E10" s="65"/>
      <c r="F10" s="65"/>
      <c r="G10" s="65"/>
      <c r="H10" s="65"/>
      <c r="I10" s="65"/>
    </row>
    <row r="11" spans="1:9" ht="14.1" customHeight="1">
      <c r="A11" s="351" t="s">
        <v>224</v>
      </c>
      <c r="B11" s="352">
        <v>0</v>
      </c>
      <c r="C11" s="353">
        <f>B11/'- 3 -'!$D11*100</f>
        <v>0</v>
      </c>
      <c r="D11" s="402" t="str">
        <f>IF(E11=0,"",B11/E11)</f>
        <v/>
      </c>
      <c r="E11" s="403">
        <f>SUM('- 6 -'!$E11:H11)</f>
        <v>0</v>
      </c>
      <c r="F11" s="353" t="str">
        <f>IF(E11=0,"",'- 6 -'!$E11/E11*100)</f>
        <v/>
      </c>
      <c r="G11" s="353" t="str">
        <f>IF(E11=0,"",'- 6 -'!$F11/E11*100)</f>
        <v/>
      </c>
      <c r="H11" s="353" t="str">
        <f>IF(E11=0,"",'- 6 -'!$G11/E11*100)</f>
        <v/>
      </c>
      <c r="I11" s="353" t="str">
        <f>IF(E11=0,"",'- 6 -'!$H11/E11*100)</f>
        <v/>
      </c>
    </row>
    <row r="12" spans="1:9" ht="14.1" customHeight="1">
      <c r="A12" s="23" t="s">
        <v>225</v>
      </c>
      <c r="B12" s="24">
        <v>0</v>
      </c>
      <c r="C12" s="344">
        <f>B12/'- 3 -'!$D12*100</f>
        <v>0</v>
      </c>
      <c r="D12" s="227" t="str">
        <f t="shared" ref="D12:D46" si="0">IF(E12=0,"",B12/E12)</f>
        <v/>
      </c>
      <c r="E12" s="228">
        <f>SUM('- 6 -'!$E12:H12)</f>
        <v>0</v>
      </c>
      <c r="F12" s="344" t="str">
        <f>IF(E12=0,"",'- 6 -'!$E12/E12*100)</f>
        <v/>
      </c>
      <c r="G12" s="344" t="str">
        <f>IF(E12=0,"",'- 6 -'!$F12/E12*100)</f>
        <v/>
      </c>
      <c r="H12" s="344" t="str">
        <f>IF(E12=0,"",'- 6 -'!$G12/E12*100)</f>
        <v/>
      </c>
      <c r="I12" s="344" t="str">
        <f>IF(E12=0,"",'- 6 -'!$H12/E12*100)</f>
        <v/>
      </c>
    </row>
    <row r="13" spans="1:9" ht="14.1" customHeight="1">
      <c r="A13" s="351" t="s">
        <v>226</v>
      </c>
      <c r="B13" s="352">
        <v>5728400</v>
      </c>
      <c r="C13" s="353">
        <f>B13/'- 3 -'!$D13*100</f>
        <v>7.3079562880011428</v>
      </c>
      <c r="D13" s="402">
        <f t="shared" si="0"/>
        <v>4148.0086893555399</v>
      </c>
      <c r="E13" s="403">
        <f>SUM('- 6 -'!$E13:H13)</f>
        <v>1381</v>
      </c>
      <c r="F13" s="353">
        <f>IF(E13=0,"",'- 6 -'!$E13/E13*100)</f>
        <v>76.828385228095584</v>
      </c>
      <c r="G13" s="353">
        <f>IF(E13=0,"",'- 6 -'!$F13/E13*100)</f>
        <v>0</v>
      </c>
      <c r="H13" s="353">
        <f>IF(E13=0,"",'- 6 -'!$G13/E13*100)</f>
        <v>23.171614771904416</v>
      </c>
      <c r="I13" s="353">
        <f>IF(E13=0,"",'- 6 -'!$H13/E13*100)</f>
        <v>0</v>
      </c>
    </row>
    <row r="14" spans="1:9" ht="14.1" customHeight="1">
      <c r="A14" s="23" t="s">
        <v>524</v>
      </c>
      <c r="B14" s="24">
        <v>0</v>
      </c>
      <c r="C14" s="344">
        <f>B14/'- 3 -'!$D14*100</f>
        <v>0</v>
      </c>
      <c r="D14" s="227" t="str">
        <f t="shared" si="0"/>
        <v/>
      </c>
      <c r="E14" s="228">
        <f>SUM('- 6 -'!$E14:H14)</f>
        <v>0</v>
      </c>
      <c r="F14" s="344" t="str">
        <f>IF(E14=0,"",'- 6 -'!$E14/E14*100)</f>
        <v/>
      </c>
      <c r="G14" s="344" t="str">
        <f>IF(E14=0,"",'- 6 -'!$F14/E14*100)</f>
        <v/>
      </c>
      <c r="H14" s="344" t="str">
        <f>IF(E14=0,"",'- 6 -'!$G14/E14*100)</f>
        <v/>
      </c>
      <c r="I14" s="344" t="str">
        <f>IF(E14=0,"",'- 6 -'!$H14/E14*100)</f>
        <v/>
      </c>
    </row>
    <row r="15" spans="1:9" ht="14.1" customHeight="1">
      <c r="A15" s="351" t="s">
        <v>227</v>
      </c>
      <c r="B15" s="352">
        <v>0</v>
      </c>
      <c r="C15" s="353">
        <f>B15/'- 3 -'!$D15*100</f>
        <v>0</v>
      </c>
      <c r="D15" s="402" t="str">
        <f t="shared" si="0"/>
        <v/>
      </c>
      <c r="E15" s="403">
        <f>SUM('- 6 -'!$E15:H15)</f>
        <v>0</v>
      </c>
      <c r="F15" s="353" t="str">
        <f>IF(E15=0,"",'- 6 -'!$E15/E15*100)</f>
        <v/>
      </c>
      <c r="G15" s="353" t="str">
        <f>IF(E15=0,"",'- 6 -'!$F15/E15*100)</f>
        <v/>
      </c>
      <c r="H15" s="353" t="str">
        <f>IF(E15=0,"",'- 6 -'!$G15/E15*100)</f>
        <v/>
      </c>
      <c r="I15" s="353" t="str">
        <f>IF(E15=0,"",'- 6 -'!$H15/E15*100)</f>
        <v/>
      </c>
    </row>
    <row r="16" spans="1:9" ht="14.1" customHeight="1">
      <c r="A16" s="23" t="s">
        <v>228</v>
      </c>
      <c r="B16" s="24">
        <v>1948869</v>
      </c>
      <c r="C16" s="344">
        <f>B16/'- 3 -'!$D16*100</f>
        <v>15.397811704577274</v>
      </c>
      <c r="D16" s="227">
        <f t="shared" si="0"/>
        <v>5055.4319066147864</v>
      </c>
      <c r="E16" s="228">
        <f>SUM('- 6 -'!$E16:H16)</f>
        <v>385.5</v>
      </c>
      <c r="F16" s="344">
        <f>IF(E16=0,"",'- 6 -'!$E16/E16*100)</f>
        <v>76.264591439688715</v>
      </c>
      <c r="G16" s="344">
        <f>IF(E16=0,"",'- 6 -'!$F16/E16*100)</f>
        <v>0</v>
      </c>
      <c r="H16" s="344">
        <f>IF(E16=0,"",'- 6 -'!$G16/E16*100)</f>
        <v>23.735408560311281</v>
      </c>
      <c r="I16" s="344">
        <f>IF(E16=0,"",'- 6 -'!$H16/E16*100)</f>
        <v>0</v>
      </c>
    </row>
    <row r="17" spans="1:9" ht="14.1" customHeight="1">
      <c r="A17" s="351" t="s">
        <v>229</v>
      </c>
      <c r="B17" s="352">
        <v>0</v>
      </c>
      <c r="C17" s="353">
        <f>B17/'- 3 -'!$D17*100</f>
        <v>0</v>
      </c>
      <c r="D17" s="402" t="str">
        <f t="shared" si="0"/>
        <v/>
      </c>
      <c r="E17" s="403">
        <f>SUM('- 6 -'!$E17:H17)</f>
        <v>0</v>
      </c>
      <c r="F17" s="353" t="str">
        <f>IF(E17=0,"",'- 6 -'!$E17/E17*100)</f>
        <v/>
      </c>
      <c r="G17" s="353" t="str">
        <f>IF(E17=0,"",'- 6 -'!$F17/E17*100)</f>
        <v/>
      </c>
      <c r="H17" s="353" t="str">
        <f>IF(E17=0,"",'- 6 -'!$G17/E17*100)</f>
        <v/>
      </c>
      <c r="I17" s="353" t="str">
        <f>IF(E17=0,"",'- 6 -'!$H17/E17*100)</f>
        <v/>
      </c>
    </row>
    <row r="18" spans="1:9" ht="14.1" customHeight="1">
      <c r="A18" s="23" t="s">
        <v>230</v>
      </c>
      <c r="B18" s="24">
        <v>0</v>
      </c>
      <c r="C18" s="344">
        <f>B18/'- 3 -'!$D18*100</f>
        <v>0</v>
      </c>
      <c r="D18" s="227" t="str">
        <f t="shared" si="0"/>
        <v/>
      </c>
      <c r="E18" s="228">
        <f>SUM('- 6 -'!$E18:H18)</f>
        <v>0</v>
      </c>
      <c r="F18" s="344" t="str">
        <f>IF(E18=0,"",'- 6 -'!$E18/E18*100)</f>
        <v/>
      </c>
      <c r="G18" s="344" t="str">
        <f>IF(E18=0,"",'- 6 -'!$F18/E18*100)</f>
        <v/>
      </c>
      <c r="H18" s="344" t="str">
        <f>IF(E18=0,"",'- 6 -'!$G18/E18*100)</f>
        <v/>
      </c>
      <c r="I18" s="344" t="str">
        <f>IF(E18=0,"",'- 6 -'!$H18/E18*100)</f>
        <v/>
      </c>
    </row>
    <row r="19" spans="1:9" ht="14.1" customHeight="1">
      <c r="A19" s="351" t="s">
        <v>231</v>
      </c>
      <c r="B19" s="352">
        <v>0</v>
      </c>
      <c r="C19" s="353">
        <f>B19/'- 3 -'!$D19*100</f>
        <v>0</v>
      </c>
      <c r="D19" s="402" t="str">
        <f t="shared" si="0"/>
        <v/>
      </c>
      <c r="E19" s="403">
        <f>SUM('- 6 -'!$E19:H19)</f>
        <v>0</v>
      </c>
      <c r="F19" s="353" t="str">
        <f>IF(E19=0,"",'- 6 -'!$E19/E19*100)</f>
        <v/>
      </c>
      <c r="G19" s="353" t="str">
        <f>IF(E19=0,"",'- 6 -'!$F19/E19*100)</f>
        <v/>
      </c>
      <c r="H19" s="353" t="str">
        <f>IF(E19=0,"",'- 6 -'!$G19/E19*100)</f>
        <v/>
      </c>
      <c r="I19" s="353" t="str">
        <f>IF(E19=0,"",'- 6 -'!$H19/E19*100)</f>
        <v/>
      </c>
    </row>
    <row r="20" spans="1:9" ht="14.1" customHeight="1">
      <c r="A20" s="23" t="s">
        <v>232</v>
      </c>
      <c r="B20" s="24">
        <v>0</v>
      </c>
      <c r="C20" s="344">
        <f>B20/'- 3 -'!$D20*100</f>
        <v>0</v>
      </c>
      <c r="D20" s="227" t="str">
        <f t="shared" si="0"/>
        <v/>
      </c>
      <c r="E20" s="228">
        <f>SUM('- 6 -'!$E20:H20)</f>
        <v>0</v>
      </c>
      <c r="F20" s="344" t="str">
        <f>IF(E20=0,"",'- 6 -'!$E20/E20*100)</f>
        <v/>
      </c>
      <c r="G20" s="344" t="str">
        <f>IF(E20=0,"",'- 6 -'!$F20/E20*100)</f>
        <v/>
      </c>
      <c r="H20" s="344" t="str">
        <f>IF(E20=0,"",'- 6 -'!$G20/E20*100)</f>
        <v/>
      </c>
      <c r="I20" s="344" t="str">
        <f>IF(E20=0,"",'- 6 -'!$H20/E20*100)</f>
        <v/>
      </c>
    </row>
    <row r="21" spans="1:9" ht="14.1" customHeight="1">
      <c r="A21" s="351" t="s">
        <v>233</v>
      </c>
      <c r="B21" s="352">
        <v>1617124</v>
      </c>
      <c r="C21" s="353">
        <f>B21/'- 3 -'!$D21*100</f>
        <v>4.9675338039790056</v>
      </c>
      <c r="D21" s="402">
        <f t="shared" si="0"/>
        <v>4983.432973805855</v>
      </c>
      <c r="E21" s="403">
        <f>SUM('- 6 -'!$E21:H21)</f>
        <v>324.5</v>
      </c>
      <c r="F21" s="353">
        <f>IF(E21=0,"",'- 6 -'!$E21/E21*100)</f>
        <v>65.023112480739599</v>
      </c>
      <c r="G21" s="353">
        <f>IF(E21=0,"",'- 6 -'!$F21/E21*100)</f>
        <v>0</v>
      </c>
      <c r="H21" s="353">
        <f>IF(E21=0,"",'- 6 -'!$G21/E21*100)</f>
        <v>34.976887519260401</v>
      </c>
      <c r="I21" s="353">
        <f>IF(E21=0,"",'- 6 -'!$H21/E21*100)</f>
        <v>0</v>
      </c>
    </row>
    <row r="22" spans="1:9" ht="14.1" customHeight="1">
      <c r="A22" s="23" t="s">
        <v>234</v>
      </c>
      <c r="B22" s="24">
        <v>3881220</v>
      </c>
      <c r="C22" s="344">
        <f>B22/'- 3 -'!$D22*100</f>
        <v>20.402040929504459</v>
      </c>
      <c r="D22" s="227">
        <f t="shared" si="0"/>
        <v>5604.6498194945852</v>
      </c>
      <c r="E22" s="228">
        <f>SUM('- 6 -'!$E22:H22)</f>
        <v>692.5</v>
      </c>
      <c r="F22" s="344">
        <f>IF(E22=0,"",'- 6 -'!$E22/E22*100)</f>
        <v>79.711191335740068</v>
      </c>
      <c r="G22" s="344">
        <f>IF(E22=0,"",'- 6 -'!$F22/E22*100)</f>
        <v>0</v>
      </c>
      <c r="H22" s="344">
        <f>IF(E22=0,"",'- 6 -'!$G22/E22*100)</f>
        <v>20.288808664259928</v>
      </c>
      <c r="I22" s="344">
        <f>IF(E22=0,"",'- 6 -'!$H22/E22*100)</f>
        <v>0</v>
      </c>
    </row>
    <row r="23" spans="1:9" ht="14.1" customHeight="1">
      <c r="A23" s="351" t="s">
        <v>235</v>
      </c>
      <c r="B23" s="352">
        <v>0</v>
      </c>
      <c r="C23" s="353">
        <f>B23/'- 3 -'!$D23*100</f>
        <v>0</v>
      </c>
      <c r="D23" s="402" t="str">
        <f t="shared" si="0"/>
        <v/>
      </c>
      <c r="E23" s="403">
        <f>SUM('- 6 -'!$E23:H23)</f>
        <v>0</v>
      </c>
      <c r="F23" s="353" t="str">
        <f>IF(E23=0,"",'- 6 -'!$E23/E23*100)</f>
        <v/>
      </c>
      <c r="G23" s="353" t="str">
        <f>IF(E23=0,"",'- 6 -'!$F23/E23*100)</f>
        <v/>
      </c>
      <c r="H23" s="353" t="str">
        <f>IF(E23=0,"",'- 6 -'!$G23/E23*100)</f>
        <v/>
      </c>
      <c r="I23" s="353" t="str">
        <f>IF(E23=0,"",'- 6 -'!$H23/E23*100)</f>
        <v/>
      </c>
    </row>
    <row r="24" spans="1:9" ht="14.1" customHeight="1">
      <c r="A24" s="23" t="s">
        <v>236</v>
      </c>
      <c r="B24" s="24">
        <v>4084815</v>
      </c>
      <c r="C24" s="344">
        <f>B24/'- 3 -'!$D24*100</f>
        <v>8.008325506809296</v>
      </c>
      <c r="D24" s="227">
        <f t="shared" si="0"/>
        <v>6170.4154078549846</v>
      </c>
      <c r="E24" s="228">
        <f>SUM('- 6 -'!$E24:H24)</f>
        <v>662</v>
      </c>
      <c r="F24" s="344">
        <f>IF(E24=0,"",'- 6 -'!$E24/E24*100)</f>
        <v>75.377643504531719</v>
      </c>
      <c r="G24" s="344">
        <f>IF(E24=0,"",'- 6 -'!$F24/E24*100)</f>
        <v>0</v>
      </c>
      <c r="H24" s="344">
        <f>IF(E24=0,"",'- 6 -'!$G24/E24*100)</f>
        <v>14.954682779456194</v>
      </c>
      <c r="I24" s="344">
        <f>IF(E24=0,"",'- 6 -'!$H24/E24*100)</f>
        <v>9.667673716012084</v>
      </c>
    </row>
    <row r="25" spans="1:9" ht="14.1" customHeight="1">
      <c r="A25" s="351" t="s">
        <v>237</v>
      </c>
      <c r="B25" s="352">
        <v>863200</v>
      </c>
      <c r="C25" s="353">
        <f>B25/'- 3 -'!$D25*100</f>
        <v>0.57489892714749191</v>
      </c>
      <c r="D25" s="402">
        <f t="shared" si="0"/>
        <v>4822.3463687150834</v>
      </c>
      <c r="E25" s="403">
        <f>SUM('- 6 -'!$E25:H25)</f>
        <v>179</v>
      </c>
      <c r="F25" s="353">
        <f>IF(E25=0,"",'- 6 -'!$E25/E25*100)</f>
        <v>0</v>
      </c>
      <c r="G25" s="353">
        <f>IF(E25=0,"",'- 6 -'!$F25/E25*100)</f>
        <v>17.318435754189945</v>
      </c>
      <c r="H25" s="353">
        <f>IF(E25=0,"",'- 6 -'!$G25/E25*100)</f>
        <v>82.681564245810051</v>
      </c>
      <c r="I25" s="353">
        <f>IF(E25=0,"",'- 6 -'!$H25/E25*100)</f>
        <v>0</v>
      </c>
    </row>
    <row r="26" spans="1:9" ht="14.1" customHeight="1">
      <c r="A26" s="23" t="s">
        <v>238</v>
      </c>
      <c r="B26" s="24">
        <v>1795565</v>
      </c>
      <c r="C26" s="344">
        <f>B26/'- 3 -'!$D26*100</f>
        <v>4.8820507427232274</v>
      </c>
      <c r="D26" s="227">
        <f t="shared" si="0"/>
        <v>4939.656121045392</v>
      </c>
      <c r="E26" s="228">
        <f>SUM('- 6 -'!$E26:H26)</f>
        <v>363.5</v>
      </c>
      <c r="F26" s="344">
        <f>IF(E26=0,"",'- 6 -'!$E26/E26*100)</f>
        <v>66.024759284731772</v>
      </c>
      <c r="G26" s="344">
        <f>IF(E26=0,"",'- 6 -'!$F26/E26*100)</f>
        <v>0</v>
      </c>
      <c r="H26" s="344">
        <f>IF(E26=0,"",'- 6 -'!$G26/E26*100)</f>
        <v>12.104539202200826</v>
      </c>
      <c r="I26" s="344">
        <f>IF(E26=0,"",'- 6 -'!$H26/E26*100)</f>
        <v>21.870701513067399</v>
      </c>
    </row>
    <row r="27" spans="1:9" ht="14.1" customHeight="1">
      <c r="A27" s="351" t="s">
        <v>239</v>
      </c>
      <c r="B27" s="352">
        <v>1765977</v>
      </c>
      <c r="C27" s="353">
        <f>B27/'- 3 -'!$D27*100</f>
        <v>4.6124211193238178</v>
      </c>
      <c r="D27" s="402">
        <f t="shared" si="0"/>
        <v>5319.2078313253014</v>
      </c>
      <c r="E27" s="403">
        <f>SUM('- 6 -'!$E27:H27)</f>
        <v>332</v>
      </c>
      <c r="F27" s="353">
        <f>IF(E27=0,"",'- 6 -'!$E27/E27*100)</f>
        <v>28.614457831325304</v>
      </c>
      <c r="G27" s="353">
        <f>IF(E27=0,"",'- 6 -'!$F27/E27*100)</f>
        <v>0</v>
      </c>
      <c r="H27" s="353">
        <f>IF(E27=0,"",'- 6 -'!$G27/E27*100)</f>
        <v>71.385542168674704</v>
      </c>
      <c r="I27" s="353">
        <f>IF(E27=0,"",'- 6 -'!$H27/E27*100)</f>
        <v>0</v>
      </c>
    </row>
    <row r="28" spans="1:9" ht="14.1" customHeight="1">
      <c r="A28" s="23" t="s">
        <v>240</v>
      </c>
      <c r="B28" s="24">
        <v>0</v>
      </c>
      <c r="C28" s="344">
        <f>B28/'- 3 -'!$D28*100</f>
        <v>0</v>
      </c>
      <c r="D28" s="227" t="str">
        <f t="shared" si="0"/>
        <v/>
      </c>
      <c r="E28" s="228">
        <f>SUM('- 6 -'!$E28:H28)</f>
        <v>0</v>
      </c>
      <c r="F28" s="344" t="str">
        <f>IF(E28=0,"",'- 6 -'!$E28/E28*100)</f>
        <v/>
      </c>
      <c r="G28" s="344" t="str">
        <f>IF(E28=0,"",'- 6 -'!$F28/E28*100)</f>
        <v/>
      </c>
      <c r="H28" s="344" t="str">
        <f>IF(E28=0,"",'- 6 -'!$G28/E28*100)</f>
        <v/>
      </c>
      <c r="I28" s="344" t="str">
        <f>IF(E28=0,"",'- 6 -'!$H28/E28*100)</f>
        <v/>
      </c>
    </row>
    <row r="29" spans="1:9" ht="14.1" customHeight="1">
      <c r="A29" s="351" t="s">
        <v>241</v>
      </c>
      <c r="B29" s="352">
        <v>17494164</v>
      </c>
      <c r="C29" s="353">
        <f>B29/'- 3 -'!$D29*100</f>
        <v>12.758628090870658</v>
      </c>
      <c r="D29" s="402">
        <f t="shared" si="0"/>
        <v>5760.3437602897593</v>
      </c>
      <c r="E29" s="403">
        <f>SUM('- 6 -'!$E29:H29)</f>
        <v>3037</v>
      </c>
      <c r="F29" s="353">
        <f>IF(E29=0,"",'- 6 -'!$E29/E29*100)</f>
        <v>68.570958182416859</v>
      </c>
      <c r="G29" s="353">
        <f>IF(E29=0,"",'- 6 -'!$F29/E29*100)</f>
        <v>0</v>
      </c>
      <c r="H29" s="353">
        <f>IF(E29=0,"",'- 6 -'!$G29/E29*100)</f>
        <v>31.429041817583141</v>
      </c>
      <c r="I29" s="353">
        <f>IF(E29=0,"",'- 6 -'!$H29/E29*100)</f>
        <v>0</v>
      </c>
    </row>
    <row r="30" spans="1:9" ht="14.1" customHeight="1">
      <c r="A30" s="23" t="s">
        <v>242</v>
      </c>
      <c r="B30" s="24">
        <v>0</v>
      </c>
      <c r="C30" s="344">
        <f>B30/'- 3 -'!$D30*100</f>
        <v>0</v>
      </c>
      <c r="D30" s="227" t="str">
        <f t="shared" si="0"/>
        <v/>
      </c>
      <c r="E30" s="228">
        <f>SUM('- 6 -'!$E30:H30)</f>
        <v>0</v>
      </c>
      <c r="F30" s="344" t="str">
        <f>IF(E30=0,"",'- 6 -'!$E30/E30*100)</f>
        <v/>
      </c>
      <c r="G30" s="344" t="str">
        <f>IF(E30=0,"",'- 6 -'!$F30/E30*100)</f>
        <v/>
      </c>
      <c r="H30" s="344" t="str">
        <f>IF(E30=0,"",'- 6 -'!$G30/E30*100)</f>
        <v/>
      </c>
      <c r="I30" s="344" t="str">
        <f>IF(E30=0,"",'- 6 -'!$H30/E30*100)</f>
        <v/>
      </c>
    </row>
    <row r="31" spans="1:9" ht="14.1" customHeight="1">
      <c r="A31" s="351" t="s">
        <v>243</v>
      </c>
      <c r="B31" s="352">
        <v>2875801</v>
      </c>
      <c r="C31" s="353">
        <f>B31/'- 3 -'!$D31*100</f>
        <v>8.9583240270590014</v>
      </c>
      <c r="D31" s="402">
        <f t="shared" si="0"/>
        <v>3923.3301500682128</v>
      </c>
      <c r="E31" s="403">
        <f>SUM('- 6 -'!$E31:H31)</f>
        <v>733</v>
      </c>
      <c r="F31" s="353">
        <f>IF(E31=0,"",'- 6 -'!$E31/E31*100)</f>
        <v>68.349249658935889</v>
      </c>
      <c r="G31" s="353">
        <f>IF(E31=0,"",'- 6 -'!$F31/E31*100)</f>
        <v>0</v>
      </c>
      <c r="H31" s="353">
        <f>IF(E31=0,"",'- 6 -'!$G31/E31*100)</f>
        <v>31.650750341064121</v>
      </c>
      <c r="I31" s="353">
        <f>IF(E31=0,"",'- 6 -'!$H31/E31*100)</f>
        <v>0</v>
      </c>
    </row>
    <row r="32" spans="1:9" ht="14.1" customHeight="1">
      <c r="A32" s="23" t="s">
        <v>244</v>
      </c>
      <c r="B32" s="24">
        <v>1124090</v>
      </c>
      <c r="C32" s="344">
        <f>B32/'- 3 -'!$D32*100</f>
        <v>4.5519242468191017</v>
      </c>
      <c r="D32" s="227">
        <f t="shared" si="0"/>
        <v>5947.5661375661375</v>
      </c>
      <c r="E32" s="228">
        <f>SUM('- 6 -'!$E32:H32)</f>
        <v>189</v>
      </c>
      <c r="F32" s="344">
        <f>IF(E32=0,"",'- 6 -'!$E32/E32*100)</f>
        <v>76.719576719576722</v>
      </c>
      <c r="G32" s="344">
        <f>IF(E32=0,"",'- 6 -'!$F32/E32*100)</f>
        <v>0</v>
      </c>
      <c r="H32" s="344">
        <f>IF(E32=0,"",'- 6 -'!$G32/E32*100)</f>
        <v>23.280423280423278</v>
      </c>
      <c r="I32" s="344">
        <f>IF(E32=0,"",'- 6 -'!$H32/E32*100)</f>
        <v>0</v>
      </c>
    </row>
    <row r="33" spans="1:9" ht="14.1" customHeight="1">
      <c r="A33" s="351" t="s">
        <v>245</v>
      </c>
      <c r="B33" s="352">
        <v>2053600</v>
      </c>
      <c r="C33" s="353">
        <f>B33/'- 3 -'!$D33*100</f>
        <v>8.0479995610752084</v>
      </c>
      <c r="D33" s="402">
        <f t="shared" si="0"/>
        <v>7205.6140350877195</v>
      </c>
      <c r="E33" s="403">
        <f>SUM('- 6 -'!$E33:H33)</f>
        <v>285</v>
      </c>
      <c r="F33" s="353">
        <f>IF(E33=0,"",'- 6 -'!$E33/E33*100)</f>
        <v>40</v>
      </c>
      <c r="G33" s="353">
        <f>IF(E33=0,"",'- 6 -'!$F33/E33*100)</f>
        <v>34.035087719298247</v>
      </c>
      <c r="H33" s="353">
        <f>IF(E33=0,"",'- 6 -'!$G33/E33*100)</f>
        <v>25.964912280701753</v>
      </c>
      <c r="I33" s="353">
        <f>IF(E33=0,"",'- 6 -'!$H33/E33*100)</f>
        <v>0</v>
      </c>
    </row>
    <row r="34" spans="1:9" ht="14.1" customHeight="1">
      <c r="A34" s="23" t="s">
        <v>246</v>
      </c>
      <c r="B34" s="24">
        <v>869535</v>
      </c>
      <c r="C34" s="344">
        <f>B34/'- 3 -'!$D34*100</f>
        <v>3.6326742533515137</v>
      </c>
      <c r="D34" s="227">
        <f t="shared" si="0"/>
        <v>6323.8909090909092</v>
      </c>
      <c r="E34" s="228">
        <f>SUM('- 6 -'!$E34:H34)</f>
        <v>137.5</v>
      </c>
      <c r="F34" s="344">
        <f>IF(E34=0,"",'- 6 -'!$E34/E34*100)</f>
        <v>40.36363636363636</v>
      </c>
      <c r="G34" s="344">
        <f>IF(E34=0,"",'- 6 -'!$F34/E34*100)</f>
        <v>59.636363636363633</v>
      </c>
      <c r="H34" s="344">
        <f>IF(E34=0,"",'- 6 -'!$G34/E34*100)</f>
        <v>0</v>
      </c>
      <c r="I34" s="344">
        <f>IF(E34=0,"",'- 6 -'!$H34/E34*100)</f>
        <v>0</v>
      </c>
    </row>
    <row r="35" spans="1:9" ht="14.1" customHeight="1">
      <c r="A35" s="351" t="s">
        <v>247</v>
      </c>
      <c r="B35" s="352">
        <v>24891019</v>
      </c>
      <c r="C35" s="353">
        <f>B35/'- 3 -'!$D35*100</f>
        <v>15.213715283130135</v>
      </c>
      <c r="D35" s="402">
        <f t="shared" si="0"/>
        <v>5272.9623980510542</v>
      </c>
      <c r="E35" s="403">
        <f>SUM('- 6 -'!$E35:H35)</f>
        <v>4720.5</v>
      </c>
      <c r="F35" s="353">
        <f>IF(E35=0,"",'- 6 -'!$E35/E35*100)</f>
        <v>56.41351551742401</v>
      </c>
      <c r="G35" s="353">
        <f>IF(E35=0,"",'- 6 -'!$F35/E35*100)</f>
        <v>0</v>
      </c>
      <c r="H35" s="353">
        <f>IF(E35=0,"",'- 6 -'!$G35/E35*100)</f>
        <v>34.127740705433744</v>
      </c>
      <c r="I35" s="353">
        <f>IF(E35=0,"",'- 6 -'!$H35/E35*100)</f>
        <v>9.4587437771422511</v>
      </c>
    </row>
    <row r="36" spans="1:9" ht="14.1" customHeight="1">
      <c r="A36" s="23" t="s">
        <v>248</v>
      </c>
      <c r="B36" s="24">
        <v>0</v>
      </c>
      <c r="C36" s="344">
        <f>B36/'- 3 -'!$D36*100</f>
        <v>0</v>
      </c>
      <c r="D36" s="227" t="str">
        <f t="shared" si="0"/>
        <v/>
      </c>
      <c r="E36" s="228">
        <f>SUM('- 6 -'!$E36:H36)</f>
        <v>0</v>
      </c>
      <c r="F36" s="344" t="str">
        <f>IF(E36=0,"",'- 6 -'!$E36/E36*100)</f>
        <v/>
      </c>
      <c r="G36" s="344" t="str">
        <f>IF(E36=0,"",'- 6 -'!$F36/E36*100)</f>
        <v/>
      </c>
      <c r="H36" s="344" t="str">
        <f>IF(E36=0,"",'- 6 -'!$G36/E36*100)</f>
        <v/>
      </c>
      <c r="I36" s="344" t="str">
        <f>IF(E36=0,"",'- 6 -'!$H36/E36*100)</f>
        <v/>
      </c>
    </row>
    <row r="37" spans="1:9" ht="14.1" customHeight="1">
      <c r="A37" s="351" t="s">
        <v>249</v>
      </c>
      <c r="B37" s="352">
        <v>6199067</v>
      </c>
      <c r="C37" s="353">
        <f>B37/'- 3 -'!$D37*100</f>
        <v>15.557974878019667</v>
      </c>
      <c r="D37" s="402">
        <f t="shared" si="0"/>
        <v>5251.2215163066494</v>
      </c>
      <c r="E37" s="403">
        <f>SUM('- 6 -'!$E37:H37)</f>
        <v>1180.5</v>
      </c>
      <c r="F37" s="353">
        <f>IF(E37=0,"",'- 6 -'!$E37/E37*100)</f>
        <v>63.235916984328675</v>
      </c>
      <c r="G37" s="353">
        <f>IF(E37=0,"",'- 6 -'!$F37/E37*100)</f>
        <v>0</v>
      </c>
      <c r="H37" s="353">
        <f>IF(E37=0,"",'- 6 -'!$G37/E37*100)</f>
        <v>36.764083015671325</v>
      </c>
      <c r="I37" s="353">
        <f>IF(E37=0,"",'- 6 -'!$H37/E37*100)</f>
        <v>0</v>
      </c>
    </row>
    <row r="38" spans="1:9" ht="14.1" customHeight="1">
      <c r="A38" s="23" t="s">
        <v>250</v>
      </c>
      <c r="B38" s="24">
        <v>22182232</v>
      </c>
      <c r="C38" s="344">
        <f>B38/'- 3 -'!$D38*100</f>
        <v>19.816534152834606</v>
      </c>
      <c r="D38" s="227">
        <f t="shared" si="0"/>
        <v>5126.4691472151608</v>
      </c>
      <c r="E38" s="228">
        <f>SUM('- 6 -'!$E38:H38)</f>
        <v>4327</v>
      </c>
      <c r="F38" s="344">
        <f>IF(E38=0,"",'- 6 -'!$E38/E38*100)</f>
        <v>72.116940143286342</v>
      </c>
      <c r="G38" s="344">
        <f>IF(E38=0,"",'- 6 -'!$F38/E38*100)</f>
        <v>0</v>
      </c>
      <c r="H38" s="344">
        <f>IF(E38=0,"",'- 6 -'!$G38/E38*100)</f>
        <v>24.832447423156921</v>
      </c>
      <c r="I38" s="344">
        <f>IF(E38=0,"",'- 6 -'!$H38/E38*100)</f>
        <v>3.0506124335567368</v>
      </c>
    </row>
    <row r="39" spans="1:9" ht="14.1" customHeight="1">
      <c r="A39" s="351" t="s">
        <v>251</v>
      </c>
      <c r="B39" s="352">
        <v>0</v>
      </c>
      <c r="C39" s="353">
        <f>B39/'- 3 -'!$D39*100</f>
        <v>0</v>
      </c>
      <c r="D39" s="402" t="str">
        <f t="shared" si="0"/>
        <v/>
      </c>
      <c r="E39" s="403">
        <f>SUM('- 6 -'!$E39:H39)</f>
        <v>0</v>
      </c>
      <c r="F39" s="353" t="str">
        <f>IF(E39=0,"",'- 6 -'!$E39/E39*100)</f>
        <v/>
      </c>
      <c r="G39" s="353" t="str">
        <f>IF(E39=0,"",'- 6 -'!$F39/E39*100)</f>
        <v/>
      </c>
      <c r="H39" s="353" t="str">
        <f>IF(E39=0,"",'- 6 -'!$G39/E39*100)</f>
        <v/>
      </c>
      <c r="I39" s="353" t="str">
        <f>IF(E39=0,"",'- 6 -'!$H39/E39*100)</f>
        <v/>
      </c>
    </row>
    <row r="40" spans="1:9" ht="14.1" customHeight="1">
      <c r="A40" s="23" t="s">
        <v>252</v>
      </c>
      <c r="B40" s="24">
        <v>8290809</v>
      </c>
      <c r="C40" s="344">
        <f>B40/'- 3 -'!$D40*100</f>
        <v>8.8302751450806305</v>
      </c>
      <c r="D40" s="227">
        <f t="shared" si="0"/>
        <v>5491.329315141078</v>
      </c>
      <c r="E40" s="228">
        <f>SUM('- 6 -'!$E40:H40)</f>
        <v>1509.8</v>
      </c>
      <c r="F40" s="344">
        <f>IF(E40=0,"",'- 6 -'!$E40/E40*100)</f>
        <v>61.756524042919594</v>
      </c>
      <c r="G40" s="344">
        <f>IF(E40=0,"",'- 6 -'!$F40/E40*100)</f>
        <v>0</v>
      </c>
      <c r="H40" s="344">
        <f>IF(E40=0,"",'- 6 -'!$G40/E40*100)</f>
        <v>38.243475957080406</v>
      </c>
      <c r="I40" s="344">
        <f>IF(E40=0,"",'- 6 -'!$H40/E40*100)</f>
        <v>0</v>
      </c>
    </row>
    <row r="41" spans="1:9" ht="14.1" customHeight="1">
      <c r="A41" s="351" t="s">
        <v>253</v>
      </c>
      <c r="B41" s="352">
        <v>13116698</v>
      </c>
      <c r="C41" s="353">
        <f>B41/'- 3 -'!$D41*100</f>
        <v>23.083199047803596</v>
      </c>
      <c r="D41" s="402">
        <f t="shared" si="0"/>
        <v>5801.2817337461302</v>
      </c>
      <c r="E41" s="403">
        <f>SUM('- 6 -'!$E41:H41)</f>
        <v>2261</v>
      </c>
      <c r="F41" s="353">
        <f>IF(E41=0,"",'- 6 -'!$E41/E41*100)</f>
        <v>70.057496682883681</v>
      </c>
      <c r="G41" s="353">
        <f>IF(E41=0,"",'- 6 -'!$F41/E41*100)</f>
        <v>0</v>
      </c>
      <c r="H41" s="353">
        <f>IF(E41=0,"",'- 6 -'!$G41/E41*100)</f>
        <v>27.111897390535162</v>
      </c>
      <c r="I41" s="353">
        <f>IF(E41=0,"",'- 6 -'!$H41/E41*100)</f>
        <v>2.8306059265811587</v>
      </c>
    </row>
    <row r="42" spans="1:9" ht="14.1" customHeight="1">
      <c r="A42" s="23" t="s">
        <v>254</v>
      </c>
      <c r="B42" s="24">
        <v>1367092</v>
      </c>
      <c r="C42" s="344">
        <f>B42/'- 3 -'!$D42*100</f>
        <v>6.872209829283074</v>
      </c>
      <c r="D42" s="227">
        <f t="shared" si="0"/>
        <v>6158.0720720720719</v>
      </c>
      <c r="E42" s="228">
        <f>SUM('- 6 -'!$E42:H42)</f>
        <v>222</v>
      </c>
      <c r="F42" s="344">
        <f>IF(E42=0,"",'- 6 -'!$E42/E42*100)</f>
        <v>68.468468468468473</v>
      </c>
      <c r="G42" s="344">
        <f>IF(E42=0,"",'- 6 -'!$F42/E42*100)</f>
        <v>0</v>
      </c>
      <c r="H42" s="344">
        <f>IF(E42=0,"",'- 6 -'!$G42/E42*100)</f>
        <v>31.531531531531531</v>
      </c>
      <c r="I42" s="344">
        <f>IF(E42=0,"",'- 6 -'!$H42/E42*100)</f>
        <v>0</v>
      </c>
    </row>
    <row r="43" spans="1:9" ht="14.1" customHeight="1">
      <c r="A43" s="351" t="s">
        <v>255</v>
      </c>
      <c r="B43" s="352">
        <v>0</v>
      </c>
      <c r="C43" s="353">
        <f>B43/'- 3 -'!$D43*100</f>
        <v>0</v>
      </c>
      <c r="D43" s="402" t="str">
        <f t="shared" si="0"/>
        <v/>
      </c>
      <c r="E43" s="403">
        <f>SUM('- 6 -'!$E43:H43)</f>
        <v>0</v>
      </c>
      <c r="F43" s="353" t="str">
        <f>IF(E43=0,"",'- 6 -'!$E43/E43*100)</f>
        <v/>
      </c>
      <c r="G43" s="353" t="str">
        <f>IF(E43=0,"",'- 6 -'!$F43/E43*100)</f>
        <v/>
      </c>
      <c r="H43" s="353" t="str">
        <f>IF(E43=0,"",'- 6 -'!$G43/E43*100)</f>
        <v/>
      </c>
      <c r="I43" s="353" t="str">
        <f>IF(E43=0,"",'- 6 -'!$H43/E43*100)</f>
        <v/>
      </c>
    </row>
    <row r="44" spans="1:9" ht="14.1" customHeight="1">
      <c r="A44" s="23" t="s">
        <v>256</v>
      </c>
      <c r="B44" s="24">
        <v>0</v>
      </c>
      <c r="C44" s="344">
        <f>B44/'- 3 -'!$D44*100</f>
        <v>0</v>
      </c>
      <c r="D44" s="227" t="str">
        <f t="shared" si="0"/>
        <v/>
      </c>
      <c r="E44" s="228">
        <f>SUM('- 6 -'!$E44:H44)</f>
        <v>0</v>
      </c>
      <c r="F44" s="344" t="str">
        <f>IF(E44=0,"",'- 6 -'!$E44/E44*100)</f>
        <v/>
      </c>
      <c r="G44" s="344" t="str">
        <f>IF(E44=0,"",'- 6 -'!$F44/E44*100)</f>
        <v/>
      </c>
      <c r="H44" s="344" t="str">
        <f>IF(E44=0,"",'- 6 -'!$G44/E44*100)</f>
        <v/>
      </c>
      <c r="I44" s="344" t="str">
        <f>IF(E44=0,"",'- 6 -'!$H44/E44*100)</f>
        <v/>
      </c>
    </row>
    <row r="45" spans="1:9" ht="14.1" customHeight="1">
      <c r="A45" s="351" t="s">
        <v>257</v>
      </c>
      <c r="B45" s="352">
        <v>4089589</v>
      </c>
      <c r="C45" s="353">
        <f>B45/'- 3 -'!$D45*100</f>
        <v>24.979998722166034</v>
      </c>
      <c r="D45" s="402">
        <f t="shared" si="0"/>
        <v>4655.1952191235059</v>
      </c>
      <c r="E45" s="403">
        <f>SUM('- 6 -'!$E45:H45)</f>
        <v>878.5</v>
      </c>
      <c r="F45" s="353">
        <f>IF(E45=0,"",'- 6 -'!$E45/E45*100)</f>
        <v>77.063175867956744</v>
      </c>
      <c r="G45" s="353">
        <f>IF(E45=0,"",'- 6 -'!$F45/E45*100)</f>
        <v>22.936824132043256</v>
      </c>
      <c r="H45" s="353">
        <f>IF(E45=0,"",'- 6 -'!$G45/E45*100)</f>
        <v>0</v>
      </c>
      <c r="I45" s="353">
        <f>IF(E45=0,"",'- 6 -'!$H45/E45*100)</f>
        <v>0</v>
      </c>
    </row>
    <row r="46" spans="1:9" ht="14.1" customHeight="1">
      <c r="A46" s="23" t="s">
        <v>258</v>
      </c>
      <c r="B46" s="24">
        <v>25453700</v>
      </c>
      <c r="C46" s="344">
        <f>B46/'- 3 -'!$D46*100</f>
        <v>7.2185548597067228</v>
      </c>
      <c r="D46" s="227">
        <f t="shared" si="0"/>
        <v>4694.522316488381</v>
      </c>
      <c r="E46" s="228">
        <f>SUM('- 6 -'!$E46:H46)</f>
        <v>5422</v>
      </c>
      <c r="F46" s="344">
        <f>IF(E46=0,"",'- 6 -'!$E46/E46*100)</f>
        <v>56.805606787163413</v>
      </c>
      <c r="G46" s="344">
        <f>IF(E46=0,"",'- 6 -'!$F46/E46*100)</f>
        <v>0</v>
      </c>
      <c r="H46" s="344">
        <f>IF(E46=0,"",'- 6 -'!$G46/E46*100)</f>
        <v>39.902250092216896</v>
      </c>
      <c r="I46" s="344">
        <f>IF(E46=0,"",'- 6 -'!$H46/E46*100)</f>
        <v>3.2921431206196976</v>
      </c>
    </row>
    <row r="47" spans="1:9" ht="5.0999999999999996" customHeight="1">
      <c r="A47"/>
      <c r="B47"/>
      <c r="C47"/>
      <c r="D47"/>
      <c r="E47"/>
      <c r="F47"/>
      <c r="G47"/>
      <c r="H47"/>
      <c r="I47"/>
    </row>
    <row r="48" spans="1:9" ht="14.1" customHeight="1">
      <c r="A48" s="354" t="s">
        <v>259</v>
      </c>
      <c r="B48" s="355">
        <f>SUM(B11:B46)</f>
        <v>151692566</v>
      </c>
      <c r="C48" s="602">
        <f>B48/'- 3 -'!$D48*100</f>
        <v>7.5513771698803227</v>
      </c>
      <c r="D48" s="603">
        <f>B48/E48</f>
        <v>5190.8977236951969</v>
      </c>
      <c r="E48" s="604">
        <f>SUM(E11:E46)</f>
        <v>29222.799999999999</v>
      </c>
      <c r="F48" s="404">
        <f>IF(E48=0,"",'- 6 -'!$E48/E48*100)</f>
        <v>64.351807492779628</v>
      </c>
      <c r="G48" s="356">
        <f>IF(E48=0,"",'- 6 -'!$F48/E48*100)</f>
        <v>1.4081470632519812</v>
      </c>
      <c r="H48" s="356">
        <f>IF(E48=0,"",'- 6 -'!$G48/E48*100)</f>
        <v>30.939540358897847</v>
      </c>
      <c r="I48" s="356">
        <f>IF(E48=0,"",'- 6 -'!$H48/E48*100)</f>
        <v>3.3005050850705611</v>
      </c>
    </row>
    <row r="49" spans="1:9" ht="5.0999999999999996" customHeight="1">
      <c r="A49" s="25" t="s">
        <v>3</v>
      </c>
      <c r="B49" s="26"/>
      <c r="C49" s="343"/>
      <c r="D49" s="26"/>
      <c r="E49" s="229"/>
      <c r="F49" s="343"/>
      <c r="G49" s="343"/>
      <c r="H49" s="343"/>
      <c r="I49" s="343"/>
    </row>
    <row r="50" spans="1:9" ht="14.1" customHeight="1">
      <c r="A50" s="23" t="s">
        <v>260</v>
      </c>
      <c r="B50" s="24">
        <v>0</v>
      </c>
      <c r="C50" s="344">
        <f>B50/'- 3 -'!$D50*100</f>
        <v>0</v>
      </c>
      <c r="D50" s="227" t="str">
        <f>IF(E50=0,"",B50/E50)</f>
        <v/>
      </c>
      <c r="E50" s="228">
        <f>SUM('- 6 -'!$E50:H50)</f>
        <v>0</v>
      </c>
      <c r="F50" s="344" t="str">
        <f>IF(E50=0,"",'- 6 -'!$E50/E50*100)</f>
        <v/>
      </c>
      <c r="G50" s="344" t="str">
        <f>IF(E50=0,"",'- 6 -'!$F50/E50*100)</f>
        <v/>
      </c>
      <c r="H50" s="344" t="str">
        <f>IF(E50=0,"",'- 6 -'!$G50/E50*100)</f>
        <v/>
      </c>
      <c r="I50" s="344" t="str">
        <f>IF(E50=0,"",'- 6 -'!$H50/E50*100)</f>
        <v/>
      </c>
    </row>
    <row r="51" spans="1:9" ht="14.1" customHeight="1">
      <c r="A51" s="351" t="s">
        <v>261</v>
      </c>
      <c r="B51" s="352">
        <v>0</v>
      </c>
      <c r="C51" s="353">
        <f>B51/'- 3 -'!$D51*100</f>
        <v>0</v>
      </c>
      <c r="D51" s="402" t="str">
        <f>IF(E51=0,"",B51/E51)</f>
        <v/>
      </c>
      <c r="E51" s="403">
        <f>SUM('- 6 -'!$E51:H51)</f>
        <v>0</v>
      </c>
      <c r="F51" s="353" t="str">
        <f>IF(E51=0,"",'- 6 -'!$E51/E51*100)</f>
        <v/>
      </c>
      <c r="G51" s="353" t="str">
        <f>IF(E51=0,"",'- 6 -'!$F51/E51*100)</f>
        <v/>
      </c>
      <c r="H51" s="353" t="str">
        <f>IF(E51=0,"",'- 6 -'!$G51/E51*100)</f>
        <v/>
      </c>
      <c r="I51" s="353" t="str">
        <f>IF(E51=0,"",'- 6 -'!$H51/E51*100)</f>
        <v/>
      </c>
    </row>
    <row r="52" spans="1:9" ht="50.1" customHeight="1">
      <c r="A52" s="27"/>
      <c r="B52" s="70"/>
      <c r="C52" s="70"/>
      <c r="D52" s="70"/>
      <c r="E52" s="70"/>
      <c r="F52" s="70"/>
      <c r="G52" s="70"/>
      <c r="H52" s="70"/>
      <c r="I52" s="70"/>
    </row>
    <row r="53" spans="1:9" ht="15" customHeight="1">
      <c r="A53" s="65" t="s">
        <v>554</v>
      </c>
      <c r="C53" s="65"/>
      <c r="D53" s="65"/>
      <c r="E53" s="65"/>
      <c r="F53" s="65"/>
      <c r="G53" s="65"/>
      <c r="H53" s="65"/>
      <c r="I53" s="65"/>
    </row>
    <row r="54" spans="1:9" ht="14.45" customHeight="1"/>
    <row r="55" spans="1:9" ht="14.45" customHeight="1"/>
    <row r="56" spans="1:9" ht="14.45" customHeight="1"/>
    <row r="57" spans="1:9" ht="14.45" customHeight="1">
      <c r="A57" s="28"/>
    </row>
    <row r="58" spans="1:9" ht="14.45" customHeight="1"/>
    <row r="59" spans="1:9" ht="14.45" customHeight="1">
      <c r="A59" s="28"/>
    </row>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17.xml><?xml version="1.0" encoding="utf-8"?>
<worksheet xmlns="http://schemas.openxmlformats.org/spreadsheetml/2006/main" xmlns:r="http://schemas.openxmlformats.org/officeDocument/2006/relationships">
  <sheetPr codeName="Sheet16"/>
  <dimension ref="A1:J59"/>
  <sheetViews>
    <sheetView showGridLines="0" showZeros="0" workbookViewId="0"/>
  </sheetViews>
  <sheetFormatPr defaultColWidth="15.83203125" defaultRowHeight="12"/>
  <cols>
    <col min="1" max="1" width="31.83203125" style="1" customWidth="1"/>
    <col min="2" max="2" width="15.6640625" style="1" customWidth="1"/>
    <col min="3" max="3" width="7.83203125" style="1" customWidth="1"/>
    <col min="4" max="4" width="8.6640625" style="1" customWidth="1"/>
    <col min="5" max="5" width="13" style="1" customWidth="1"/>
    <col min="6" max="6" width="7.83203125" style="1" customWidth="1"/>
    <col min="7" max="7" width="9.83203125" style="1" customWidth="1"/>
    <col min="8" max="8" width="14.6640625" style="1" customWidth="1"/>
    <col min="9" max="9" width="7.83203125" style="1" customWidth="1"/>
    <col min="10" max="10" width="11.5" style="1" customWidth="1"/>
    <col min="11" max="16384" width="15.83203125" style="1"/>
  </cols>
  <sheetData>
    <row r="1" spans="1:10" ht="6.95" customHeight="1">
      <c r="A1" s="3"/>
      <c r="B1" s="4"/>
      <c r="C1" s="4"/>
      <c r="D1" s="4"/>
      <c r="E1" s="4"/>
      <c r="F1" s="4"/>
      <c r="G1" s="4"/>
      <c r="H1" s="4"/>
      <c r="I1" s="4"/>
      <c r="J1" s="4"/>
    </row>
    <row r="2" spans="1:10" ht="15.95" customHeight="1">
      <c r="A2" s="160"/>
      <c r="B2" s="5" t="s">
        <v>437</v>
      </c>
      <c r="C2" s="6"/>
      <c r="D2" s="6"/>
      <c r="E2" s="6"/>
      <c r="F2" s="6"/>
      <c r="G2" s="105"/>
      <c r="H2" s="105"/>
      <c r="I2" s="209"/>
      <c r="J2" s="183" t="s">
        <v>395</v>
      </c>
    </row>
    <row r="3" spans="1:10" ht="15.95" customHeight="1">
      <c r="A3" s="163"/>
      <c r="B3" s="7" t="str">
        <f>OPYEAR</f>
        <v>OPERATING FUND 2012/2013 BUDGET</v>
      </c>
      <c r="C3" s="8"/>
      <c r="D3" s="8"/>
      <c r="E3" s="8"/>
      <c r="F3" s="8"/>
      <c r="G3" s="107"/>
      <c r="H3" s="107"/>
      <c r="I3" s="107"/>
      <c r="J3" s="100"/>
    </row>
    <row r="4" spans="1:10" ht="15.95" customHeight="1">
      <c r="B4" s="4"/>
      <c r="C4" s="4"/>
      <c r="D4" s="100"/>
      <c r="E4" s="4"/>
      <c r="F4" s="4"/>
      <c r="G4" s="4"/>
      <c r="H4" s="4"/>
      <c r="I4" s="4"/>
      <c r="J4" s="4"/>
    </row>
    <row r="5" spans="1:10" ht="15.95" customHeight="1">
      <c r="B5" s="165" t="s">
        <v>400</v>
      </c>
      <c r="C5" s="185"/>
      <c r="D5" s="186"/>
      <c r="E5" s="186"/>
      <c r="F5" s="186"/>
      <c r="G5" s="186"/>
      <c r="H5" s="186"/>
      <c r="I5" s="186"/>
      <c r="J5" s="187"/>
    </row>
    <row r="6" spans="1:10" ht="15.95" customHeight="1">
      <c r="B6" s="345" t="s">
        <v>10</v>
      </c>
      <c r="C6" s="346"/>
      <c r="D6" s="347"/>
      <c r="E6" s="405"/>
      <c r="F6" s="406"/>
      <c r="G6" s="407"/>
      <c r="H6" s="345" t="s">
        <v>11</v>
      </c>
      <c r="I6" s="346"/>
      <c r="J6" s="347"/>
    </row>
    <row r="7" spans="1:10" ht="15.95" customHeight="1">
      <c r="B7" s="348" t="s">
        <v>34</v>
      </c>
      <c r="C7" s="349"/>
      <c r="D7" s="350"/>
      <c r="E7" s="348" t="s">
        <v>352</v>
      </c>
      <c r="F7" s="349"/>
      <c r="G7" s="350"/>
      <c r="H7" s="348" t="s">
        <v>35</v>
      </c>
      <c r="I7" s="349"/>
      <c r="J7" s="350"/>
    </row>
    <row r="8" spans="1:10" ht="15.95" customHeight="1">
      <c r="A8" s="101"/>
      <c r="B8" s="169"/>
      <c r="C8" s="168"/>
      <c r="D8" s="168" t="s">
        <v>59</v>
      </c>
      <c r="E8" s="169"/>
      <c r="F8" s="168"/>
      <c r="G8" s="168" t="s">
        <v>59</v>
      </c>
      <c r="H8" s="169"/>
      <c r="I8" s="168"/>
      <c r="J8" s="168" t="s">
        <v>59</v>
      </c>
    </row>
    <row r="9" spans="1:10" ht="15.95" customHeight="1">
      <c r="A9" s="35" t="s">
        <v>79</v>
      </c>
      <c r="B9" s="112" t="s">
        <v>80</v>
      </c>
      <c r="C9" s="112" t="s">
        <v>81</v>
      </c>
      <c r="D9" s="112" t="s">
        <v>82</v>
      </c>
      <c r="E9" s="112" t="s">
        <v>80</v>
      </c>
      <c r="F9" s="112" t="s">
        <v>81</v>
      </c>
      <c r="G9" s="112" t="s">
        <v>82</v>
      </c>
      <c r="H9" s="112" t="s">
        <v>80</v>
      </c>
      <c r="I9" s="112" t="s">
        <v>81</v>
      </c>
      <c r="J9" s="112" t="s">
        <v>82</v>
      </c>
    </row>
    <row r="10" spans="1:10" ht="5.0999999999999996" customHeight="1">
      <c r="A10" s="37"/>
    </row>
    <row r="11" spans="1:10" ht="14.1" customHeight="1">
      <c r="A11" s="351" t="s">
        <v>224</v>
      </c>
      <c r="B11" s="352">
        <v>127480</v>
      </c>
      <c r="C11" s="353">
        <f>B11/'- 3 -'!$D11*100</f>
        <v>0.80355206825780223</v>
      </c>
      <c r="D11" s="352">
        <f>B11/'- 7 -'!$F11</f>
        <v>86.193373901284659</v>
      </c>
      <c r="E11" s="352">
        <v>0</v>
      </c>
      <c r="F11" s="353">
        <f>E11/'- 3 -'!$D11*100</f>
        <v>0</v>
      </c>
      <c r="G11" s="352">
        <f>E11/'- 7 -'!$F11</f>
        <v>0</v>
      </c>
      <c r="H11" s="352">
        <v>124200</v>
      </c>
      <c r="I11" s="353">
        <f>H11/'- 3 -'!$D11*100</f>
        <v>0.78287705426434773</v>
      </c>
      <c r="J11" s="352">
        <f>H11/'- 7 -'!$F11</f>
        <v>83.975659229208929</v>
      </c>
    </row>
    <row r="12" spans="1:10" ht="14.1" customHeight="1">
      <c r="A12" s="23" t="s">
        <v>225</v>
      </c>
      <c r="B12" s="24">
        <v>279094</v>
      </c>
      <c r="C12" s="344">
        <f>B12/'- 3 -'!$D12*100</f>
        <v>0.93026638588972543</v>
      </c>
      <c r="D12" s="24">
        <f>B12/'- 7 -'!$F12</f>
        <v>120.82932869227905</v>
      </c>
      <c r="E12" s="24">
        <v>0</v>
      </c>
      <c r="F12" s="344">
        <f>E12/'- 3 -'!$D12*100</f>
        <v>0</v>
      </c>
      <c r="G12" s="24">
        <f>E12/'- 7 -'!$F12</f>
        <v>0</v>
      </c>
      <c r="H12" s="24">
        <v>549457</v>
      </c>
      <c r="I12" s="344">
        <f>H12/'- 3 -'!$D12*100</f>
        <v>1.8314309071202208</v>
      </c>
      <c r="J12" s="24">
        <f>H12/'- 7 -'!$F12</f>
        <v>237.87870916348459</v>
      </c>
    </row>
    <row r="13" spans="1:10" ht="14.1" customHeight="1">
      <c r="A13" s="351" t="s">
        <v>226</v>
      </c>
      <c r="B13" s="352">
        <v>125800</v>
      </c>
      <c r="C13" s="353">
        <f>B13/'- 3 -'!$D13*100</f>
        <v>0.1604882516986495</v>
      </c>
      <c r="D13" s="352">
        <f>B13/'- 7 -'!$F13</f>
        <v>16.278467908902691</v>
      </c>
      <c r="E13" s="352">
        <v>0</v>
      </c>
      <c r="F13" s="353">
        <f>E13/'- 3 -'!$D13*100</f>
        <v>0</v>
      </c>
      <c r="G13" s="352">
        <f>E13/'- 7 -'!$F13</f>
        <v>0</v>
      </c>
      <c r="H13" s="352">
        <v>1390600</v>
      </c>
      <c r="I13" s="353">
        <f>H13/'- 3 -'!$D13*100</f>
        <v>1.7740458093175038</v>
      </c>
      <c r="J13" s="352">
        <f>H13/'- 7 -'!$F13</f>
        <v>179.9430641821946</v>
      </c>
    </row>
    <row r="14" spans="1:10" ht="14.1" customHeight="1">
      <c r="A14" s="23" t="s">
        <v>524</v>
      </c>
      <c r="B14" s="24">
        <v>299306</v>
      </c>
      <c r="C14" s="344">
        <f>B14/'- 3 -'!$D14*100</f>
        <v>0.41884007023777786</v>
      </c>
      <c r="D14" s="24">
        <f>B14/'- 7 -'!$F14</f>
        <v>59.386111111111113</v>
      </c>
      <c r="E14" s="24">
        <v>0</v>
      </c>
      <c r="F14" s="344">
        <f>E14/'- 3 -'!$D14*100</f>
        <v>0</v>
      </c>
      <c r="G14" s="24">
        <f>E14/'- 7 -'!$F14</f>
        <v>0</v>
      </c>
      <c r="H14" s="24">
        <v>881676</v>
      </c>
      <c r="I14" s="344">
        <f>H14/'- 3 -'!$D14*100</f>
        <v>1.2337916305284995</v>
      </c>
      <c r="J14" s="24">
        <f>H14/'- 7 -'!$F14</f>
        <v>174.93571428571428</v>
      </c>
    </row>
    <row r="15" spans="1:10" ht="14.1" customHeight="1">
      <c r="A15" s="351" t="s">
        <v>227</v>
      </c>
      <c r="B15" s="352">
        <v>266700</v>
      </c>
      <c r="C15" s="353">
        <f>B15/'- 3 -'!$D15*100</f>
        <v>1.425800400881398</v>
      </c>
      <c r="D15" s="352">
        <f>B15/'- 7 -'!$F15</f>
        <v>178.5140562248996</v>
      </c>
      <c r="E15" s="352">
        <v>0</v>
      </c>
      <c r="F15" s="353">
        <f>E15/'- 3 -'!$D15*100</f>
        <v>0</v>
      </c>
      <c r="G15" s="352">
        <f>E15/'- 7 -'!$F15</f>
        <v>0</v>
      </c>
      <c r="H15" s="352">
        <v>284300</v>
      </c>
      <c r="I15" s="353">
        <f>H15/'- 3 -'!$D15*100</f>
        <v>1.519891465956436</v>
      </c>
      <c r="J15" s="352">
        <f>H15/'- 7 -'!$F15</f>
        <v>190.29451137884874</v>
      </c>
    </row>
    <row r="16" spans="1:10" ht="14.1" customHeight="1">
      <c r="A16" s="23" t="s">
        <v>228</v>
      </c>
      <c r="B16" s="24">
        <v>196291</v>
      </c>
      <c r="C16" s="344">
        <f>B16/'- 3 -'!$D16*100</f>
        <v>1.5508748188324497</v>
      </c>
      <c r="D16" s="24">
        <f>B16/'- 7 -'!$F16</f>
        <v>198.37392622536635</v>
      </c>
      <c r="E16" s="24">
        <v>0</v>
      </c>
      <c r="F16" s="344">
        <f>E16/'- 3 -'!$D16*100</f>
        <v>0</v>
      </c>
      <c r="G16" s="24">
        <f>E16/'- 7 -'!$F16</f>
        <v>0</v>
      </c>
      <c r="H16" s="24">
        <v>171047</v>
      </c>
      <c r="I16" s="344">
        <f>H16/'- 3 -'!$D16*100</f>
        <v>1.3514245947946366</v>
      </c>
      <c r="J16" s="24">
        <f>H16/'- 7 -'!$F16</f>
        <v>172.86205154118241</v>
      </c>
    </row>
    <row r="17" spans="1:10" ht="14.1" customHeight="1">
      <c r="A17" s="351" t="s">
        <v>229</v>
      </c>
      <c r="B17" s="352">
        <v>120380</v>
      </c>
      <c r="C17" s="353">
        <f>B17/'- 3 -'!$D17*100</f>
        <v>0.73851573674091864</v>
      </c>
      <c r="D17" s="352">
        <f>B17/'- 7 -'!$F17</f>
        <v>93.644496304939707</v>
      </c>
      <c r="E17" s="352">
        <v>0</v>
      </c>
      <c r="F17" s="353">
        <f>E17/'- 3 -'!$D17*100</f>
        <v>0</v>
      </c>
      <c r="G17" s="352">
        <f>E17/'- 7 -'!$F17</f>
        <v>0</v>
      </c>
      <c r="H17" s="352">
        <v>325220</v>
      </c>
      <c r="I17" s="353">
        <f>H17/'- 3 -'!$D17*100</f>
        <v>1.9951826541193021</v>
      </c>
      <c r="J17" s="352">
        <f>H17/'- 7 -'!$F17</f>
        <v>252.99105406456633</v>
      </c>
    </row>
    <row r="18" spans="1:10" ht="14.1" customHeight="1">
      <c r="A18" s="23" t="s">
        <v>230</v>
      </c>
      <c r="B18" s="24">
        <v>0</v>
      </c>
      <c r="C18" s="344">
        <f>B18/'- 3 -'!$D18*100</f>
        <v>0</v>
      </c>
      <c r="D18" s="24">
        <f>B18/'- 7 -'!$F18</f>
        <v>0</v>
      </c>
      <c r="E18" s="24">
        <v>0</v>
      </c>
      <c r="F18" s="344">
        <f>E18/'- 3 -'!$D18*100</f>
        <v>0</v>
      </c>
      <c r="G18" s="24">
        <f>E18/'- 7 -'!$F18</f>
        <v>0</v>
      </c>
      <c r="H18" s="24">
        <v>3293555</v>
      </c>
      <c r="I18" s="344">
        <f>H18/'- 3 -'!$D18*100</f>
        <v>2.8598357181846246</v>
      </c>
      <c r="J18" s="24">
        <f>H18/'- 7 -'!$F18</f>
        <v>520.84367834268994</v>
      </c>
    </row>
    <row r="19" spans="1:10" ht="14.1" customHeight="1">
      <c r="A19" s="351" t="s">
        <v>231</v>
      </c>
      <c r="B19" s="352">
        <v>167700</v>
      </c>
      <c r="C19" s="353">
        <f>B19/'- 3 -'!$D19*100</f>
        <v>0.42899752079339726</v>
      </c>
      <c r="D19" s="352">
        <f>B19/'- 7 -'!$F19</f>
        <v>39.805364348445288</v>
      </c>
      <c r="E19" s="352">
        <v>0</v>
      </c>
      <c r="F19" s="353">
        <f>E19/'- 3 -'!$D19*100</f>
        <v>0</v>
      </c>
      <c r="G19" s="352">
        <f>E19/'- 7 -'!$F19</f>
        <v>0</v>
      </c>
      <c r="H19" s="352">
        <v>612550</v>
      </c>
      <c r="I19" s="353">
        <f>H19/'- 3 -'!$D19*100</f>
        <v>1.5669793164102295</v>
      </c>
      <c r="J19" s="352">
        <f>H19/'- 7 -'!$F19</f>
        <v>145.39520531687634</v>
      </c>
    </row>
    <row r="20" spans="1:10" ht="14.1" customHeight="1">
      <c r="A20" s="23" t="s">
        <v>232</v>
      </c>
      <c r="B20" s="24">
        <v>442400</v>
      </c>
      <c r="C20" s="344">
        <f>B20/'- 3 -'!$D20*100</f>
        <v>0.65377055963587472</v>
      </c>
      <c r="D20" s="24">
        <f>B20/'- 7 -'!$F20</f>
        <v>59.582491582491585</v>
      </c>
      <c r="E20" s="24">
        <v>6000</v>
      </c>
      <c r="F20" s="344">
        <f>E20/'- 3 -'!$D20*100</f>
        <v>8.8666893259838325E-3</v>
      </c>
      <c r="G20" s="24">
        <f>E20/'- 7 -'!$F20</f>
        <v>0.80808080808080807</v>
      </c>
      <c r="H20" s="24">
        <v>1171900</v>
      </c>
      <c r="I20" s="344">
        <f>H20/'- 3 -'!$D20*100</f>
        <v>1.7318122035200758</v>
      </c>
      <c r="J20" s="24">
        <f>H20/'- 7 -'!$F20</f>
        <v>157.83164983164983</v>
      </c>
    </row>
    <row r="21" spans="1:10" ht="14.1" customHeight="1">
      <c r="A21" s="351" t="s">
        <v>233</v>
      </c>
      <c r="B21" s="352">
        <v>246000</v>
      </c>
      <c r="C21" s="353">
        <f>B21/'- 3 -'!$D21*100</f>
        <v>0.75567075609466894</v>
      </c>
      <c r="D21" s="352">
        <f>B21/'- 7 -'!$F21</f>
        <v>88.172043010752688</v>
      </c>
      <c r="E21" s="352">
        <v>0</v>
      </c>
      <c r="F21" s="353">
        <f>E21/'- 3 -'!$D21*100</f>
        <v>0</v>
      </c>
      <c r="G21" s="352">
        <f>E21/'- 7 -'!$F21</f>
        <v>0</v>
      </c>
      <c r="H21" s="352">
        <v>491000</v>
      </c>
      <c r="I21" s="353">
        <f>H21/'- 3 -'!$D21*100</f>
        <v>1.5082696798474897</v>
      </c>
      <c r="J21" s="352">
        <f>H21/'- 7 -'!$F21</f>
        <v>175.98566308243727</v>
      </c>
    </row>
    <row r="22" spans="1:10" ht="14.1" customHeight="1">
      <c r="A22" s="23" t="s">
        <v>234</v>
      </c>
      <c r="B22" s="24">
        <v>128320</v>
      </c>
      <c r="C22" s="344">
        <f>B22/'- 3 -'!$D22*100</f>
        <v>0.67452756918546541</v>
      </c>
      <c r="D22" s="24">
        <f>B22/'- 7 -'!$F22</f>
        <v>79.479715082068751</v>
      </c>
      <c r="E22" s="24">
        <v>0</v>
      </c>
      <c r="F22" s="344">
        <f>E22/'- 3 -'!$D22*100</f>
        <v>0</v>
      </c>
      <c r="G22" s="24">
        <f>E22/'- 7 -'!$F22</f>
        <v>0</v>
      </c>
      <c r="H22" s="24">
        <v>158050</v>
      </c>
      <c r="I22" s="344">
        <f>H22/'- 3 -'!$D22*100</f>
        <v>0.83080643944640586</v>
      </c>
      <c r="J22" s="24">
        <f>H22/'- 7 -'!$F22</f>
        <v>97.894084855992574</v>
      </c>
    </row>
    <row r="23" spans="1:10" ht="14.1" customHeight="1">
      <c r="A23" s="351" t="s">
        <v>235</v>
      </c>
      <c r="B23" s="352">
        <v>118632</v>
      </c>
      <c r="C23" s="353">
        <f>B23/'- 3 -'!$D23*100</f>
        <v>0.76207459635716113</v>
      </c>
      <c r="D23" s="352">
        <f>B23/'- 7 -'!$F23</f>
        <v>99.232120451693845</v>
      </c>
      <c r="E23" s="352">
        <v>0</v>
      </c>
      <c r="F23" s="353">
        <f>E23/'- 3 -'!$D23*100</f>
        <v>0</v>
      </c>
      <c r="G23" s="352">
        <f>E23/'- 7 -'!$F23</f>
        <v>0</v>
      </c>
      <c r="H23" s="352">
        <v>277000</v>
      </c>
      <c r="I23" s="353">
        <f>H23/'- 3 -'!$D23*100</f>
        <v>1.7794074380515681</v>
      </c>
      <c r="J23" s="352">
        <f>H23/'- 7 -'!$F23</f>
        <v>231.7022166457549</v>
      </c>
    </row>
    <row r="24" spans="1:10" ht="14.1" customHeight="1">
      <c r="A24" s="23" t="s">
        <v>236</v>
      </c>
      <c r="B24" s="24">
        <v>187225</v>
      </c>
      <c r="C24" s="344">
        <f>B24/'- 3 -'!$D24*100</f>
        <v>0.36705670709992266</v>
      </c>
      <c r="D24" s="24">
        <f>B24/'- 7 -'!$F24</f>
        <v>43.826076779026216</v>
      </c>
      <c r="E24" s="24">
        <v>0</v>
      </c>
      <c r="F24" s="344">
        <f>E24/'- 3 -'!$D24*100</f>
        <v>0</v>
      </c>
      <c r="G24" s="24">
        <f>E24/'- 7 -'!$F24</f>
        <v>0</v>
      </c>
      <c r="H24" s="24">
        <v>1217810</v>
      </c>
      <c r="I24" s="344">
        <f>H24/'- 3 -'!$D24*100</f>
        <v>2.3875301293809952</v>
      </c>
      <c r="J24" s="24">
        <f>H24/'- 7 -'!$F24</f>
        <v>285.0678838951311</v>
      </c>
    </row>
    <row r="25" spans="1:10" ht="14.1" customHeight="1">
      <c r="A25" s="351" t="s">
        <v>237</v>
      </c>
      <c r="B25" s="352">
        <v>1626880</v>
      </c>
      <c r="C25" s="353">
        <f>B25/'- 3 -'!$D25*100</f>
        <v>1.0835166434171821</v>
      </c>
      <c r="D25" s="352">
        <f>B25/'- 7 -'!$F25</f>
        <v>119.69393761035903</v>
      </c>
      <c r="E25" s="352">
        <v>0</v>
      </c>
      <c r="F25" s="353">
        <f>E25/'- 3 -'!$D25*100</f>
        <v>0</v>
      </c>
      <c r="G25" s="352">
        <f>E25/'- 7 -'!$F25</f>
        <v>0</v>
      </c>
      <c r="H25" s="352">
        <v>2923366</v>
      </c>
      <c r="I25" s="353">
        <f>H25/'- 3 -'!$D25*100</f>
        <v>1.9469879252310645</v>
      </c>
      <c r="J25" s="352">
        <f>H25/'- 7 -'!$F25</f>
        <v>215.07989994114186</v>
      </c>
    </row>
    <row r="26" spans="1:10" ht="14.1" customHeight="1">
      <c r="A26" s="23" t="s">
        <v>238</v>
      </c>
      <c r="B26" s="24">
        <v>183814</v>
      </c>
      <c r="C26" s="344">
        <f>B26/'- 3 -'!$D26*100</f>
        <v>0.49978100220427968</v>
      </c>
      <c r="D26" s="24">
        <f>B26/'- 7 -'!$F26</f>
        <v>61.496821679491468</v>
      </c>
      <c r="E26" s="24">
        <v>7650</v>
      </c>
      <c r="F26" s="344">
        <f>E26/'- 3 -'!$D26*100</f>
        <v>2.0799964457890799E-2</v>
      </c>
      <c r="G26" s="24">
        <f>E26/'- 7 -'!$F26</f>
        <v>2.5593844095015057</v>
      </c>
      <c r="H26" s="24">
        <v>565373</v>
      </c>
      <c r="I26" s="344">
        <f>H26/'- 3 -'!$D26*100</f>
        <v>1.5372206935230188</v>
      </c>
      <c r="J26" s="24">
        <f>H26/'- 7 -'!$F26</f>
        <v>189.15122114419538</v>
      </c>
    </row>
    <row r="27" spans="1:10" ht="14.1" customHeight="1">
      <c r="A27" s="351" t="s">
        <v>239</v>
      </c>
      <c r="B27" s="352">
        <v>292060</v>
      </c>
      <c r="C27" s="353">
        <f>B27/'- 3 -'!$D27*100</f>
        <v>0.76280931864328594</v>
      </c>
      <c r="D27" s="352">
        <f>B27/'- 7 -'!$F27</f>
        <v>104.38170121515368</v>
      </c>
      <c r="E27" s="352">
        <v>0</v>
      </c>
      <c r="F27" s="353">
        <f>E27/'- 3 -'!$D27*100</f>
        <v>0</v>
      </c>
      <c r="G27" s="352">
        <f>E27/'- 7 -'!$F27</f>
        <v>0</v>
      </c>
      <c r="H27" s="352">
        <v>545087</v>
      </c>
      <c r="I27" s="353">
        <f>H27/'- 3 -'!$D27*100</f>
        <v>1.4236713109337562</v>
      </c>
      <c r="J27" s="352">
        <f>H27/'- 7 -'!$F27</f>
        <v>194.81308077198</v>
      </c>
    </row>
    <row r="28" spans="1:10" ht="14.1" customHeight="1">
      <c r="A28" s="23" t="s">
        <v>240</v>
      </c>
      <c r="B28" s="24">
        <v>131752</v>
      </c>
      <c r="C28" s="344">
        <f>B28/'- 3 -'!$D28*100</f>
        <v>0.51394898793375321</v>
      </c>
      <c r="D28" s="24">
        <f>B28/'- 7 -'!$F28</f>
        <v>67.392327365728903</v>
      </c>
      <c r="E28" s="24">
        <v>0</v>
      </c>
      <c r="F28" s="344">
        <f>E28/'- 3 -'!$D28*100</f>
        <v>0</v>
      </c>
      <c r="G28" s="24">
        <f>E28/'- 7 -'!$F28</f>
        <v>0</v>
      </c>
      <c r="H28" s="24">
        <v>422039</v>
      </c>
      <c r="I28" s="344">
        <f>H28/'- 3 -'!$D28*100</f>
        <v>1.6463242828843074</v>
      </c>
      <c r="J28" s="24">
        <f>H28/'- 7 -'!$F28</f>
        <v>215.87672634271101</v>
      </c>
    </row>
    <row r="29" spans="1:10" ht="14.1" customHeight="1">
      <c r="A29" s="351" t="s">
        <v>241</v>
      </c>
      <c r="B29" s="352">
        <v>550358</v>
      </c>
      <c r="C29" s="353">
        <f>B29/'- 3 -'!$D29*100</f>
        <v>0.40138031396272456</v>
      </c>
      <c r="D29" s="352">
        <f>B29/'- 7 -'!$F29</f>
        <v>45.319334650856391</v>
      </c>
      <c r="E29" s="352">
        <v>0</v>
      </c>
      <c r="F29" s="353">
        <f>E29/'- 3 -'!$D29*100</f>
        <v>0</v>
      </c>
      <c r="G29" s="352">
        <f>E29/'- 7 -'!$F29</f>
        <v>0</v>
      </c>
      <c r="H29" s="352">
        <v>2658424</v>
      </c>
      <c r="I29" s="353">
        <f>H29/'- 3 -'!$D29*100</f>
        <v>1.9388090293337101</v>
      </c>
      <c r="J29" s="352">
        <f>H29/'- 7 -'!$F29</f>
        <v>218.90843214756259</v>
      </c>
    </row>
    <row r="30" spans="1:10" ht="14.1" customHeight="1">
      <c r="A30" s="23" t="s">
        <v>242</v>
      </c>
      <c r="B30" s="24">
        <v>138885</v>
      </c>
      <c r="C30" s="344">
        <f>B30/'- 3 -'!$D30*100</f>
        <v>1.0472711906429446</v>
      </c>
      <c r="D30" s="24">
        <f>B30/'- 7 -'!$F30</f>
        <v>129.37587331159759</v>
      </c>
      <c r="E30" s="24">
        <v>0</v>
      </c>
      <c r="F30" s="344">
        <f>E30/'- 3 -'!$D30*100</f>
        <v>0</v>
      </c>
      <c r="G30" s="24">
        <f>E30/'- 7 -'!$F30</f>
        <v>0</v>
      </c>
      <c r="H30" s="24">
        <v>129832</v>
      </c>
      <c r="I30" s="344">
        <f>H30/'- 3 -'!$D30*100</f>
        <v>0.97900646739068153</v>
      </c>
      <c r="J30" s="24">
        <f>H30/'- 7 -'!$F30</f>
        <v>120.94271075919889</v>
      </c>
    </row>
    <row r="31" spans="1:10" ht="14.1" customHeight="1">
      <c r="A31" s="351" t="s">
        <v>243</v>
      </c>
      <c r="B31" s="352">
        <v>133859</v>
      </c>
      <c r="C31" s="353">
        <f>B31/'- 3 -'!$D31*100</f>
        <v>0.41698027643014618</v>
      </c>
      <c r="D31" s="352">
        <f>B31/'- 7 -'!$F31</f>
        <v>42.22681388012618</v>
      </c>
      <c r="E31" s="352">
        <v>6000</v>
      </c>
      <c r="F31" s="353">
        <f>E31/'- 3 -'!$D31*100</f>
        <v>1.8690425437070925E-2</v>
      </c>
      <c r="G31" s="352">
        <f>E31/'- 7 -'!$F31</f>
        <v>1.8927444794952681</v>
      </c>
      <c r="H31" s="352">
        <v>449868</v>
      </c>
      <c r="I31" s="353">
        <f>H31/'- 3 -'!$D31*100</f>
        <v>1.4013707184207038</v>
      </c>
      <c r="J31" s="352">
        <f>H31/'- 7 -'!$F31</f>
        <v>141.91419558359621</v>
      </c>
    </row>
    <row r="32" spans="1:10" ht="14.1" customHeight="1">
      <c r="A32" s="23" t="s">
        <v>244</v>
      </c>
      <c r="B32" s="24">
        <v>135250</v>
      </c>
      <c r="C32" s="344">
        <f>B32/'- 3 -'!$D32*100</f>
        <v>0.54768546502707394</v>
      </c>
      <c r="D32" s="24">
        <f>B32/'- 7 -'!$F32</f>
        <v>65.942477681945164</v>
      </c>
      <c r="E32" s="24">
        <v>0</v>
      </c>
      <c r="F32" s="344">
        <f>E32/'- 3 -'!$D32*100</f>
        <v>0</v>
      </c>
      <c r="G32" s="24">
        <f>E32/'- 7 -'!$F32</f>
        <v>0</v>
      </c>
      <c r="H32" s="24">
        <v>308900</v>
      </c>
      <c r="I32" s="344">
        <f>H32/'- 3 -'!$D32*100</f>
        <v>1.250869058387158</v>
      </c>
      <c r="J32" s="24">
        <f>H32/'- 7 -'!$F32</f>
        <v>150.6072558665646</v>
      </c>
    </row>
    <row r="33" spans="1:10" ht="14.1" customHeight="1">
      <c r="A33" s="351" t="s">
        <v>245</v>
      </c>
      <c r="B33" s="352">
        <v>196500</v>
      </c>
      <c r="C33" s="353">
        <f>B33/'- 3 -'!$D33*100</f>
        <v>0.77007786996069272</v>
      </c>
      <c r="D33" s="352">
        <f>B33/'- 7 -'!$F33</f>
        <v>98.029433774008481</v>
      </c>
      <c r="E33" s="352">
        <v>0</v>
      </c>
      <c r="F33" s="353">
        <f>E33/'- 3 -'!$D33*100</f>
        <v>0</v>
      </c>
      <c r="G33" s="352">
        <f>E33/'- 7 -'!$F33</f>
        <v>0</v>
      </c>
      <c r="H33" s="352">
        <v>462900</v>
      </c>
      <c r="I33" s="353">
        <f>H33/'- 3 -'!$D33*100</f>
        <v>1.8140918371745787</v>
      </c>
      <c r="J33" s="352">
        <f>H33/'- 7 -'!$F33</f>
        <v>230.93040658518333</v>
      </c>
    </row>
    <row r="34" spans="1:10" ht="14.1" customHeight="1">
      <c r="A34" s="23" t="s">
        <v>246</v>
      </c>
      <c r="B34" s="24">
        <v>203733</v>
      </c>
      <c r="C34" s="344">
        <f>B34/'- 3 -'!$D34*100</f>
        <v>0.85113954430593819</v>
      </c>
      <c r="D34" s="24">
        <f>B34/'- 7 -'!$F34</f>
        <v>101.90216575801531</v>
      </c>
      <c r="E34" s="24">
        <v>0</v>
      </c>
      <c r="F34" s="344">
        <f>E34/'- 3 -'!$D34*100</f>
        <v>0</v>
      </c>
      <c r="G34" s="24">
        <f>E34/'- 7 -'!$F34</f>
        <v>0</v>
      </c>
      <c r="H34" s="24">
        <v>316002</v>
      </c>
      <c r="I34" s="344">
        <f>H34/'- 3 -'!$D34*100</f>
        <v>1.3201680546586221</v>
      </c>
      <c r="J34" s="24">
        <f>H34/'- 7 -'!$F34</f>
        <v>158.05631971189916</v>
      </c>
    </row>
    <row r="35" spans="1:10" ht="14.1" customHeight="1">
      <c r="A35" s="351" t="s">
        <v>247</v>
      </c>
      <c r="B35" s="352">
        <v>744650</v>
      </c>
      <c r="C35" s="353">
        <f>B35/'- 3 -'!$D35*100</f>
        <v>0.45513978698834529</v>
      </c>
      <c r="D35" s="352">
        <f>B35/'- 7 -'!$F35</f>
        <v>47.752340643837371</v>
      </c>
      <c r="E35" s="352">
        <v>0</v>
      </c>
      <c r="F35" s="353">
        <f>E35/'- 3 -'!$D35*100</f>
        <v>0</v>
      </c>
      <c r="G35" s="352">
        <f>E35/'- 7 -'!$F35</f>
        <v>0</v>
      </c>
      <c r="H35" s="352">
        <v>2845050</v>
      </c>
      <c r="I35" s="353">
        <f>H35/'- 3 -'!$D35*100</f>
        <v>1.738931647043835</v>
      </c>
      <c r="J35" s="352">
        <f>H35/'- 7 -'!$F35</f>
        <v>182.44517121969989</v>
      </c>
    </row>
    <row r="36" spans="1:10" ht="14.1" customHeight="1">
      <c r="A36" s="23" t="s">
        <v>248</v>
      </c>
      <c r="B36" s="24">
        <v>161590</v>
      </c>
      <c r="C36" s="344">
        <f>B36/'- 3 -'!$D36*100</f>
        <v>0.76527954322865654</v>
      </c>
      <c r="D36" s="24">
        <f>B36/'- 7 -'!$F36</f>
        <v>98.650793650793645</v>
      </c>
      <c r="E36" s="24">
        <v>0</v>
      </c>
      <c r="F36" s="344">
        <f>E36/'- 3 -'!$D36*100</f>
        <v>0</v>
      </c>
      <c r="G36" s="24">
        <f>E36/'- 7 -'!$F36</f>
        <v>0</v>
      </c>
      <c r="H36" s="24">
        <v>291910</v>
      </c>
      <c r="I36" s="344">
        <f>H36/'- 3 -'!$D36*100</f>
        <v>1.382466436437138</v>
      </c>
      <c r="J36" s="24">
        <f>H36/'- 7 -'!$F36</f>
        <v>178.21123321123321</v>
      </c>
    </row>
    <row r="37" spans="1:10" ht="14.1" customHeight="1">
      <c r="A37" s="351" t="s">
        <v>249</v>
      </c>
      <c r="B37" s="352">
        <v>288036</v>
      </c>
      <c r="C37" s="353">
        <f>B37/'- 3 -'!$D37*100</f>
        <v>0.72289214682875225</v>
      </c>
      <c r="D37" s="352">
        <f>B37/'- 7 -'!$F37</f>
        <v>78.323861318830723</v>
      </c>
      <c r="E37" s="352">
        <v>0</v>
      </c>
      <c r="F37" s="353">
        <f>E37/'- 3 -'!$D37*100</f>
        <v>0</v>
      </c>
      <c r="G37" s="352">
        <f>E37/'- 7 -'!$F37</f>
        <v>0</v>
      </c>
      <c r="H37" s="352">
        <v>681226</v>
      </c>
      <c r="I37" s="353">
        <f>H37/'- 3 -'!$D37*100</f>
        <v>1.7096922801856838</v>
      </c>
      <c r="J37" s="352">
        <f>H37/'- 7 -'!$F37</f>
        <v>185.24160435078178</v>
      </c>
    </row>
    <row r="38" spans="1:10" ht="14.1" customHeight="1">
      <c r="A38" s="23" t="s">
        <v>250</v>
      </c>
      <c r="B38" s="24">
        <v>443370</v>
      </c>
      <c r="C38" s="344">
        <f>B38/'- 3 -'!$D38*100</f>
        <v>0.39608533295216991</v>
      </c>
      <c r="D38" s="24">
        <f>B38/'- 7 -'!$F38</f>
        <v>42.093420677869553</v>
      </c>
      <c r="E38" s="24">
        <v>0</v>
      </c>
      <c r="F38" s="344">
        <f>E38/'- 3 -'!$D38*100</f>
        <v>0</v>
      </c>
      <c r="G38" s="24">
        <f>E38/'- 7 -'!$F38</f>
        <v>0</v>
      </c>
      <c r="H38" s="24">
        <v>1608140</v>
      </c>
      <c r="I38" s="344">
        <f>H38/'- 3 -'!$D38*100</f>
        <v>1.4366345655630794</v>
      </c>
      <c r="J38" s="24">
        <f>H38/'- 7 -'!$F38</f>
        <v>152.67635051742144</v>
      </c>
    </row>
    <row r="39" spans="1:10" ht="14.1" customHeight="1">
      <c r="A39" s="351" t="s">
        <v>251</v>
      </c>
      <c r="B39" s="352">
        <v>163597</v>
      </c>
      <c r="C39" s="353">
        <f>B39/'- 3 -'!$D39*100</f>
        <v>0.82192250193778316</v>
      </c>
      <c r="D39" s="352">
        <f>B39/'- 7 -'!$F39</f>
        <v>104.80269058295964</v>
      </c>
      <c r="E39" s="352">
        <v>45000</v>
      </c>
      <c r="F39" s="353">
        <f>E39/'- 3 -'!$D39*100</f>
        <v>0.22608307357225524</v>
      </c>
      <c r="G39" s="352">
        <f>E39/'- 7 -'!$F39</f>
        <v>28.827674567584882</v>
      </c>
      <c r="H39" s="352">
        <v>226625</v>
      </c>
      <c r="I39" s="353">
        <f>H39/'- 3 -'!$D39*100</f>
        <v>1.1385794788513854</v>
      </c>
      <c r="J39" s="352">
        <f>H39/'- 7 -'!$F39</f>
        <v>145.17937219730942</v>
      </c>
    </row>
    <row r="40" spans="1:10" ht="14.1" customHeight="1">
      <c r="A40" s="23" t="s">
        <v>252</v>
      </c>
      <c r="B40" s="24">
        <v>236559</v>
      </c>
      <c r="C40" s="344">
        <f>B40/'- 3 -'!$D40*100</f>
        <v>0.25195141487943201</v>
      </c>
      <c r="D40" s="24">
        <f>B40/'- 7 -'!$F40</f>
        <v>29.095616451835092</v>
      </c>
      <c r="E40" s="24">
        <v>0</v>
      </c>
      <c r="F40" s="344">
        <f>E40/'- 3 -'!$D40*100</f>
        <v>0</v>
      </c>
      <c r="G40" s="24">
        <f>E40/'- 7 -'!$F40</f>
        <v>0</v>
      </c>
      <c r="H40" s="24">
        <v>1800851</v>
      </c>
      <c r="I40" s="344">
        <f>H40/'- 3 -'!$D40*100</f>
        <v>1.9180287261826436</v>
      </c>
      <c r="J40" s="24">
        <f>H40/'- 7 -'!$F40</f>
        <v>221.49599035717804</v>
      </c>
    </row>
    <row r="41" spans="1:10" ht="14.1" customHeight="1">
      <c r="A41" s="351" t="s">
        <v>253</v>
      </c>
      <c r="B41" s="352">
        <v>307539</v>
      </c>
      <c r="C41" s="353">
        <f>B41/'- 3 -'!$D41*100</f>
        <v>0.54121730575503602</v>
      </c>
      <c r="D41" s="352">
        <f>B41/'- 7 -'!$F41</f>
        <v>68.288886421672032</v>
      </c>
      <c r="E41" s="352">
        <v>144884</v>
      </c>
      <c r="F41" s="353">
        <f>E41/'- 3 -'!$D41*100</f>
        <v>0.25497165604041322</v>
      </c>
      <c r="G41" s="352">
        <f>E41/'- 7 -'!$F41</f>
        <v>32.171422227156654</v>
      </c>
      <c r="H41" s="352">
        <v>1004876</v>
      </c>
      <c r="I41" s="353">
        <f>H41/'- 3 -'!$D41*100</f>
        <v>1.768414026636939</v>
      </c>
      <c r="J41" s="352">
        <f>H41/'- 7 -'!$F41</f>
        <v>223.13223048739869</v>
      </c>
    </row>
    <row r="42" spans="1:10" ht="14.1" customHeight="1">
      <c r="A42" s="23" t="s">
        <v>254</v>
      </c>
      <c r="B42" s="24">
        <v>149625</v>
      </c>
      <c r="C42" s="344">
        <f>B42/'- 3 -'!$D42*100</f>
        <v>0.75214718227191735</v>
      </c>
      <c r="D42" s="24">
        <f>B42/'- 7 -'!$F42</f>
        <v>102.62345679012346</v>
      </c>
      <c r="E42" s="24">
        <v>0</v>
      </c>
      <c r="F42" s="344">
        <f>E42/'- 3 -'!$D42*100</f>
        <v>0</v>
      </c>
      <c r="G42" s="24">
        <f>E42/'- 7 -'!$F42</f>
        <v>0</v>
      </c>
      <c r="H42" s="24">
        <v>297380</v>
      </c>
      <c r="I42" s="344">
        <f>H42/'- 3 -'!$D42*100</f>
        <v>1.4948940956659833</v>
      </c>
      <c r="J42" s="24">
        <f>H42/'- 7 -'!$F42</f>
        <v>203.96433470507546</v>
      </c>
    </row>
    <row r="43" spans="1:10" ht="14.1" customHeight="1">
      <c r="A43" s="351" t="s">
        <v>255</v>
      </c>
      <c r="B43" s="352">
        <v>135853</v>
      </c>
      <c r="C43" s="353">
        <f>B43/'- 3 -'!$D43*100</f>
        <v>1.1497040751602972</v>
      </c>
      <c r="D43" s="352">
        <f>B43/'- 7 -'!$F43</f>
        <v>143.13499275648624</v>
      </c>
      <c r="E43" s="352">
        <v>1000</v>
      </c>
      <c r="F43" s="353">
        <f>E43/'- 3 -'!$D43*100</f>
        <v>8.462853784313171E-3</v>
      </c>
      <c r="G43" s="352">
        <f>E43/'- 7 -'!$F43</f>
        <v>1.0536020018438035</v>
      </c>
      <c r="H43" s="352">
        <v>204754</v>
      </c>
      <c r="I43" s="353">
        <f>H43/'- 3 -'!$D43*100</f>
        <v>1.7328031637532586</v>
      </c>
      <c r="J43" s="352">
        <f>H43/'- 7 -'!$F43</f>
        <v>215.72922428552613</v>
      </c>
    </row>
    <row r="44" spans="1:10" ht="14.1" customHeight="1">
      <c r="A44" s="23" t="s">
        <v>256</v>
      </c>
      <c r="B44" s="24">
        <v>82690</v>
      </c>
      <c r="C44" s="344">
        <f>B44/'- 3 -'!$D44*100</f>
        <v>0.82239181256189819</v>
      </c>
      <c r="D44" s="24">
        <f>B44/'- 7 -'!$F44</f>
        <v>110.54812834224599</v>
      </c>
      <c r="E44" s="24">
        <v>0</v>
      </c>
      <c r="F44" s="344">
        <f>E44/'- 3 -'!$D44*100</f>
        <v>0</v>
      </c>
      <c r="G44" s="24">
        <f>E44/'- 7 -'!$F44</f>
        <v>0</v>
      </c>
      <c r="H44" s="24">
        <v>104778</v>
      </c>
      <c r="I44" s="344">
        <f>H44/'- 3 -'!$D44*100</f>
        <v>1.0420675938639565</v>
      </c>
      <c r="J44" s="24">
        <f>H44/'- 7 -'!$F44</f>
        <v>140.07754010695186</v>
      </c>
    </row>
    <row r="45" spans="1:10" ht="14.1" customHeight="1">
      <c r="A45" s="351" t="s">
        <v>257</v>
      </c>
      <c r="B45" s="352">
        <v>125800</v>
      </c>
      <c r="C45" s="353">
        <f>B45/'- 3 -'!$D45*100</f>
        <v>0.76841067384729544</v>
      </c>
      <c r="D45" s="352">
        <f>B45/'- 7 -'!$F45</f>
        <v>75.714715618417088</v>
      </c>
      <c r="E45" s="352">
        <v>0</v>
      </c>
      <c r="F45" s="353">
        <f>E45/'- 3 -'!$D45*100</f>
        <v>0</v>
      </c>
      <c r="G45" s="352">
        <f>E45/'- 7 -'!$F45</f>
        <v>0</v>
      </c>
      <c r="H45" s="352">
        <v>208522</v>
      </c>
      <c r="I45" s="353">
        <f>H45/'- 3 -'!$D45*100</f>
        <v>1.2736926115420169</v>
      </c>
      <c r="J45" s="352">
        <f>H45/'- 7 -'!$F45</f>
        <v>125.50225699668974</v>
      </c>
    </row>
    <row r="46" spans="1:10" ht="14.1" customHeight="1">
      <c r="A46" s="23" t="s">
        <v>258</v>
      </c>
      <c r="B46" s="24">
        <v>736300</v>
      </c>
      <c r="C46" s="344">
        <f>B46/'- 3 -'!$D46*100</f>
        <v>0.20881136900340855</v>
      </c>
      <c r="D46" s="24">
        <f>B46/'- 7 -'!$F46</f>
        <v>24.163166185350487</v>
      </c>
      <c r="E46" s="24">
        <v>70700</v>
      </c>
      <c r="F46" s="344">
        <f>E46/'- 3 -'!$D46*100</f>
        <v>2.0050202075975805E-2</v>
      </c>
      <c r="G46" s="24">
        <f>E46/'- 7 -'!$F46</f>
        <v>2.3201627723812024</v>
      </c>
      <c r="H46" s="24">
        <v>9885300</v>
      </c>
      <c r="I46" s="344">
        <f>H46/'- 3 -'!$D46*100</f>
        <v>2.80342662774602</v>
      </c>
      <c r="J46" s="24">
        <f>H46/'- 7 -'!$F46</f>
        <v>324.40601207666055</v>
      </c>
    </row>
    <row r="47" spans="1:10" ht="5.0999999999999996" customHeight="1">
      <c r="A47"/>
      <c r="B47"/>
      <c r="C47"/>
      <c r="D47"/>
      <c r="E47"/>
      <c r="F47"/>
      <c r="G47"/>
      <c r="H47"/>
      <c r="I47"/>
      <c r="J47"/>
    </row>
    <row r="48" spans="1:10" ht="14.1" customHeight="1">
      <c r="A48" s="354" t="s">
        <v>259</v>
      </c>
      <c r="B48" s="355">
        <f>SUM(B11:B46)</f>
        <v>9874028</v>
      </c>
      <c r="C48" s="356">
        <f>B48/'- 3 -'!$D48*100</f>
        <v>0.49153700527393718</v>
      </c>
      <c r="D48" s="355">
        <f>B48/'- 7 -'!$F48</f>
        <v>57.120978377653685</v>
      </c>
      <c r="E48" s="355">
        <f>SUM(E11:E46)</f>
        <v>281234</v>
      </c>
      <c r="F48" s="356">
        <f>E48/'- 3 -'!$D48*100</f>
        <v>1.4000053285367475E-2</v>
      </c>
      <c r="G48" s="355">
        <f>E48/'- 7 -'!$F48</f>
        <v>1.6269308972043686</v>
      </c>
      <c r="H48" s="355">
        <f>SUM(H11:H46)</f>
        <v>38889568</v>
      </c>
      <c r="I48" s="356">
        <f>H48/'- 3 -'!$D48*100</f>
        <v>1.93595377601898</v>
      </c>
      <c r="J48" s="355">
        <f>H48/'- 7 -'!$F48</f>
        <v>224.97507327752086</v>
      </c>
    </row>
    <row r="49" spans="1:10" ht="5.0999999999999996" customHeight="1">
      <c r="A49" s="25" t="s">
        <v>3</v>
      </c>
      <c r="B49" s="26"/>
      <c r="C49" s="343"/>
      <c r="D49" s="26"/>
      <c r="E49" s="26"/>
      <c r="F49" s="343"/>
      <c r="H49" s="26"/>
      <c r="I49" s="343"/>
      <c r="J49" s="26"/>
    </row>
    <row r="50" spans="1:10" ht="14.1" customHeight="1">
      <c r="A50" s="23" t="s">
        <v>260</v>
      </c>
      <c r="B50" s="24">
        <v>8000</v>
      </c>
      <c r="C50" s="344">
        <f>B50/'- 3 -'!$D50*100</f>
        <v>0.24775280463917126</v>
      </c>
      <c r="D50" s="24">
        <f>B50/'- 7 -'!$F50</f>
        <v>44.19889502762431</v>
      </c>
      <c r="E50" s="24">
        <v>7000</v>
      </c>
      <c r="F50" s="344">
        <f>E50/'- 3 -'!$D50*100</f>
        <v>0.21678370405927486</v>
      </c>
      <c r="G50" s="24">
        <f>E50/'- 7 -'!$F50</f>
        <v>38.674033149171272</v>
      </c>
      <c r="H50" s="24">
        <v>35100</v>
      </c>
      <c r="I50" s="344">
        <f>H50/'- 3 -'!$D50*100</f>
        <v>1.087015430354364</v>
      </c>
      <c r="J50" s="24">
        <f>H50/'- 7 -'!$F50</f>
        <v>193.92265193370164</v>
      </c>
    </row>
    <row r="51" spans="1:10" ht="14.1" customHeight="1">
      <c r="A51" s="351" t="s">
        <v>261</v>
      </c>
      <c r="B51" s="352">
        <v>0</v>
      </c>
      <c r="C51" s="353">
        <f>B51/'- 3 -'!$D51*100</f>
        <v>0</v>
      </c>
      <c r="D51" s="352">
        <f>B51/'- 7 -'!$F51</f>
        <v>0</v>
      </c>
      <c r="E51" s="352">
        <v>0</v>
      </c>
      <c r="F51" s="353">
        <f>E51/'- 3 -'!$D51*100</f>
        <v>0</v>
      </c>
      <c r="G51" s="352">
        <f>E51/'- 7 -'!$F51</f>
        <v>0</v>
      </c>
      <c r="H51" s="352">
        <v>0</v>
      </c>
      <c r="I51" s="353">
        <f>H51/'- 3 -'!$D51*100</f>
        <v>0</v>
      </c>
      <c r="J51" s="352">
        <f>H51/'- 7 -'!$F51</f>
        <v>0</v>
      </c>
    </row>
    <row r="52" spans="1:10" ht="50.1" customHeight="1">
      <c r="A52" s="27"/>
      <c r="B52" s="27"/>
      <c r="C52" s="27"/>
      <c r="D52" s="27"/>
      <c r="E52" s="27"/>
      <c r="F52" s="27"/>
      <c r="G52" s="27"/>
      <c r="H52" s="27"/>
      <c r="I52" s="27"/>
      <c r="J52" s="27"/>
    </row>
    <row r="53" spans="1:10" ht="15" customHeight="1">
      <c r="A53" s="28" t="s">
        <v>587</v>
      </c>
      <c r="B53" s="156"/>
      <c r="C53" s="114"/>
      <c r="D53" s="114"/>
      <c r="E53" s="114"/>
      <c r="F53" s="114"/>
      <c r="G53" s="114"/>
      <c r="H53" s="114"/>
      <c r="I53" s="114"/>
      <c r="J53" s="114"/>
    </row>
    <row r="54" spans="1:10" ht="12" customHeight="1">
      <c r="A54" s="1" t="s">
        <v>588</v>
      </c>
      <c r="C54" s="114"/>
      <c r="D54" s="114"/>
      <c r="E54" s="114"/>
      <c r="F54" s="114"/>
      <c r="G54" s="114"/>
      <c r="H54" s="114"/>
      <c r="I54" s="114"/>
      <c r="J54" s="114"/>
    </row>
    <row r="55" spans="1:10" ht="12" customHeight="1">
      <c r="A55" s="1" t="s">
        <v>406</v>
      </c>
      <c r="C55" s="114"/>
      <c r="D55" s="114"/>
      <c r="E55" s="210"/>
      <c r="F55" s="114"/>
      <c r="G55" s="114"/>
      <c r="H55" s="114"/>
      <c r="I55" s="114"/>
      <c r="J55" s="114"/>
    </row>
    <row r="56" spans="1:10" ht="14.45" customHeight="1">
      <c r="C56" s="114"/>
      <c r="D56" s="114"/>
      <c r="E56" s="210"/>
      <c r="F56" s="114"/>
      <c r="G56" s="114"/>
      <c r="H56" s="114"/>
      <c r="I56" s="114"/>
      <c r="J56" s="114"/>
    </row>
    <row r="57" spans="1:10" ht="14.45" customHeight="1">
      <c r="C57" s="114"/>
      <c r="D57" s="114"/>
      <c r="E57" s="210"/>
      <c r="F57" s="114"/>
      <c r="G57" s="114"/>
      <c r="H57" s="114"/>
      <c r="I57" s="114"/>
      <c r="J57" s="114"/>
    </row>
    <row r="58" spans="1:10" ht="14.45" customHeight="1"/>
    <row r="59" spans="1:10"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18.xml><?xml version="1.0" encoding="utf-8"?>
<worksheet xmlns="http://schemas.openxmlformats.org/spreadsheetml/2006/main" xmlns:r="http://schemas.openxmlformats.org/officeDocument/2006/relationships">
  <sheetPr codeName="Sheet17"/>
  <dimension ref="A1:I58"/>
  <sheetViews>
    <sheetView showGridLines="0" showZeros="0" workbookViewId="0"/>
  </sheetViews>
  <sheetFormatPr defaultColWidth="15.83203125" defaultRowHeight="12"/>
  <cols>
    <col min="1" max="1" width="30.83203125" style="1" customWidth="1"/>
    <col min="2" max="2" width="15.33203125" style="1" customWidth="1"/>
    <col min="3" max="3" width="7" style="1" customWidth="1"/>
    <col min="4" max="4" width="15" style="1" customWidth="1"/>
    <col min="5" max="5" width="7.83203125" style="1" customWidth="1"/>
    <col min="6" max="6" width="8.83203125" style="1" customWidth="1"/>
    <col min="7" max="7" width="14.5" style="1" customWidth="1"/>
    <col min="8" max="8" width="7.83203125" style="1" customWidth="1"/>
    <col min="9" max="9" width="8.83203125" style="1" customWidth="1"/>
    <col min="10" max="16384" width="15.83203125" style="1"/>
  </cols>
  <sheetData>
    <row r="1" spans="1:9" ht="6.95" customHeight="1">
      <c r="A1" s="3"/>
      <c r="B1" s="4"/>
      <c r="C1" s="4"/>
      <c r="D1" s="4"/>
      <c r="E1" s="4"/>
      <c r="F1" s="4"/>
      <c r="G1" s="4"/>
      <c r="H1" s="4"/>
      <c r="I1" s="4"/>
    </row>
    <row r="2" spans="1:9" ht="15.95" customHeight="1">
      <c r="A2" s="160"/>
      <c r="B2" s="5" t="s">
        <v>437</v>
      </c>
      <c r="C2" s="6"/>
      <c r="D2" s="6"/>
      <c r="E2" s="6"/>
      <c r="F2" s="6"/>
      <c r="G2" s="105"/>
      <c r="H2" s="105"/>
      <c r="I2" s="183" t="s">
        <v>394</v>
      </c>
    </row>
    <row r="3" spans="1:9" ht="15.95" customHeight="1">
      <c r="A3" s="163"/>
      <c r="B3" s="7" t="str">
        <f>OPYEAR</f>
        <v>OPERATING FUND 2012/2013 BUDGET</v>
      </c>
      <c r="C3" s="8"/>
      <c r="D3" s="8"/>
      <c r="E3" s="8"/>
      <c r="F3" s="8"/>
      <c r="G3" s="107"/>
      <c r="H3" s="107"/>
      <c r="I3" s="100"/>
    </row>
    <row r="4" spans="1:9" ht="15.95" customHeight="1">
      <c r="B4" s="4"/>
      <c r="C4" s="4"/>
      <c r="D4" s="4"/>
      <c r="E4" s="4"/>
      <c r="F4" s="4"/>
      <c r="G4" s="4"/>
      <c r="H4" s="4"/>
      <c r="I4" s="4"/>
    </row>
    <row r="5" spans="1:9" ht="15.95" customHeight="1">
      <c r="B5" s="165" t="s">
        <v>401</v>
      </c>
      <c r="C5" s="193"/>
      <c r="D5" s="194"/>
      <c r="E5" s="194"/>
      <c r="F5" s="194"/>
      <c r="G5" s="194"/>
      <c r="H5" s="194"/>
      <c r="I5" s="195"/>
    </row>
    <row r="6" spans="1:9" ht="15.95" customHeight="1">
      <c r="B6" s="345" t="s">
        <v>108</v>
      </c>
      <c r="C6" s="346"/>
      <c r="D6" s="345" t="s">
        <v>61</v>
      </c>
      <c r="E6" s="346"/>
      <c r="F6" s="347"/>
      <c r="G6" s="345" t="s">
        <v>174</v>
      </c>
      <c r="H6" s="346"/>
      <c r="I6" s="347"/>
    </row>
    <row r="7" spans="1:9" ht="15.95" customHeight="1">
      <c r="B7" s="348" t="s">
        <v>419</v>
      </c>
      <c r="C7" s="349"/>
      <c r="D7" s="348" t="s">
        <v>496</v>
      </c>
      <c r="E7" s="349"/>
      <c r="F7" s="350"/>
      <c r="G7" s="348" t="s">
        <v>135</v>
      </c>
      <c r="H7" s="349"/>
      <c r="I7" s="350"/>
    </row>
    <row r="8" spans="1:9" ht="15.95" customHeight="1">
      <c r="A8" s="101"/>
      <c r="B8" s="169"/>
      <c r="C8" s="168"/>
      <c r="D8" s="169"/>
      <c r="E8" s="168"/>
      <c r="F8" s="168" t="s">
        <v>59</v>
      </c>
      <c r="G8" s="169"/>
      <c r="H8" s="168"/>
      <c r="I8" s="168" t="s">
        <v>59</v>
      </c>
    </row>
    <row r="9" spans="1:9" ht="15.95" customHeight="1">
      <c r="A9" s="35" t="s">
        <v>79</v>
      </c>
      <c r="B9" s="112" t="s">
        <v>80</v>
      </c>
      <c r="C9" s="112" t="s">
        <v>81</v>
      </c>
      <c r="D9" s="112" t="s">
        <v>80</v>
      </c>
      <c r="E9" s="112" t="s">
        <v>81</v>
      </c>
      <c r="F9" s="112" t="s">
        <v>82</v>
      </c>
      <c r="G9" s="112" t="s">
        <v>80</v>
      </c>
      <c r="H9" s="112" t="s">
        <v>81</v>
      </c>
      <c r="I9" s="112" t="s">
        <v>82</v>
      </c>
    </row>
    <row r="10" spans="1:9" ht="5.0999999999999996" customHeight="1">
      <c r="A10" s="37"/>
    </row>
    <row r="11" spans="1:9" ht="14.1" customHeight="1">
      <c r="A11" s="351" t="s">
        <v>224</v>
      </c>
      <c r="B11" s="352">
        <v>490570</v>
      </c>
      <c r="C11" s="353">
        <f>B11/'- 3 -'!$D11*100</f>
        <v>3.0922382971856766</v>
      </c>
      <c r="D11" s="352">
        <v>508738</v>
      </c>
      <c r="E11" s="353">
        <f>D11/'- 3 -'!$D11*100</f>
        <v>3.2067577039640556</v>
      </c>
      <c r="F11" s="352">
        <f>D11/'- 7 -'!$F11</f>
        <v>343.97430696416495</v>
      </c>
      <c r="G11" s="352">
        <v>613750</v>
      </c>
      <c r="H11" s="353">
        <f>G11/'- 3 -'!$D11*100</f>
        <v>3.8686859263666937</v>
      </c>
      <c r="I11" s="352">
        <f>G11/'- 7 -'!$F11</f>
        <v>414.97633536173089</v>
      </c>
    </row>
    <row r="12" spans="1:9" ht="14.1" customHeight="1">
      <c r="A12" s="23" t="s">
        <v>225</v>
      </c>
      <c r="B12" s="24">
        <v>0</v>
      </c>
      <c r="C12" s="344">
        <f>B12/'- 3 -'!$D12*100</f>
        <v>0</v>
      </c>
      <c r="D12" s="24">
        <v>2221334</v>
      </c>
      <c r="E12" s="344">
        <f>D12/'- 3 -'!$D12*100</f>
        <v>7.4040730077822063</v>
      </c>
      <c r="F12" s="24">
        <f>D12/'- 7 -'!$F12</f>
        <v>961.69138720766114</v>
      </c>
      <c r="G12" s="24">
        <v>1127342</v>
      </c>
      <c r="H12" s="344">
        <f>G12/'- 3 -'!$D12*100</f>
        <v>3.7576170322604385</v>
      </c>
      <c r="I12" s="24">
        <f>G12/'- 7 -'!$F12</f>
        <v>488.06487085573764</v>
      </c>
    </row>
    <row r="13" spans="1:9" ht="14.1" customHeight="1">
      <c r="A13" s="351" t="s">
        <v>226</v>
      </c>
      <c r="B13" s="352">
        <v>2835800</v>
      </c>
      <c r="C13" s="353">
        <f>B13/'- 3 -'!$D13*100</f>
        <v>3.6177470919477761</v>
      </c>
      <c r="D13" s="352">
        <v>6583600</v>
      </c>
      <c r="E13" s="353">
        <f>D13/'- 3 -'!$D13*100</f>
        <v>8.3989702216472875</v>
      </c>
      <c r="F13" s="352">
        <f>D13/'- 7 -'!$F13</f>
        <v>851.91511387163564</v>
      </c>
      <c r="G13" s="352">
        <v>4086600</v>
      </c>
      <c r="H13" s="353">
        <f>G13/'- 3 -'!$D13*100</f>
        <v>5.2134442717941258</v>
      </c>
      <c r="I13" s="352">
        <f>G13/'- 7 -'!$F13</f>
        <v>528.804347826087</v>
      </c>
    </row>
    <row r="14" spans="1:9" ht="14.1" customHeight="1">
      <c r="A14" s="23" t="s">
        <v>524</v>
      </c>
      <c r="B14" s="24">
        <v>1077917</v>
      </c>
      <c r="C14" s="344">
        <f>B14/'- 3 -'!$D14*100</f>
        <v>1.5084055514774004</v>
      </c>
      <c r="D14" s="24">
        <v>3259959</v>
      </c>
      <c r="E14" s="344">
        <f>D14/'- 3 -'!$D14*100</f>
        <v>4.5618913637958354</v>
      </c>
      <c r="F14" s="24">
        <f>D14/'- 7 -'!$F14</f>
        <v>646.81726190476195</v>
      </c>
      <c r="G14" s="24">
        <v>2540110</v>
      </c>
      <c r="H14" s="344">
        <f>G14/'- 3 -'!$D14*100</f>
        <v>3.5545557082440107</v>
      </c>
      <c r="I14" s="24">
        <f>G14/'- 7 -'!$F14</f>
        <v>503.99007936507934</v>
      </c>
    </row>
    <row r="15" spans="1:9" ht="14.1" customHeight="1">
      <c r="A15" s="351" t="s">
        <v>227</v>
      </c>
      <c r="B15" s="352">
        <v>0</v>
      </c>
      <c r="C15" s="353">
        <f>B15/'- 3 -'!$D15*100</f>
        <v>0</v>
      </c>
      <c r="D15" s="352">
        <v>1417500</v>
      </c>
      <c r="E15" s="353">
        <f>D15/'- 3 -'!$D15*100</f>
        <v>7.5780729968105813</v>
      </c>
      <c r="F15" s="352">
        <f>D15/'- 7 -'!$F15</f>
        <v>948.79518072289159</v>
      </c>
      <c r="G15" s="352">
        <v>817650</v>
      </c>
      <c r="H15" s="353">
        <f>G15/'- 3 -'!$D15*100</f>
        <v>4.3712249635570872</v>
      </c>
      <c r="I15" s="352">
        <f>G15/'- 7 -'!$F15</f>
        <v>547.28915662650604</v>
      </c>
    </row>
    <row r="16" spans="1:9" ht="14.1" customHeight="1">
      <c r="A16" s="23" t="s">
        <v>228</v>
      </c>
      <c r="B16" s="24">
        <v>137425</v>
      </c>
      <c r="C16" s="344">
        <f>B16/'- 3 -'!$D16*100</f>
        <v>1.0857806622720829</v>
      </c>
      <c r="D16" s="24">
        <v>932907</v>
      </c>
      <c r="E16" s="344">
        <f>D16/'- 3 -'!$D16*100</f>
        <v>7.3708013847426743</v>
      </c>
      <c r="F16" s="24">
        <f>D16/'- 7 -'!$F16</f>
        <v>942.80646791308743</v>
      </c>
      <c r="G16" s="24">
        <v>550949</v>
      </c>
      <c r="H16" s="344">
        <f>G16/'- 3 -'!$D16*100</f>
        <v>4.352990868460191</v>
      </c>
      <c r="I16" s="24">
        <f>G16/'- 7 -'!$F16</f>
        <v>556.79535118746844</v>
      </c>
    </row>
    <row r="17" spans="1:9" ht="14.1" customHeight="1">
      <c r="A17" s="351" t="s">
        <v>229</v>
      </c>
      <c r="B17" s="352">
        <v>0</v>
      </c>
      <c r="C17" s="353">
        <f>B17/'- 3 -'!$D17*100</f>
        <v>0</v>
      </c>
      <c r="D17" s="352">
        <v>1096484</v>
      </c>
      <c r="E17" s="353">
        <f>D17/'- 3 -'!$D17*100</f>
        <v>6.7267875816965406</v>
      </c>
      <c r="F17" s="352">
        <f>D17/'- 7 -'!$F17</f>
        <v>852.96304939712172</v>
      </c>
      <c r="G17" s="352">
        <v>727588</v>
      </c>
      <c r="H17" s="353">
        <f>G17/'- 3 -'!$D17*100</f>
        <v>4.4636583142037844</v>
      </c>
      <c r="I17" s="352">
        <f>G17/'- 7 -'!$F17</f>
        <v>565.99611046285497</v>
      </c>
    </row>
    <row r="18" spans="1:9" ht="14.1" customHeight="1">
      <c r="A18" s="23" t="s">
        <v>230</v>
      </c>
      <c r="B18" s="24">
        <v>0</v>
      </c>
      <c r="C18" s="344">
        <f>B18/'- 3 -'!$D18*100</f>
        <v>0</v>
      </c>
      <c r="D18" s="24">
        <v>10327495</v>
      </c>
      <c r="E18" s="344">
        <f>D18/'- 3 -'!$D18*100</f>
        <v>8.9674953296280524</v>
      </c>
      <c r="F18" s="24">
        <f>D18/'- 7 -'!$F18</f>
        <v>1633.1928520597771</v>
      </c>
      <c r="G18" s="24">
        <v>3158810</v>
      </c>
      <c r="H18" s="344">
        <f>G18/'- 3 -'!$D18*100</f>
        <v>2.7428349200055178</v>
      </c>
      <c r="I18" s="24">
        <f>G18/'- 7 -'!$F18</f>
        <v>499.5350676049656</v>
      </c>
    </row>
    <row r="19" spans="1:9" ht="14.1" customHeight="1">
      <c r="A19" s="351" t="s">
        <v>231</v>
      </c>
      <c r="B19" s="352">
        <v>1722200</v>
      </c>
      <c r="C19" s="353">
        <f>B19/'- 3 -'!$D19*100</f>
        <v>4.4056024466928374</v>
      </c>
      <c r="D19" s="352">
        <v>1992750</v>
      </c>
      <c r="E19" s="353">
        <f>D19/'- 3 -'!$D19*100</f>
        <v>5.0977030981576767</v>
      </c>
      <c r="F19" s="352">
        <f>D19/'- 7 -'!$F19</f>
        <v>473.00023736055067</v>
      </c>
      <c r="G19" s="352">
        <v>1805500</v>
      </c>
      <c r="H19" s="353">
        <f>G19/'- 3 -'!$D19*100</f>
        <v>4.6186942384763192</v>
      </c>
      <c r="I19" s="352">
        <f>G19/'- 7 -'!$F19</f>
        <v>428.55447424638027</v>
      </c>
    </row>
    <row r="20" spans="1:9" ht="14.1" customHeight="1">
      <c r="A20" s="23" t="s">
        <v>232</v>
      </c>
      <c r="B20" s="24">
        <v>516500</v>
      </c>
      <c r="C20" s="344">
        <f>B20/'- 3 -'!$D20*100</f>
        <v>0.7632741728117749</v>
      </c>
      <c r="D20" s="24">
        <v>3873000</v>
      </c>
      <c r="E20" s="344">
        <f>D20/'- 3 -'!$D20*100</f>
        <v>5.7234479599225638</v>
      </c>
      <c r="F20" s="24">
        <f>D20/'- 7 -'!$F20</f>
        <v>521.61616161616166</v>
      </c>
      <c r="G20" s="24">
        <v>3574800</v>
      </c>
      <c r="H20" s="344">
        <f>G20/'- 3 -'!$D20*100</f>
        <v>5.2827735004211682</v>
      </c>
      <c r="I20" s="24">
        <f>G20/'- 7 -'!$F20</f>
        <v>481.45454545454544</v>
      </c>
    </row>
    <row r="21" spans="1:9" ht="14.1" customHeight="1">
      <c r="A21" s="351" t="s">
        <v>233</v>
      </c>
      <c r="B21" s="352">
        <v>820000</v>
      </c>
      <c r="C21" s="353">
        <f>B21/'- 3 -'!$D21*100</f>
        <v>2.5189025203155633</v>
      </c>
      <c r="D21" s="352">
        <v>927000</v>
      </c>
      <c r="E21" s="353">
        <f>D21/'- 3 -'!$D21*100</f>
        <v>2.8475885808933254</v>
      </c>
      <c r="F21" s="352">
        <f>D21/'- 7 -'!$F21</f>
        <v>332.25806451612902</v>
      </c>
      <c r="G21" s="352">
        <v>1976000</v>
      </c>
      <c r="H21" s="353">
        <f>G21/'- 3 -'!$D21*100</f>
        <v>6.0699407074921377</v>
      </c>
      <c r="I21" s="352">
        <f>G21/'- 7 -'!$F21</f>
        <v>708.24372759856635</v>
      </c>
    </row>
    <row r="22" spans="1:9" ht="14.1" customHeight="1">
      <c r="A22" s="23" t="s">
        <v>234</v>
      </c>
      <c r="B22" s="24">
        <v>1416728</v>
      </c>
      <c r="C22" s="344">
        <f>B22/'- 3 -'!$D22*100</f>
        <v>7.4471796605126723</v>
      </c>
      <c r="D22" s="24">
        <v>921865</v>
      </c>
      <c r="E22" s="344">
        <f>D22/'- 3 -'!$D22*100</f>
        <v>4.8458802802926986</v>
      </c>
      <c r="F22" s="24">
        <f>D22/'- 7 -'!$F22</f>
        <v>570.99101889129759</v>
      </c>
      <c r="G22" s="24">
        <v>932515</v>
      </c>
      <c r="H22" s="344">
        <f>G22/'- 3 -'!$D22*100</f>
        <v>4.9018631248362237</v>
      </c>
      <c r="I22" s="24">
        <f>G22/'- 7 -'!$F22</f>
        <v>577.5874883864974</v>
      </c>
    </row>
    <row r="23" spans="1:9" ht="14.1" customHeight="1">
      <c r="A23" s="351" t="s">
        <v>235</v>
      </c>
      <c r="B23" s="352">
        <v>0</v>
      </c>
      <c r="C23" s="353">
        <f>B23/'- 3 -'!$D23*100</f>
        <v>0</v>
      </c>
      <c r="D23" s="352">
        <v>1551000</v>
      </c>
      <c r="E23" s="353">
        <f>D23/'- 3 -'!$D23*100</f>
        <v>9.9633968823753882</v>
      </c>
      <c r="F23" s="352">
        <f>D23/'- 7 -'!$F23</f>
        <v>1297.3651191969886</v>
      </c>
      <c r="G23" s="352">
        <v>600000</v>
      </c>
      <c r="H23" s="353">
        <f>G23/'- 3 -'!$D23*100</f>
        <v>3.854312140183902</v>
      </c>
      <c r="I23" s="352">
        <f>G23/'- 7 -'!$F23</f>
        <v>501.88205771643663</v>
      </c>
    </row>
    <row r="24" spans="1:9" ht="14.1" customHeight="1">
      <c r="A24" s="23" t="s">
        <v>236</v>
      </c>
      <c r="B24" s="24">
        <v>1052725</v>
      </c>
      <c r="C24" s="344">
        <f>B24/'- 3 -'!$D24*100</f>
        <v>2.0638791399747154</v>
      </c>
      <c r="D24" s="24">
        <v>3216120</v>
      </c>
      <c r="E24" s="344">
        <f>D24/'- 3 -'!$D24*100</f>
        <v>6.3052392406900957</v>
      </c>
      <c r="F24" s="24">
        <f>D24/'- 7 -'!$F24</f>
        <v>752.83707865168537</v>
      </c>
      <c r="G24" s="24">
        <v>2343280</v>
      </c>
      <c r="H24" s="344">
        <f>G24/'- 3 -'!$D24*100</f>
        <v>4.5940266556982596</v>
      </c>
      <c r="I24" s="24">
        <f>G24/'- 7 -'!$F24</f>
        <v>548.52059925093636</v>
      </c>
    </row>
    <row r="25" spans="1:9" ht="14.1" customHeight="1">
      <c r="A25" s="351" t="s">
        <v>237</v>
      </c>
      <c r="B25" s="352">
        <v>7450726</v>
      </c>
      <c r="C25" s="353">
        <f>B25/'- 3 -'!$D25*100</f>
        <v>4.9622502130096429</v>
      </c>
      <c r="D25" s="352">
        <v>8964860</v>
      </c>
      <c r="E25" s="353">
        <f>D25/'- 3 -'!$D25*100</f>
        <v>5.9706770111532252</v>
      </c>
      <c r="F25" s="352">
        <f>D25/'- 7 -'!$F25</f>
        <v>659.56886403766919</v>
      </c>
      <c r="G25" s="352">
        <v>7903686</v>
      </c>
      <c r="H25" s="353">
        <f>G25/'- 3 -'!$D25*100</f>
        <v>5.263925627792692</v>
      </c>
      <c r="I25" s="352">
        <f>G25/'- 7 -'!$F25</f>
        <v>581.49543849323129</v>
      </c>
    </row>
    <row r="26" spans="1:9" ht="14.1" customHeight="1">
      <c r="A26" s="23" t="s">
        <v>238</v>
      </c>
      <c r="B26" s="24">
        <v>287932</v>
      </c>
      <c r="C26" s="344">
        <f>B26/'- 3 -'!$D26*100</f>
        <v>0.78287259690057698</v>
      </c>
      <c r="D26" s="24">
        <v>1746530</v>
      </c>
      <c r="E26" s="344">
        <f>D26/'- 3 -'!$D26*100</f>
        <v>4.748727048972551</v>
      </c>
      <c r="F26" s="24">
        <f>D26/'- 7 -'!$F26</f>
        <v>584.31917029106728</v>
      </c>
      <c r="G26" s="24">
        <v>1796195</v>
      </c>
      <c r="H26" s="344">
        <f>G26/'- 3 -'!$D26*100</f>
        <v>4.8837636809727014</v>
      </c>
      <c r="I26" s="24">
        <f>G26/'- 7 -'!$F26</f>
        <v>600.93509534961527</v>
      </c>
    </row>
    <row r="27" spans="1:9" ht="14.1" customHeight="1">
      <c r="A27" s="351" t="s">
        <v>239</v>
      </c>
      <c r="B27" s="352">
        <v>1620493</v>
      </c>
      <c r="C27" s="353">
        <f>B27/'- 3 -'!$D27*100</f>
        <v>4.2324425159084242</v>
      </c>
      <c r="D27" s="352">
        <v>1659920</v>
      </c>
      <c r="E27" s="353">
        <f>D27/'- 3 -'!$D27*100</f>
        <v>4.3354189009188628</v>
      </c>
      <c r="F27" s="352">
        <f>D27/'- 7 -'!$F27</f>
        <v>593.25232308791999</v>
      </c>
      <c r="G27" s="352">
        <v>1846203</v>
      </c>
      <c r="H27" s="353">
        <f>G27/'- 3 -'!$D27*100</f>
        <v>4.8219573118783483</v>
      </c>
      <c r="I27" s="352">
        <f>G27/'- 7 -'!$F27</f>
        <v>659.82952108649033</v>
      </c>
    </row>
    <row r="28" spans="1:9" ht="14.1" customHeight="1">
      <c r="A28" s="23" t="s">
        <v>240</v>
      </c>
      <c r="B28" s="24">
        <v>0</v>
      </c>
      <c r="C28" s="344">
        <f>B28/'- 3 -'!$D28*100</f>
        <v>0</v>
      </c>
      <c r="D28" s="24">
        <v>1676865</v>
      </c>
      <c r="E28" s="344">
        <f>D28/'- 3 -'!$D28*100</f>
        <v>6.5412522743604127</v>
      </c>
      <c r="F28" s="24">
        <f>D28/'- 7 -'!$F28</f>
        <v>857.73145780051152</v>
      </c>
      <c r="G28" s="24">
        <v>891732</v>
      </c>
      <c r="H28" s="344">
        <f>G28/'- 3 -'!$D28*100</f>
        <v>3.4785411903283561</v>
      </c>
      <c r="I28" s="24">
        <f>G28/'- 7 -'!$F28</f>
        <v>456.1289002557545</v>
      </c>
    </row>
    <row r="29" spans="1:9" ht="14.1" customHeight="1">
      <c r="A29" s="351" t="s">
        <v>241</v>
      </c>
      <c r="B29" s="352">
        <v>20000</v>
      </c>
      <c r="C29" s="353">
        <f>B29/'- 3 -'!$D29*100</f>
        <v>1.4586153520534799E-2</v>
      </c>
      <c r="D29" s="352">
        <v>11859604</v>
      </c>
      <c r="E29" s="353">
        <f>D29/'- 3 -'!$D29*100</f>
        <v>8.6493002318374295</v>
      </c>
      <c r="F29" s="352">
        <f>D29/'- 7 -'!$F29</f>
        <v>976.58135704874837</v>
      </c>
      <c r="G29" s="352">
        <v>9058067</v>
      </c>
      <c r="H29" s="353">
        <f>G29/'- 3 -'!$D29*100</f>
        <v>6.606117793064505</v>
      </c>
      <c r="I29" s="352">
        <f>G29/'- 7 -'!$F29</f>
        <v>745.88825757575762</v>
      </c>
    </row>
    <row r="30" spans="1:9" ht="14.1" customHeight="1">
      <c r="A30" s="23" t="s">
        <v>242</v>
      </c>
      <c r="B30" s="24">
        <v>0</v>
      </c>
      <c r="C30" s="344">
        <f>B30/'- 3 -'!$D30*100</f>
        <v>0</v>
      </c>
      <c r="D30" s="24">
        <v>540500</v>
      </c>
      <c r="E30" s="344">
        <f>D30/'- 3 -'!$D30*100</f>
        <v>4.0756746843972467</v>
      </c>
      <c r="F30" s="24">
        <f>D30/'- 7 -'!$F30</f>
        <v>503.49324639031204</v>
      </c>
      <c r="G30" s="24">
        <v>495395</v>
      </c>
      <c r="H30" s="344">
        <f>G30/'- 3 -'!$D30*100</f>
        <v>3.7355575583292762</v>
      </c>
      <c r="I30" s="24">
        <f>G30/'- 7 -'!$F30</f>
        <v>461.47647880763856</v>
      </c>
    </row>
    <row r="31" spans="1:9" ht="14.1" customHeight="1">
      <c r="A31" s="351" t="s">
        <v>243</v>
      </c>
      <c r="B31" s="352">
        <v>2431719</v>
      </c>
      <c r="C31" s="353">
        <f>B31/'- 3 -'!$D31*100</f>
        <v>7.5749771089014457</v>
      </c>
      <c r="D31" s="352">
        <v>1623945</v>
      </c>
      <c r="E31" s="353">
        <f>D31/'- 3 -'!$D31*100</f>
        <v>5.0587038227340244</v>
      </c>
      <c r="F31" s="352">
        <f>D31/'- 7 -'!$F31</f>
        <v>512.28548895899053</v>
      </c>
      <c r="G31" s="352">
        <v>1003726</v>
      </c>
      <c r="H31" s="353">
        <f>G31/'- 3 -'!$D31*100</f>
        <v>3.1266776603749089</v>
      </c>
      <c r="I31" s="352">
        <f>G31/'- 7 -'!$F31</f>
        <v>316.63280757097795</v>
      </c>
    </row>
    <row r="32" spans="1:9" ht="14.1" customHeight="1">
      <c r="A32" s="23" t="s">
        <v>244</v>
      </c>
      <c r="B32" s="24">
        <v>0</v>
      </c>
      <c r="C32" s="344">
        <f>B32/'- 3 -'!$D32*100</f>
        <v>0</v>
      </c>
      <c r="D32" s="24">
        <v>1129800</v>
      </c>
      <c r="E32" s="344">
        <f>D32/'- 3 -'!$D32*100</f>
        <v>4.5750464945477862</v>
      </c>
      <c r="F32" s="24">
        <f>D32/'- 7 -'!$F32</f>
        <v>550.84518510211933</v>
      </c>
      <c r="G32" s="24">
        <v>1757645</v>
      </c>
      <c r="H32" s="344">
        <f>G32/'- 3 -'!$D32*100</f>
        <v>7.1174611399446306</v>
      </c>
      <c r="I32" s="24">
        <f>G32/'- 7 -'!$F32</f>
        <v>856.95723612038819</v>
      </c>
    </row>
    <row r="33" spans="1:9" ht="14.1" customHeight="1">
      <c r="A33" s="351" t="s">
        <v>245</v>
      </c>
      <c r="B33" s="352">
        <v>0</v>
      </c>
      <c r="C33" s="353">
        <f>B33/'- 3 -'!$D33*100</f>
        <v>0</v>
      </c>
      <c r="D33" s="352">
        <v>1584400</v>
      </c>
      <c r="E33" s="353">
        <f>D33/'- 3 -'!$D33*100</f>
        <v>6.2092182044057074</v>
      </c>
      <c r="F33" s="352">
        <f>D33/'- 7 -'!$F33</f>
        <v>790.42155150910446</v>
      </c>
      <c r="G33" s="352">
        <v>920100</v>
      </c>
      <c r="H33" s="353">
        <f>G33/'- 3 -'!$D33*100</f>
        <v>3.6058455376632743</v>
      </c>
      <c r="I33" s="352">
        <f>G33/'- 7 -'!$F33</f>
        <v>459.01721127463207</v>
      </c>
    </row>
    <row r="34" spans="1:9" ht="14.1" customHeight="1">
      <c r="A34" s="23" t="s">
        <v>246</v>
      </c>
      <c r="B34" s="24">
        <v>281143</v>
      </c>
      <c r="C34" s="344">
        <f>B34/'- 3 -'!$D34*100</f>
        <v>1.1745368934085514</v>
      </c>
      <c r="D34" s="24">
        <v>1032882</v>
      </c>
      <c r="E34" s="344">
        <f>D34/'- 3 -'!$D34*100</f>
        <v>4.3150923748327763</v>
      </c>
      <c r="F34" s="24">
        <f>D34/'- 7 -'!$F34</f>
        <v>516.62181763617264</v>
      </c>
      <c r="G34" s="24">
        <v>852059</v>
      </c>
      <c r="H34" s="344">
        <f>G34/'- 3 -'!$D34*100</f>
        <v>3.5596644087201064</v>
      </c>
      <c r="I34" s="24">
        <f>G34/'- 7 -'!$F34</f>
        <v>426.17866253188618</v>
      </c>
    </row>
    <row r="35" spans="1:9" ht="14.1" customHeight="1">
      <c r="A35" s="351" t="s">
        <v>247</v>
      </c>
      <c r="B35" s="352">
        <v>4283285</v>
      </c>
      <c r="C35" s="353">
        <f>B35/'- 3 -'!$D35*100</f>
        <v>2.6179996273556365</v>
      </c>
      <c r="D35" s="352">
        <v>11252983</v>
      </c>
      <c r="E35" s="353">
        <f>D35/'- 3 -'!$D35*100</f>
        <v>6.8779698994204939</v>
      </c>
      <c r="F35" s="352">
        <f>D35/'- 7 -'!$F35</f>
        <v>721.62261126074134</v>
      </c>
      <c r="G35" s="352">
        <v>9579732</v>
      </c>
      <c r="H35" s="353">
        <f>G35/'- 3 -'!$D35*100</f>
        <v>5.8552570763250325</v>
      </c>
      <c r="I35" s="352">
        <f>G35/'- 7 -'!$F35</f>
        <v>614.32166217776069</v>
      </c>
    </row>
    <row r="36" spans="1:9" ht="14.1" customHeight="1">
      <c r="A36" s="23" t="s">
        <v>248</v>
      </c>
      <c r="B36" s="24">
        <v>170770</v>
      </c>
      <c r="C36" s="344">
        <f>B36/'- 3 -'!$D36*100</f>
        <v>0.80875541554030383</v>
      </c>
      <c r="D36" s="24">
        <v>1053800</v>
      </c>
      <c r="E36" s="344">
        <f>D36/'- 3 -'!$D36*100</f>
        <v>4.9907270416137033</v>
      </c>
      <c r="F36" s="24">
        <f>D36/'- 7 -'!$F36</f>
        <v>643.34554334554332</v>
      </c>
      <c r="G36" s="24">
        <v>828500</v>
      </c>
      <c r="H36" s="344">
        <f>G36/'- 3 -'!$D36*100</f>
        <v>3.9237211557951728</v>
      </c>
      <c r="I36" s="24">
        <f>G36/'- 7 -'!$F36</f>
        <v>505.79975579975581</v>
      </c>
    </row>
    <row r="37" spans="1:9" ht="14.1" customHeight="1">
      <c r="A37" s="351" t="s">
        <v>249</v>
      </c>
      <c r="B37" s="352">
        <v>0</v>
      </c>
      <c r="C37" s="353">
        <f>B37/'- 3 -'!$D37*100</f>
        <v>0</v>
      </c>
      <c r="D37" s="352">
        <v>3946054</v>
      </c>
      <c r="E37" s="353">
        <f>D37/'- 3 -'!$D37*100</f>
        <v>9.9035240301982572</v>
      </c>
      <c r="F37" s="352">
        <f>D37/'- 7 -'!$F37</f>
        <v>1073.0262406526172</v>
      </c>
      <c r="G37" s="352">
        <v>1747064</v>
      </c>
      <c r="H37" s="353">
        <f>G37/'- 3 -'!$D37*100</f>
        <v>4.38465624299472</v>
      </c>
      <c r="I37" s="352">
        <f>G37/'- 7 -'!$F37</f>
        <v>475.06838885112171</v>
      </c>
    </row>
    <row r="38" spans="1:9" ht="14.1" customHeight="1">
      <c r="A38" s="23" t="s">
        <v>250</v>
      </c>
      <c r="B38" s="24">
        <v>526750</v>
      </c>
      <c r="C38" s="344">
        <f>B38/'- 3 -'!$D38*100</f>
        <v>0.47057299576551304</v>
      </c>
      <c r="D38" s="24">
        <v>10478770</v>
      </c>
      <c r="E38" s="344">
        <f>D38/'- 3 -'!$D38*100</f>
        <v>9.3612267505226114</v>
      </c>
      <c r="F38" s="24">
        <f>D38/'- 7 -'!$F38</f>
        <v>994.85141934871353</v>
      </c>
      <c r="G38" s="24">
        <v>4009030</v>
      </c>
      <c r="H38" s="344">
        <f>G38/'- 3 -'!$D38*100</f>
        <v>3.5814736729260841</v>
      </c>
      <c r="I38" s="24">
        <f>G38/'- 7 -'!$F38</f>
        <v>380.61615873920061</v>
      </c>
    </row>
    <row r="39" spans="1:9" ht="14.1" customHeight="1">
      <c r="A39" s="351" t="s">
        <v>251</v>
      </c>
      <c r="B39" s="352">
        <v>0</v>
      </c>
      <c r="C39" s="353">
        <f>B39/'- 3 -'!$D39*100</f>
        <v>0</v>
      </c>
      <c r="D39" s="352">
        <v>1369400</v>
      </c>
      <c r="E39" s="353">
        <f>D39/'- 3 -'!$D39*100</f>
        <v>6.8799591322188078</v>
      </c>
      <c r="F39" s="352">
        <f>D39/'- 7 -'!$F39</f>
        <v>877.25816784112749</v>
      </c>
      <c r="G39" s="352">
        <v>671577</v>
      </c>
      <c r="H39" s="353">
        <f>G39/'- 3 -'!$D39*100</f>
        <v>3.3740487177874328</v>
      </c>
      <c r="I39" s="352">
        <f>G39/'- 7 -'!$F39</f>
        <v>430.22229340166558</v>
      </c>
    </row>
    <row r="40" spans="1:9" ht="14.1" customHeight="1">
      <c r="A40" s="23" t="s">
        <v>252</v>
      </c>
      <c r="B40" s="24">
        <v>322507</v>
      </c>
      <c r="C40" s="344">
        <f>B40/'- 3 -'!$D40*100</f>
        <v>0.34349187711531154</v>
      </c>
      <c r="D40" s="24">
        <v>10120672</v>
      </c>
      <c r="E40" s="344">
        <f>D40/'- 3 -'!$D40*100</f>
        <v>10.779203623327167</v>
      </c>
      <c r="F40" s="24">
        <f>D40/'- 7 -'!$F40</f>
        <v>1244.7938600806851</v>
      </c>
      <c r="G40" s="24">
        <v>5171623</v>
      </c>
      <c r="H40" s="344">
        <f>G40/'- 3 -'!$D40*100</f>
        <v>5.5081300312945727</v>
      </c>
      <c r="I40" s="24">
        <f>G40/'- 7 -'!$F40</f>
        <v>636.08469447997652</v>
      </c>
    </row>
    <row r="41" spans="1:9" ht="14.1" customHeight="1">
      <c r="A41" s="351" t="s">
        <v>253</v>
      </c>
      <c r="B41" s="352">
        <v>556026</v>
      </c>
      <c r="C41" s="353">
        <f>B41/'- 3 -'!$D41*100</f>
        <v>0.97851294843824577</v>
      </c>
      <c r="D41" s="352">
        <v>6418837</v>
      </c>
      <c r="E41" s="353">
        <f>D41/'- 3 -'!$D41*100</f>
        <v>11.296081691170025</v>
      </c>
      <c r="F41" s="352">
        <f>D41/'- 7 -'!$F41</f>
        <v>1425.2996558232485</v>
      </c>
      <c r="G41" s="352">
        <v>2127018</v>
      </c>
      <c r="H41" s="353">
        <f>G41/'- 3 -'!$D41*100</f>
        <v>3.7431966392960412</v>
      </c>
      <c r="I41" s="352">
        <f>G41/'- 7 -'!$F41</f>
        <v>472.30331964027977</v>
      </c>
    </row>
    <row r="42" spans="1:9" ht="14.1" customHeight="1">
      <c r="A42" s="23" t="s">
        <v>254</v>
      </c>
      <c r="B42" s="24">
        <v>0</v>
      </c>
      <c r="C42" s="344">
        <f>B42/'- 3 -'!$D42*100</f>
        <v>0</v>
      </c>
      <c r="D42" s="24">
        <v>2020251</v>
      </c>
      <c r="E42" s="344">
        <f>D42/'- 3 -'!$D42*100</f>
        <v>10.155562888100405</v>
      </c>
      <c r="F42" s="24">
        <f>D42/'- 7 -'!$F42</f>
        <v>1385.6316872427983</v>
      </c>
      <c r="G42" s="24">
        <v>857154</v>
      </c>
      <c r="H42" s="344">
        <f>G42/'- 3 -'!$D42*100</f>
        <v>4.3088118019923343</v>
      </c>
      <c r="I42" s="24">
        <f>G42/'- 7 -'!$F42</f>
        <v>587.89711934156378</v>
      </c>
    </row>
    <row r="43" spans="1:9" ht="14.1" customHeight="1">
      <c r="A43" s="351" t="s">
        <v>255</v>
      </c>
      <c r="B43" s="352">
        <v>0</v>
      </c>
      <c r="C43" s="353">
        <f>B43/'- 3 -'!$D43*100</f>
        <v>0</v>
      </c>
      <c r="D43" s="352">
        <v>850374</v>
      </c>
      <c r="E43" s="353">
        <f>D43/'- 3 -'!$D43*100</f>
        <v>7.1965908239815271</v>
      </c>
      <c r="F43" s="352">
        <f>D43/'- 7 -'!$F43</f>
        <v>895.9557487159226</v>
      </c>
      <c r="G43" s="352">
        <v>767605</v>
      </c>
      <c r="H43" s="353">
        <f>G43/'- 3 -'!$D43*100</f>
        <v>6.4961288791077099</v>
      </c>
      <c r="I43" s="352">
        <f>G43/'- 7 -'!$F43</f>
        <v>808.75016462531278</v>
      </c>
    </row>
    <row r="44" spans="1:9" ht="14.1" customHeight="1">
      <c r="A44" s="23" t="s">
        <v>256</v>
      </c>
      <c r="B44" s="24">
        <v>0</v>
      </c>
      <c r="C44" s="344">
        <f>B44/'- 3 -'!$D44*100</f>
        <v>0</v>
      </c>
      <c r="D44" s="24">
        <v>864346</v>
      </c>
      <c r="E44" s="344">
        <f>D44/'- 3 -'!$D44*100</f>
        <v>8.5963366020150733</v>
      </c>
      <c r="F44" s="24">
        <f>D44/'- 7 -'!$F44</f>
        <v>1155.5427807486631</v>
      </c>
      <c r="G44" s="24">
        <v>647910</v>
      </c>
      <c r="H44" s="344">
        <f>G44/'- 3 -'!$D44*100</f>
        <v>6.4437765059496845</v>
      </c>
      <c r="I44" s="24">
        <f>G44/'- 7 -'!$F44</f>
        <v>866.18983957219257</v>
      </c>
    </row>
    <row r="45" spans="1:9" ht="14.1" customHeight="1">
      <c r="A45" s="351" t="s">
        <v>257</v>
      </c>
      <c r="B45" s="352">
        <v>199854</v>
      </c>
      <c r="C45" s="353">
        <f>B45/'- 3 -'!$D45*100</f>
        <v>1.2207467950006152</v>
      </c>
      <c r="D45" s="352">
        <v>905571</v>
      </c>
      <c r="E45" s="353">
        <f>D45/'- 3 -'!$D45*100</f>
        <v>5.5314024032318692</v>
      </c>
      <c r="F45" s="352">
        <f>D45/'- 7 -'!$F45</f>
        <v>545.03219981944028</v>
      </c>
      <c r="G45" s="352">
        <v>771183</v>
      </c>
      <c r="H45" s="353">
        <f>G45/'- 3 -'!$D45*100</f>
        <v>4.7105345682796411</v>
      </c>
      <c r="I45" s="352">
        <f>G45/'- 7 -'!$F45</f>
        <v>464.14866084863075</v>
      </c>
    </row>
    <row r="46" spans="1:9" ht="14.1" customHeight="1">
      <c r="A46" s="23" t="s">
        <v>258</v>
      </c>
      <c r="B46" s="24">
        <v>30335600</v>
      </c>
      <c r="C46" s="344">
        <f>B46/'- 3 -'!$D46*100</f>
        <v>8.6030397467605599</v>
      </c>
      <c r="D46" s="24">
        <v>18303000</v>
      </c>
      <c r="E46" s="344">
        <f>D46/'- 3 -'!$D46*100</f>
        <v>5.190648495001204</v>
      </c>
      <c r="F46" s="24">
        <f>D46/'- 7 -'!$F46</f>
        <v>600.64977684431608</v>
      </c>
      <c r="G46" s="24">
        <v>19664500</v>
      </c>
      <c r="H46" s="344">
        <f>G46/'- 3 -'!$D46*100</f>
        <v>5.5767637726029164</v>
      </c>
      <c r="I46" s="24">
        <f>G46/'- 7 -'!$F46</f>
        <v>645.33013914413232</v>
      </c>
    </row>
    <row r="47" spans="1:9" ht="5.0999999999999996" customHeight="1">
      <c r="A47"/>
      <c r="B47"/>
      <c r="C47"/>
      <c r="D47"/>
      <c r="E47"/>
      <c r="F47"/>
      <c r="G47"/>
      <c r="H47"/>
      <c r="I47"/>
    </row>
    <row r="48" spans="1:9" ht="14.1" customHeight="1">
      <c r="A48" s="354" t="s">
        <v>259</v>
      </c>
      <c r="B48" s="355">
        <f>SUM(B11:B46)</f>
        <v>58556670</v>
      </c>
      <c r="C48" s="356">
        <f>B48/'- 3 -'!$D48*100</f>
        <v>2.9149978317475096</v>
      </c>
      <c r="D48" s="355">
        <f>SUM(D11:D46)</f>
        <v>138233116</v>
      </c>
      <c r="E48" s="356">
        <f>D48/'- 3 -'!$D48*100</f>
        <v>6.8813549919369041</v>
      </c>
      <c r="F48" s="355">
        <f>D48/'- 7 -'!$F48</f>
        <v>799.67474571792729</v>
      </c>
      <c r="G48" s="355">
        <f>SUM(G11:G46)</f>
        <v>98222598</v>
      </c>
      <c r="H48" s="356">
        <f>G48/'- 3 -'!$D48*100</f>
        <v>4.8895994290421099</v>
      </c>
      <c r="I48" s="355">
        <f>G48/'- 7 -'!$F48</f>
        <v>568.21500775113964</v>
      </c>
    </row>
    <row r="49" spans="1:9" ht="5.0999999999999996" customHeight="1">
      <c r="A49" s="25" t="s">
        <v>3</v>
      </c>
      <c r="B49" s="26"/>
      <c r="C49" s="343"/>
      <c r="D49" s="26"/>
      <c r="E49" s="343"/>
      <c r="G49" s="26"/>
      <c r="H49" s="343"/>
      <c r="I49" s="26"/>
    </row>
    <row r="50" spans="1:9" ht="14.1" customHeight="1">
      <c r="A50" s="23" t="s">
        <v>260</v>
      </c>
      <c r="B50" s="24">
        <v>0</v>
      </c>
      <c r="C50" s="344">
        <f>B50/'- 3 -'!$D50*100</f>
        <v>0</v>
      </c>
      <c r="D50" s="24">
        <v>207251</v>
      </c>
      <c r="E50" s="344">
        <f>D50/'- 3 -'!$D50*100</f>
        <v>6.41837706428411</v>
      </c>
      <c r="F50" s="24">
        <f>D50/'- 7 -'!$F50</f>
        <v>1145.0331491712707</v>
      </c>
      <c r="G50" s="24">
        <v>163539</v>
      </c>
      <c r="H50" s="344">
        <f>G50/'- 3 -'!$D50*100</f>
        <v>5.0646557397356791</v>
      </c>
      <c r="I50" s="24">
        <f>G50/'- 7 -'!$F50</f>
        <v>903.53038674033144</v>
      </c>
    </row>
    <row r="51" spans="1:9" ht="14.1" customHeight="1">
      <c r="A51" s="351" t="s">
        <v>261</v>
      </c>
      <c r="B51" s="352">
        <v>0</v>
      </c>
      <c r="C51" s="353">
        <f>B51/'- 3 -'!$D51*100</f>
        <v>0</v>
      </c>
      <c r="D51" s="352">
        <v>171260</v>
      </c>
      <c r="E51" s="353">
        <f>D51/'- 3 -'!$D51*100</f>
        <v>0.97101856025491651</v>
      </c>
      <c r="F51" s="352">
        <f>D51/'- 7 -'!$F51</f>
        <v>275.78099838969405</v>
      </c>
      <c r="G51" s="352">
        <v>79349</v>
      </c>
      <c r="H51" s="353">
        <f>G51/'- 3 -'!$D51*100</f>
        <v>0.44989695047102279</v>
      </c>
      <c r="I51" s="352">
        <f>G51/'- 7 -'!$F51</f>
        <v>127.77616747181965</v>
      </c>
    </row>
    <row r="52" spans="1:9" ht="50.1" customHeight="1">
      <c r="A52" s="27"/>
      <c r="B52" s="27"/>
      <c r="C52" s="27"/>
      <c r="D52" s="27"/>
      <c r="E52" s="27"/>
      <c r="F52" s="27"/>
      <c r="G52" s="27"/>
      <c r="H52" s="27"/>
      <c r="I52" s="27"/>
    </row>
    <row r="53" spans="1:9" ht="12" customHeight="1">
      <c r="A53" s="154" t="s">
        <v>584</v>
      </c>
      <c r="C53" s="114"/>
      <c r="D53" s="114"/>
      <c r="E53" s="114"/>
      <c r="F53" s="114"/>
      <c r="G53" s="114"/>
      <c r="H53" s="114"/>
      <c r="I53" s="114"/>
    </row>
    <row r="54" spans="1:9" ht="12" customHeight="1">
      <c r="A54" s="1" t="s">
        <v>585</v>
      </c>
      <c r="C54" s="114"/>
      <c r="D54" s="210"/>
      <c r="E54" s="114"/>
      <c r="F54" s="114"/>
      <c r="G54" s="114"/>
      <c r="H54" s="114"/>
      <c r="I54" s="114"/>
    </row>
    <row r="55" spans="1:9" ht="14.45" customHeight="1">
      <c r="B55" s="114"/>
    </row>
    <row r="56" spans="1:9" ht="14.45" customHeight="1">
      <c r="B56" s="114"/>
    </row>
    <row r="57" spans="1:9" ht="14.45" customHeight="1"/>
    <row r="58" spans="1:9"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19.xml><?xml version="1.0" encoding="utf-8"?>
<worksheet xmlns="http://schemas.openxmlformats.org/spreadsheetml/2006/main" xmlns:r="http://schemas.openxmlformats.org/officeDocument/2006/relationships">
  <sheetPr codeName="Sheet23">
    <pageSetUpPr fitToPage="1"/>
  </sheetPr>
  <dimension ref="A1:E59"/>
  <sheetViews>
    <sheetView showGridLines="0" showZeros="0" workbookViewId="0"/>
  </sheetViews>
  <sheetFormatPr defaultColWidth="15.83203125" defaultRowHeight="12"/>
  <cols>
    <col min="1" max="1" width="36.83203125" style="1" customWidth="1"/>
    <col min="2" max="2" width="21.6640625" style="1" customWidth="1"/>
    <col min="3" max="3" width="11.1640625" style="1" customWidth="1"/>
    <col min="4" max="4" width="14.1640625" style="1" customWidth="1"/>
    <col min="5" max="5" width="40.83203125" style="1" customWidth="1"/>
    <col min="6" max="16384" width="15.83203125" style="1"/>
  </cols>
  <sheetData>
    <row r="1" spans="1:5" ht="6.95" customHeight="1">
      <c r="A1" s="3"/>
      <c r="B1" s="4"/>
      <c r="C1" s="4"/>
      <c r="D1" s="4"/>
      <c r="E1" s="4"/>
    </row>
    <row r="2" spans="1:5" ht="15.95" customHeight="1">
      <c r="A2" s="160"/>
      <c r="B2" s="5" t="s">
        <v>437</v>
      </c>
      <c r="C2" s="6"/>
      <c r="D2" s="6"/>
      <c r="E2" s="183" t="s">
        <v>393</v>
      </c>
    </row>
    <row r="3" spans="1:5" ht="15.95" customHeight="1">
      <c r="A3" s="163"/>
      <c r="B3" s="7" t="str">
        <f>OPYEAR</f>
        <v>OPERATING FUND 2012/2013 BUDGET</v>
      </c>
      <c r="C3" s="8"/>
      <c r="D3" s="8"/>
      <c r="E3" s="100"/>
    </row>
    <row r="4" spans="1:5" ht="15.95" customHeight="1">
      <c r="B4" s="4"/>
      <c r="C4" s="4"/>
      <c r="D4" s="4"/>
      <c r="E4" s="4"/>
    </row>
    <row r="5" spans="1:5" ht="15.95" customHeight="1">
      <c r="B5" s="510" t="s">
        <v>422</v>
      </c>
      <c r="C5" s="173"/>
      <c r="D5" s="167"/>
      <c r="E5" s="74"/>
    </row>
    <row r="6" spans="1:5" ht="15.95" customHeight="1">
      <c r="B6" s="345" t="s">
        <v>18</v>
      </c>
      <c r="C6" s="346"/>
      <c r="D6" s="347"/>
      <c r="E6" s="104"/>
    </row>
    <row r="7" spans="1:5" ht="15.95" customHeight="1">
      <c r="B7" s="348" t="s">
        <v>417</v>
      </c>
      <c r="C7" s="349"/>
      <c r="D7" s="350"/>
      <c r="E7" s="104"/>
    </row>
    <row r="8" spans="1:5" ht="15.95" customHeight="1">
      <c r="A8" s="101"/>
      <c r="B8" s="169"/>
      <c r="C8" s="168"/>
      <c r="D8" s="168" t="s">
        <v>59</v>
      </c>
      <c r="E8" s="104"/>
    </row>
    <row r="9" spans="1:5" ht="15.95" customHeight="1">
      <c r="A9" s="35" t="s">
        <v>79</v>
      </c>
      <c r="B9" s="112" t="s">
        <v>80</v>
      </c>
      <c r="C9" s="112" t="s">
        <v>81</v>
      </c>
      <c r="D9" s="112" t="s">
        <v>82</v>
      </c>
    </row>
    <row r="10" spans="1:5" ht="5.0999999999999996" customHeight="1">
      <c r="A10" s="37"/>
    </row>
    <row r="11" spans="1:5" ht="14.1" customHeight="1">
      <c r="A11" s="351" t="s">
        <v>224</v>
      </c>
      <c r="B11" s="352">
        <v>267800</v>
      </c>
      <c r="C11" s="353">
        <f>B11/'- 3 -'!$D11*100</f>
        <v>1.6880392522704697</v>
      </c>
      <c r="D11" s="352">
        <f>B11/'- 7 -'!$F11</f>
        <v>181.06828938471941</v>
      </c>
    </row>
    <row r="12" spans="1:5" ht="14.1" customHeight="1">
      <c r="A12" s="23" t="s">
        <v>225</v>
      </c>
      <c r="B12" s="24">
        <v>354749</v>
      </c>
      <c r="C12" s="344">
        <f>B12/'- 3 -'!$D12*100</f>
        <v>1.1824369930130858</v>
      </c>
      <c r="D12" s="24">
        <f>B12/'- 7 -'!$F12</f>
        <v>153.58296317461966</v>
      </c>
    </row>
    <row r="13" spans="1:5" ht="14.1" customHeight="1">
      <c r="A13" s="351" t="s">
        <v>226</v>
      </c>
      <c r="B13" s="352">
        <v>1771800</v>
      </c>
      <c r="C13" s="353">
        <f>B13/'- 3 -'!$D13*100</f>
        <v>2.2603583812374177</v>
      </c>
      <c r="D13" s="352">
        <f>B13/'- 7 -'!$F13</f>
        <v>229.27018633540374</v>
      </c>
    </row>
    <row r="14" spans="1:5" ht="14.1" customHeight="1">
      <c r="A14" s="23" t="s">
        <v>524</v>
      </c>
      <c r="B14" s="24">
        <v>1114539</v>
      </c>
      <c r="C14" s="344">
        <f>B14/'- 3 -'!$D14*100</f>
        <v>1.5596533081286132</v>
      </c>
      <c r="D14" s="24">
        <f>B14/'- 7 -'!$F14</f>
        <v>221.13869047619048</v>
      </c>
    </row>
    <row r="15" spans="1:5" ht="14.1" customHeight="1">
      <c r="A15" s="351" t="s">
        <v>227</v>
      </c>
      <c r="B15" s="352">
        <v>458050</v>
      </c>
      <c r="C15" s="353">
        <f>B15/'- 3 -'!$D15*100</f>
        <v>2.4487734294102901</v>
      </c>
      <c r="D15" s="352">
        <f>B15/'- 7 -'!$F15</f>
        <v>306.59303882195451</v>
      </c>
    </row>
    <row r="16" spans="1:5" ht="14.1" customHeight="1">
      <c r="A16" s="23" t="s">
        <v>228</v>
      </c>
      <c r="B16" s="24">
        <v>274132</v>
      </c>
      <c r="C16" s="344">
        <f>B16/'- 3 -'!$D16*100</f>
        <v>2.1658884810621837</v>
      </c>
      <c r="D16" s="24">
        <f>B16/'- 7 -'!$F16</f>
        <v>277.04092976250632</v>
      </c>
    </row>
    <row r="17" spans="1:4" ht="14.1" customHeight="1">
      <c r="A17" s="351" t="s">
        <v>229</v>
      </c>
      <c r="B17" s="352">
        <v>243120</v>
      </c>
      <c r="C17" s="353">
        <f>B17/'- 3 -'!$D17*100</f>
        <v>1.4915097683705942</v>
      </c>
      <c r="D17" s="352">
        <f>B17/'- 7 -'!$F17</f>
        <v>189.12485414235707</v>
      </c>
    </row>
    <row r="18" spans="1:4" ht="14.1" customHeight="1">
      <c r="A18" s="23" t="s">
        <v>230</v>
      </c>
      <c r="B18" s="24">
        <v>1492449</v>
      </c>
      <c r="C18" s="344">
        <f>B18/'- 3 -'!$D18*100</f>
        <v>1.2959124586560493</v>
      </c>
      <c r="D18" s="24">
        <f>B18/'- 7 -'!$F18</f>
        <v>236.01628844785324</v>
      </c>
    </row>
    <row r="19" spans="1:4" ht="14.1" customHeight="1">
      <c r="A19" s="351" t="s">
        <v>231</v>
      </c>
      <c r="B19" s="352">
        <v>896300</v>
      </c>
      <c r="C19" s="353">
        <f>B19/'- 3 -'!$D19*100</f>
        <v>2.29284721459226</v>
      </c>
      <c r="D19" s="352">
        <f>B19/'- 7 -'!$F19</f>
        <v>212.74626157132684</v>
      </c>
    </row>
    <row r="20" spans="1:4" ht="14.1" customHeight="1">
      <c r="A20" s="23" t="s">
        <v>232</v>
      </c>
      <c r="B20" s="24">
        <v>634400</v>
      </c>
      <c r="C20" s="344">
        <f>B20/'- 3 -'!$D20*100</f>
        <v>0.9375046180673573</v>
      </c>
      <c r="D20" s="24">
        <f>B20/'- 7 -'!$F20</f>
        <v>85.441077441077439</v>
      </c>
    </row>
    <row r="21" spans="1:4" ht="14.1" customHeight="1">
      <c r="A21" s="351" t="s">
        <v>233</v>
      </c>
      <c r="B21" s="352">
        <v>881000</v>
      </c>
      <c r="C21" s="353">
        <f>B21/'- 3 -'!$D21*100</f>
        <v>2.7062842931683062</v>
      </c>
      <c r="D21" s="352">
        <f>B21/'- 7 -'!$F21</f>
        <v>315.77060931899643</v>
      </c>
    </row>
    <row r="22" spans="1:4" ht="14.1" customHeight="1">
      <c r="A22" s="23" t="s">
        <v>234</v>
      </c>
      <c r="B22" s="24">
        <v>554505</v>
      </c>
      <c r="C22" s="344">
        <f>B22/'- 3 -'!$D22*100</f>
        <v>2.9148138228739593</v>
      </c>
      <c r="D22" s="24">
        <f>B22/'- 7 -'!$F22</f>
        <v>343.45308144936513</v>
      </c>
    </row>
    <row r="23" spans="1:4" ht="14.1" customHeight="1">
      <c r="A23" s="351" t="s">
        <v>235</v>
      </c>
      <c r="B23" s="352">
        <v>301500</v>
      </c>
      <c r="C23" s="353">
        <f>B23/'- 3 -'!$D23*100</f>
        <v>1.9367918504424109</v>
      </c>
      <c r="D23" s="352">
        <f>B23/'- 7 -'!$F23</f>
        <v>252.1957340025094</v>
      </c>
    </row>
    <row r="24" spans="1:4" ht="14.1" customHeight="1">
      <c r="A24" s="23" t="s">
        <v>236</v>
      </c>
      <c r="B24" s="24">
        <v>718870</v>
      </c>
      <c r="C24" s="344">
        <f>B24/'- 3 -'!$D24*100</f>
        <v>1.40935267743582</v>
      </c>
      <c r="D24" s="24">
        <f>B24/'- 7 -'!$F24</f>
        <v>168.27481273408239</v>
      </c>
    </row>
    <row r="25" spans="1:4" ht="14.1" customHeight="1">
      <c r="A25" s="351" t="s">
        <v>237</v>
      </c>
      <c r="B25" s="352">
        <v>2624844</v>
      </c>
      <c r="C25" s="353">
        <f>B25/'- 3 -'!$D25*100</f>
        <v>1.748169600937826</v>
      </c>
      <c r="D25" s="352">
        <f>B25/'- 7 -'!$F25</f>
        <v>193.11683343143025</v>
      </c>
    </row>
    <row r="26" spans="1:4" ht="14.1" customHeight="1">
      <c r="A26" s="23" t="s">
        <v>238</v>
      </c>
      <c r="B26" s="24">
        <v>939151</v>
      </c>
      <c r="C26" s="344">
        <f>B26/'- 3 -'!$D26*100</f>
        <v>2.5535042379859609</v>
      </c>
      <c r="D26" s="24">
        <f>B26/'- 7 -'!$F26</f>
        <v>314.2024088323854</v>
      </c>
    </row>
    <row r="27" spans="1:4" ht="14.1" customHeight="1">
      <c r="A27" s="351" t="s">
        <v>239</v>
      </c>
      <c r="B27" s="352">
        <v>1131484</v>
      </c>
      <c r="C27" s="353">
        <f>B27/'- 3 -'!$D27*100</f>
        <v>2.9552370714777094</v>
      </c>
      <c r="D27" s="352">
        <f>B27/'- 7 -'!$F27</f>
        <v>404.39027877055037</v>
      </c>
    </row>
    <row r="28" spans="1:4" ht="14.1" customHeight="1">
      <c r="A28" s="23" t="s">
        <v>240</v>
      </c>
      <c r="B28" s="24">
        <v>492737</v>
      </c>
      <c r="C28" s="344">
        <f>B28/'- 3 -'!$D28*100</f>
        <v>1.9221088292209132</v>
      </c>
      <c r="D28" s="24">
        <f>B28/'- 7 -'!$F28</f>
        <v>252.03938618925832</v>
      </c>
    </row>
    <row r="29" spans="1:4" ht="14.1" customHeight="1">
      <c r="A29" s="351" t="s">
        <v>241</v>
      </c>
      <c r="B29" s="352">
        <v>2752370</v>
      </c>
      <c r="C29" s="353">
        <f>B29/'- 3 -'!$D29*100</f>
        <v>2.0073245682657181</v>
      </c>
      <c r="D29" s="352">
        <f>B29/'- 7 -'!$F29</f>
        <v>226.64443346508563</v>
      </c>
    </row>
    <row r="30" spans="1:4" ht="14.1" customHeight="1">
      <c r="A30" s="23" t="s">
        <v>242</v>
      </c>
      <c r="B30" s="24">
        <v>150480</v>
      </c>
      <c r="C30" s="344">
        <f>B30/'- 3 -'!$D30*100</f>
        <v>1.1347040268419939</v>
      </c>
      <c r="D30" s="24">
        <f>B30/'- 7 -'!$F30</f>
        <v>140.17699115044249</v>
      </c>
    </row>
    <row r="31" spans="1:4" ht="14.1" customHeight="1">
      <c r="A31" s="351" t="s">
        <v>243</v>
      </c>
      <c r="B31" s="352">
        <v>866468</v>
      </c>
      <c r="C31" s="353">
        <f>B31/'- 3 -'!$D31*100</f>
        <v>2.6991092579346621</v>
      </c>
      <c r="D31" s="352">
        <f>B31/'- 7 -'!$F31</f>
        <v>273.33375394321769</v>
      </c>
    </row>
    <row r="32" spans="1:4" ht="14.1" customHeight="1">
      <c r="A32" s="23" t="s">
        <v>244</v>
      </c>
      <c r="B32" s="24">
        <v>322250</v>
      </c>
      <c r="C32" s="344">
        <f>B32/'- 3 -'!$D32*100</f>
        <v>1.3049289545654312</v>
      </c>
      <c r="D32" s="24">
        <f>B32/'- 7 -'!$F32</f>
        <v>157.11618065069743</v>
      </c>
    </row>
    <row r="33" spans="1:5" ht="14.1" customHeight="1">
      <c r="A33" s="351" t="s">
        <v>245</v>
      </c>
      <c r="B33" s="352">
        <v>334500</v>
      </c>
      <c r="C33" s="353">
        <f>B33/'- 3 -'!$D33*100</f>
        <v>1.3108959160399578</v>
      </c>
      <c r="D33" s="352">
        <f>B33/'- 7 -'!$F33</f>
        <v>166.87453230231978</v>
      </c>
    </row>
    <row r="34" spans="1:5" ht="14.1" customHeight="1">
      <c r="A34" s="23" t="s">
        <v>246</v>
      </c>
      <c r="B34" s="24">
        <v>622041</v>
      </c>
      <c r="C34" s="344">
        <f>B34/'- 3 -'!$D34*100</f>
        <v>2.598713479306789</v>
      </c>
      <c r="D34" s="24">
        <f>B34/'- 7 -'!$F34</f>
        <v>311.12939528835091</v>
      </c>
    </row>
    <row r="35" spans="1:5" ht="14.1" customHeight="1">
      <c r="A35" s="351" t="s">
        <v>247</v>
      </c>
      <c r="B35" s="352">
        <v>2339000</v>
      </c>
      <c r="C35" s="353">
        <f>B35/'- 3 -'!$D35*100</f>
        <v>1.4296272903588796</v>
      </c>
      <c r="D35" s="352">
        <f>B35/'- 7 -'!$F35</f>
        <v>149.99358727715787</v>
      </c>
    </row>
    <row r="36" spans="1:5" ht="14.1" customHeight="1">
      <c r="A36" s="23" t="s">
        <v>248</v>
      </c>
      <c r="B36" s="24">
        <v>461450</v>
      </c>
      <c r="C36" s="344">
        <f>B36/'- 3 -'!$D36*100</f>
        <v>2.1853966533997373</v>
      </c>
      <c r="D36" s="24">
        <f>B36/'- 7 -'!$F36</f>
        <v>281.71550671550671</v>
      </c>
    </row>
    <row r="37" spans="1:5" ht="14.1" customHeight="1">
      <c r="A37" s="351" t="s">
        <v>249</v>
      </c>
      <c r="B37" s="352">
        <v>887170</v>
      </c>
      <c r="C37" s="353">
        <f>B37/'- 3 -'!$D37*100</f>
        <v>2.2265557982407205</v>
      </c>
      <c r="D37" s="352">
        <f>B37/'- 7 -'!$F37</f>
        <v>241.24269204622706</v>
      </c>
    </row>
    <row r="38" spans="1:5" ht="14.1" customHeight="1">
      <c r="A38" s="23" t="s">
        <v>250</v>
      </c>
      <c r="B38" s="24">
        <v>2327840</v>
      </c>
      <c r="C38" s="344">
        <f>B38/'- 3 -'!$D38*100</f>
        <v>2.0795797673712233</v>
      </c>
      <c r="D38" s="24">
        <f>B38/'- 7 -'!$F38</f>
        <v>221.00446216652426</v>
      </c>
    </row>
    <row r="39" spans="1:5" ht="14.1" customHeight="1">
      <c r="A39" s="351" t="s">
        <v>251</v>
      </c>
      <c r="B39" s="352">
        <v>242000</v>
      </c>
      <c r="C39" s="353">
        <f>B39/'- 3 -'!$D39*100</f>
        <v>1.2158245289885727</v>
      </c>
      <c r="D39" s="352">
        <f>B39/'- 7 -'!$F39</f>
        <v>155.02882767456759</v>
      </c>
    </row>
    <row r="40" spans="1:5" ht="14.1" customHeight="1">
      <c r="A40" s="23" t="s">
        <v>252</v>
      </c>
      <c r="B40" s="24">
        <v>1948782</v>
      </c>
      <c r="C40" s="344">
        <f>B40/'- 3 -'!$D40*100</f>
        <v>2.0755852966556727</v>
      </c>
      <c r="D40" s="24">
        <f>B40/'- 7 -'!$F40</f>
        <v>239.69079012102731</v>
      </c>
    </row>
    <row r="41" spans="1:5" ht="14.1" customHeight="1">
      <c r="A41" s="351" t="s">
        <v>253</v>
      </c>
      <c r="B41" s="352">
        <v>1059243</v>
      </c>
      <c r="C41" s="353">
        <f>B41/'- 3 -'!$D41*100</f>
        <v>1.864090871726453</v>
      </c>
      <c r="D41" s="352">
        <f>B41/'- 7 -'!$F41</f>
        <v>235.20439658043745</v>
      </c>
    </row>
    <row r="42" spans="1:5" ht="14.1" customHeight="1">
      <c r="A42" s="23" t="s">
        <v>254</v>
      </c>
      <c r="B42" s="24">
        <v>313284</v>
      </c>
      <c r="C42" s="344">
        <f>B42/'- 3 -'!$D42*100</f>
        <v>1.5748416230634943</v>
      </c>
      <c r="D42" s="24">
        <f>B42/'- 7 -'!$F42</f>
        <v>214.8724279835391</v>
      </c>
    </row>
    <row r="43" spans="1:5" ht="14.1" customHeight="1">
      <c r="A43" s="351" t="s">
        <v>255</v>
      </c>
      <c r="B43" s="352">
        <v>199763</v>
      </c>
      <c r="C43" s="353">
        <f>B43/'- 3 -'!$D43*100</f>
        <v>1.6905650605157516</v>
      </c>
      <c r="D43" s="352">
        <f>B43/'- 7 -'!$F43</f>
        <v>210.47069669432372</v>
      </c>
    </row>
    <row r="44" spans="1:5" ht="14.1" customHeight="1">
      <c r="A44" s="23" t="s">
        <v>256</v>
      </c>
      <c r="B44" s="24">
        <v>75135</v>
      </c>
      <c r="C44" s="344">
        <f>B44/'- 3 -'!$D44*100</f>
        <v>0.747253704641894</v>
      </c>
      <c r="D44" s="24">
        <f>B44/'- 7 -'!$F44</f>
        <v>100.44786096256685</v>
      </c>
    </row>
    <row r="45" spans="1:5" ht="14.1" customHeight="1">
      <c r="A45" s="351" t="s">
        <v>257</v>
      </c>
      <c r="B45" s="352">
        <v>416420</v>
      </c>
      <c r="C45" s="353">
        <f>B45/'- 3 -'!$D45*100</f>
        <v>2.5435737106795768</v>
      </c>
      <c r="D45" s="352">
        <f>B45/'- 7 -'!$F45</f>
        <v>250.62894974420703</v>
      </c>
    </row>
    <row r="46" spans="1:5" ht="14.1" customHeight="1">
      <c r="A46" s="23" t="s">
        <v>258</v>
      </c>
      <c r="B46" s="24">
        <v>4974100</v>
      </c>
      <c r="C46" s="344">
        <f>B46/'- 3 -'!$D46*100</f>
        <v>1.4106323924485324</v>
      </c>
      <c r="D46" s="24">
        <f>B46/'- 7 -'!$F46</f>
        <v>163.235101076398</v>
      </c>
    </row>
    <row r="47" spans="1:5" ht="5.0999999999999996" customHeight="1">
      <c r="A47"/>
      <c r="B47"/>
      <c r="C47"/>
      <c r="D47"/>
    </row>
    <row r="48" spans="1:5" ht="14.1" customHeight="1">
      <c r="A48" s="354" t="s">
        <v>259</v>
      </c>
      <c r="B48" s="355">
        <f>SUM(B11:B46)</f>
        <v>35443726</v>
      </c>
      <c r="C48" s="356">
        <f>B48/'- 3 -'!$D48*100</f>
        <v>1.7644170073034007</v>
      </c>
      <c r="D48" s="355">
        <f>B48/'- 7 -'!$F48</f>
        <v>205.04097278937044</v>
      </c>
      <c r="E48" s="37"/>
    </row>
    <row r="49" spans="1:5" ht="5.0999999999999996" customHeight="1">
      <c r="A49" s="25" t="s">
        <v>3</v>
      </c>
      <c r="B49" s="26"/>
      <c r="C49" s="343"/>
      <c r="D49" s="26"/>
    </row>
    <row r="50" spans="1:5" ht="14.1" customHeight="1">
      <c r="A50" s="23" t="s">
        <v>260</v>
      </c>
      <c r="B50" s="24">
        <v>99610</v>
      </c>
      <c r="C50" s="344">
        <f>B50/'- 3 -'!$D50*100</f>
        <v>3.0848321087634814</v>
      </c>
      <c r="D50" s="24">
        <f>B50/'- 7 -'!$F50</f>
        <v>550.33149171270713</v>
      </c>
    </row>
    <row r="51" spans="1:5" ht="14.1" customHeight="1">
      <c r="A51" s="351" t="s">
        <v>261</v>
      </c>
      <c r="B51" s="352">
        <v>622234</v>
      </c>
      <c r="C51" s="353">
        <f>B51/'- 3 -'!$D51*100</f>
        <v>3.5279736238564618</v>
      </c>
      <c r="D51" s="352">
        <f>B51/'- 7 -'!$F51</f>
        <v>1001.9871175523349</v>
      </c>
    </row>
    <row r="52" spans="1:5" ht="50.1" customHeight="1">
      <c r="A52"/>
      <c r="B52"/>
      <c r="C52"/>
      <c r="D52"/>
      <c r="E52"/>
    </row>
    <row r="53" spans="1:5" ht="15" customHeight="1">
      <c r="A53" s="595"/>
      <c r="B53" s="595"/>
      <c r="C53" s="595"/>
      <c r="D53" s="595"/>
      <c r="E53" s="595"/>
    </row>
    <row r="54" spans="1:5" ht="14.45" customHeight="1">
      <c r="A54" s="595"/>
      <c r="B54" s="595"/>
      <c r="C54" s="595"/>
      <c r="D54" s="595"/>
      <c r="E54" s="595"/>
    </row>
    <row r="55" spans="1:5" ht="14.45" customHeight="1"/>
    <row r="56" spans="1:5" ht="14.45" customHeight="1"/>
    <row r="57" spans="1:5" ht="14.45" customHeight="1"/>
    <row r="58" spans="1:5" ht="14.45" customHeight="1"/>
    <row r="59" spans="1:5" ht="14.45" customHeight="1"/>
  </sheetData>
  <phoneticPr fontId="0" type="noConversion"/>
  <printOptions horizontalCentered="1"/>
  <pageMargins left="0.51181102362204722" right="0.51181102362204722" top="0.59055118110236227" bottom="0" header="0.31496062992125984" footer="0"/>
  <pageSetup scale="92" orientation="portrait" r:id="rId1"/>
  <headerFooter alignWithMargins="0">
    <oddHeader>&amp;C&amp;"Arial,Bold"&amp;10&amp;A</oddHeader>
  </headerFooter>
</worksheet>
</file>

<file path=xl/worksheets/sheet2.xml><?xml version="1.0" encoding="utf-8"?>
<worksheet xmlns="http://schemas.openxmlformats.org/spreadsheetml/2006/main" xmlns:r="http://schemas.openxmlformats.org/officeDocument/2006/relationships">
  <sheetPr transitionEntry="1" codeName="Sheet1">
    <pageSetUpPr fitToPage="1"/>
  </sheetPr>
  <dimension ref="A1:G65536"/>
  <sheetViews>
    <sheetView showGridLines="0" showZeros="0" workbookViewId="0"/>
  </sheetViews>
  <sheetFormatPr defaultColWidth="15.83203125" defaultRowHeight="12"/>
  <cols>
    <col min="1" max="1" width="32.83203125" style="1" customWidth="1"/>
    <col min="2" max="2" width="18.83203125" style="1" customWidth="1"/>
    <col min="3" max="3" width="19.83203125" style="1" customWidth="1"/>
    <col min="4" max="4" width="21.83203125" style="1" customWidth="1"/>
    <col min="5" max="5" width="19.83203125" style="1" customWidth="1"/>
    <col min="6" max="6" width="20.83203125" style="1" customWidth="1"/>
    <col min="7" max="16384" width="15.83203125" style="1"/>
  </cols>
  <sheetData>
    <row r="1" spans="1:6" ht="6.95" customHeight="1">
      <c r="A1" s="3"/>
      <c r="B1" s="4"/>
      <c r="C1" s="4"/>
      <c r="D1" s="4"/>
      <c r="E1" s="4"/>
      <c r="F1" s="4"/>
    </row>
    <row r="2" spans="1:6" ht="15.95" customHeight="1">
      <c r="A2" s="5" t="s">
        <v>431</v>
      </c>
      <c r="B2" s="6"/>
      <c r="C2" s="6"/>
      <c r="D2" s="6"/>
      <c r="E2" s="6"/>
      <c r="F2" s="6"/>
    </row>
    <row r="3" spans="1:6" ht="15.95" customHeight="1">
      <c r="A3" s="7" t="s">
        <v>635</v>
      </c>
      <c r="B3" s="8"/>
      <c r="C3" s="9"/>
      <c r="D3" s="8"/>
      <c r="E3" s="8"/>
      <c r="F3" s="8"/>
    </row>
    <row r="4" spans="1:6" ht="15.95" customHeight="1">
      <c r="B4" s="4"/>
      <c r="C4" s="4"/>
      <c r="D4" s="4"/>
      <c r="E4" s="4"/>
      <c r="F4" s="4"/>
    </row>
    <row r="5" spans="1:6" ht="15.95" customHeight="1">
      <c r="B5" s="4"/>
      <c r="C5" s="4"/>
      <c r="D5" s="4"/>
      <c r="E5" s="4"/>
      <c r="F5" s="4"/>
    </row>
    <row r="6" spans="1:6" ht="15.95" customHeight="1">
      <c r="B6" s="10"/>
      <c r="C6" s="11" t="s">
        <v>28</v>
      </c>
      <c r="D6" s="12"/>
      <c r="E6" s="13" t="s">
        <v>28</v>
      </c>
      <c r="F6" s="13" t="s">
        <v>29</v>
      </c>
    </row>
    <row r="7" spans="1:6" ht="15.95" customHeight="1">
      <c r="B7" s="10"/>
      <c r="C7" s="14" t="s">
        <v>104</v>
      </c>
      <c r="D7" s="15"/>
      <c r="E7" s="16" t="s">
        <v>410</v>
      </c>
      <c r="F7" s="16" t="s">
        <v>267</v>
      </c>
    </row>
    <row r="8" spans="1:6" ht="15.95" customHeight="1">
      <c r="A8" s="17"/>
      <c r="B8" s="18" t="s">
        <v>54</v>
      </c>
      <c r="C8" s="14" t="s">
        <v>117</v>
      </c>
      <c r="D8" s="16" t="s">
        <v>430</v>
      </c>
      <c r="E8" s="16" t="s">
        <v>76</v>
      </c>
      <c r="F8" s="16" t="s">
        <v>77</v>
      </c>
    </row>
    <row r="9" spans="1:6" ht="13.5">
      <c r="A9" s="19" t="s">
        <v>79</v>
      </c>
      <c r="B9" s="20" t="s">
        <v>336</v>
      </c>
      <c r="C9" s="20" t="s">
        <v>337</v>
      </c>
      <c r="D9" s="21" t="s">
        <v>429</v>
      </c>
      <c r="E9" s="21" t="s">
        <v>338</v>
      </c>
      <c r="F9" s="21" t="s">
        <v>339</v>
      </c>
    </row>
    <row r="10" spans="1:6" ht="5.0999999999999996" customHeight="1">
      <c r="A10" s="22"/>
    </row>
    <row r="11" spans="1:6" ht="14.1" customHeight="1">
      <c r="A11" s="351" t="s">
        <v>224</v>
      </c>
      <c r="B11" s="352">
        <v>15910060</v>
      </c>
      <c r="C11" s="352">
        <v>-45500</v>
      </c>
      <c r="D11" s="352">
        <f>B11+C11</f>
        <v>15864560</v>
      </c>
      <c r="E11" s="352">
        <f>-'- 15 -'!H11-'- 16 -'!B11</f>
        <v>-18870</v>
      </c>
      <c r="F11" s="352">
        <f>D11+E11</f>
        <v>15845690</v>
      </c>
    </row>
    <row r="12" spans="1:6" ht="14.1" customHeight="1">
      <c r="A12" s="23" t="s">
        <v>225</v>
      </c>
      <c r="B12" s="24">
        <v>30271164</v>
      </c>
      <c r="C12" s="24">
        <v>-269650</v>
      </c>
      <c r="D12" s="24">
        <f t="shared" ref="D12:D46" si="0">B12+C12</f>
        <v>30001514</v>
      </c>
      <c r="E12" s="24">
        <f>-'- 15 -'!H12-'- 16 -'!B12</f>
        <v>-596727</v>
      </c>
      <c r="F12" s="24">
        <f t="shared" ref="F12:F46" si="1">D12+E12</f>
        <v>29404787</v>
      </c>
    </row>
    <row r="13" spans="1:6" ht="14.1" customHeight="1">
      <c r="A13" s="351" t="s">
        <v>226</v>
      </c>
      <c r="B13" s="352">
        <v>78529500</v>
      </c>
      <c r="C13" s="352">
        <v>-143700</v>
      </c>
      <c r="D13" s="352">
        <f t="shared" si="0"/>
        <v>78385800</v>
      </c>
      <c r="E13" s="352">
        <f>-'- 15 -'!H13-'- 16 -'!B13</f>
        <v>-255600</v>
      </c>
      <c r="F13" s="352">
        <f t="shared" si="1"/>
        <v>78130200</v>
      </c>
    </row>
    <row r="14" spans="1:6" ht="14.1" customHeight="1">
      <c r="A14" s="23" t="s">
        <v>524</v>
      </c>
      <c r="B14" s="24">
        <v>71771386</v>
      </c>
      <c r="C14" s="24">
        <v>-310697</v>
      </c>
      <c r="D14" s="24">
        <f t="shared" si="0"/>
        <v>71460689</v>
      </c>
      <c r="E14" s="24">
        <f>-'- 15 -'!H14-'- 16 -'!B14</f>
        <v>-934917</v>
      </c>
      <c r="F14" s="24">
        <f t="shared" si="1"/>
        <v>70525772</v>
      </c>
    </row>
    <row r="15" spans="1:6" ht="14.1" customHeight="1">
      <c r="A15" s="351" t="s">
        <v>227</v>
      </c>
      <c r="B15" s="352">
        <v>18746783</v>
      </c>
      <c r="C15" s="352">
        <v>-41500</v>
      </c>
      <c r="D15" s="352">
        <f t="shared" si="0"/>
        <v>18705283</v>
      </c>
      <c r="E15" s="352">
        <f>-'- 15 -'!H15-'- 16 -'!B15</f>
        <v>-45000</v>
      </c>
      <c r="F15" s="352">
        <f t="shared" si="1"/>
        <v>18660283</v>
      </c>
    </row>
    <row r="16" spans="1:6" ht="14.1" customHeight="1">
      <c r="A16" s="23" t="s">
        <v>228</v>
      </c>
      <c r="B16" s="24">
        <v>12656792</v>
      </c>
      <c r="C16" s="24">
        <v>0</v>
      </c>
      <c r="D16" s="24">
        <f t="shared" si="0"/>
        <v>12656792</v>
      </c>
      <c r="E16" s="24">
        <f>-'- 15 -'!H16-'- 16 -'!B16</f>
        <v>-105800</v>
      </c>
      <c r="F16" s="24">
        <f t="shared" si="1"/>
        <v>12550992</v>
      </c>
    </row>
    <row r="17" spans="1:6" ht="14.1" customHeight="1">
      <c r="A17" s="351" t="s">
        <v>229</v>
      </c>
      <c r="B17" s="352">
        <v>16505562</v>
      </c>
      <c r="C17" s="352">
        <v>-205300</v>
      </c>
      <c r="D17" s="352">
        <f t="shared" si="0"/>
        <v>16300262</v>
      </c>
      <c r="E17" s="352">
        <f>-'- 15 -'!H17-'- 16 -'!B17</f>
        <v>-225600</v>
      </c>
      <c r="F17" s="352">
        <f t="shared" si="1"/>
        <v>16074662</v>
      </c>
    </row>
    <row r="18" spans="1:6" ht="14.1" customHeight="1">
      <c r="A18" s="23" t="s">
        <v>230</v>
      </c>
      <c r="B18" s="24">
        <v>119645520</v>
      </c>
      <c r="C18" s="24">
        <v>-4479639</v>
      </c>
      <c r="D18" s="24">
        <f t="shared" si="0"/>
        <v>115165881</v>
      </c>
      <c r="E18" s="24">
        <f>-'- 15 -'!H18-'- 16 -'!B18</f>
        <v>-4342940</v>
      </c>
      <c r="F18" s="24">
        <f t="shared" si="1"/>
        <v>110822941</v>
      </c>
    </row>
    <row r="19" spans="1:6" ht="14.1" customHeight="1">
      <c r="A19" s="351" t="s">
        <v>231</v>
      </c>
      <c r="B19" s="352">
        <v>39362135</v>
      </c>
      <c r="C19" s="352">
        <v>-271000</v>
      </c>
      <c r="D19" s="352">
        <f t="shared" si="0"/>
        <v>39091135</v>
      </c>
      <c r="E19" s="352">
        <f>-'- 15 -'!H19-'- 16 -'!B19</f>
        <v>-84700</v>
      </c>
      <c r="F19" s="352">
        <f t="shared" si="1"/>
        <v>39006435</v>
      </c>
    </row>
    <row r="20" spans="1:6" ht="14.1" customHeight="1">
      <c r="A20" s="23" t="s">
        <v>232</v>
      </c>
      <c r="B20" s="24">
        <v>68698000</v>
      </c>
      <c r="C20" s="24">
        <v>-1029000</v>
      </c>
      <c r="D20" s="24">
        <f t="shared" si="0"/>
        <v>67669000</v>
      </c>
      <c r="E20" s="24">
        <f>-'- 15 -'!H20-'- 16 -'!B20</f>
        <v>-125700</v>
      </c>
      <c r="F20" s="24">
        <f t="shared" si="1"/>
        <v>67543300</v>
      </c>
    </row>
    <row r="21" spans="1:6" ht="14.1" customHeight="1">
      <c r="A21" s="351" t="s">
        <v>233</v>
      </c>
      <c r="B21" s="352">
        <v>32925000</v>
      </c>
      <c r="C21" s="352">
        <v>-371140</v>
      </c>
      <c r="D21" s="352">
        <f t="shared" si="0"/>
        <v>32553860</v>
      </c>
      <c r="E21" s="352">
        <f>-'- 15 -'!H21-'- 16 -'!B21</f>
        <v>-200500</v>
      </c>
      <c r="F21" s="352">
        <f t="shared" si="1"/>
        <v>32353360</v>
      </c>
    </row>
    <row r="22" spans="1:6" ht="14.1" customHeight="1">
      <c r="A22" s="23" t="s">
        <v>234</v>
      </c>
      <c r="B22" s="24">
        <v>19049685</v>
      </c>
      <c r="C22" s="24">
        <v>-26000</v>
      </c>
      <c r="D22" s="24">
        <f t="shared" si="0"/>
        <v>19023685</v>
      </c>
      <c r="E22" s="24">
        <f>-'- 15 -'!H22-'- 16 -'!B22</f>
        <v>-740810</v>
      </c>
      <c r="F22" s="24">
        <f t="shared" si="1"/>
        <v>18282875</v>
      </c>
    </row>
    <row r="23" spans="1:6" ht="14.1" customHeight="1">
      <c r="A23" s="351" t="s">
        <v>235</v>
      </c>
      <c r="B23" s="352">
        <v>15603080</v>
      </c>
      <c r="C23" s="352">
        <v>-36100</v>
      </c>
      <c r="D23" s="352">
        <f t="shared" si="0"/>
        <v>15566980</v>
      </c>
      <c r="E23" s="352">
        <f>-'- 15 -'!H23-'- 16 -'!B23</f>
        <v>-515000</v>
      </c>
      <c r="F23" s="352">
        <f t="shared" si="1"/>
        <v>15051980</v>
      </c>
    </row>
    <row r="24" spans="1:6" ht="14.1" customHeight="1">
      <c r="A24" s="23" t="s">
        <v>236</v>
      </c>
      <c r="B24" s="24">
        <v>51237855</v>
      </c>
      <c r="C24" s="24">
        <v>-230750</v>
      </c>
      <c r="D24" s="24">
        <f t="shared" si="0"/>
        <v>51007105</v>
      </c>
      <c r="E24" s="24">
        <f>-'- 15 -'!H24-'- 16 -'!B24</f>
        <v>-726470</v>
      </c>
      <c r="F24" s="24">
        <f t="shared" si="1"/>
        <v>50280635</v>
      </c>
    </row>
    <row r="25" spans="1:6" ht="14.1" customHeight="1">
      <c r="A25" s="351" t="s">
        <v>237</v>
      </c>
      <c r="B25" s="352">
        <v>151365362</v>
      </c>
      <c r="C25" s="352">
        <v>-1217230</v>
      </c>
      <c r="D25" s="352">
        <f t="shared" si="0"/>
        <v>150148132</v>
      </c>
      <c r="E25" s="352">
        <f>-'- 15 -'!H25-'- 16 -'!B25</f>
        <v>-986281</v>
      </c>
      <c r="F25" s="352">
        <f t="shared" si="1"/>
        <v>149161851</v>
      </c>
    </row>
    <row r="26" spans="1:6" ht="14.1" customHeight="1">
      <c r="A26" s="23" t="s">
        <v>238</v>
      </c>
      <c r="B26" s="24">
        <v>36786409</v>
      </c>
      <c r="C26" s="24">
        <v>-7500</v>
      </c>
      <c r="D26" s="24">
        <f t="shared" si="0"/>
        <v>36778909</v>
      </c>
      <c r="E26" s="24">
        <f>-'- 15 -'!H26-'- 16 -'!B26</f>
        <v>-104019</v>
      </c>
      <c r="F26" s="24">
        <f t="shared" si="1"/>
        <v>36674890</v>
      </c>
    </row>
    <row r="27" spans="1:6" ht="14.1" customHeight="1">
      <c r="A27" s="351" t="s">
        <v>239</v>
      </c>
      <c r="B27" s="352">
        <v>38318524</v>
      </c>
      <c r="C27" s="352">
        <v>-31105</v>
      </c>
      <c r="D27" s="352">
        <f t="shared" si="0"/>
        <v>38287419</v>
      </c>
      <c r="E27" s="352">
        <f>-'- 15 -'!H27-'- 16 -'!B27</f>
        <v>-25500</v>
      </c>
      <c r="F27" s="352">
        <f t="shared" si="1"/>
        <v>38261919</v>
      </c>
    </row>
    <row r="28" spans="1:6" ht="14.1" customHeight="1">
      <c r="A28" s="23" t="s">
        <v>240</v>
      </c>
      <c r="B28" s="24">
        <v>25754529</v>
      </c>
      <c r="C28" s="24">
        <v>-119300</v>
      </c>
      <c r="D28" s="24">
        <f t="shared" si="0"/>
        <v>25635229</v>
      </c>
      <c r="E28" s="24">
        <f>-'- 15 -'!H28-'- 16 -'!B28</f>
        <v>-208548</v>
      </c>
      <c r="F28" s="24">
        <f t="shared" si="1"/>
        <v>25426681</v>
      </c>
    </row>
    <row r="29" spans="1:6" ht="14.1" customHeight="1">
      <c r="A29" s="351" t="s">
        <v>241</v>
      </c>
      <c r="B29" s="352">
        <v>139169841</v>
      </c>
      <c r="C29" s="352">
        <v>-2053500</v>
      </c>
      <c r="D29" s="352">
        <f t="shared" si="0"/>
        <v>137116341</v>
      </c>
      <c r="E29" s="352">
        <f>-'- 15 -'!H29-'- 16 -'!B29</f>
        <v>-423047</v>
      </c>
      <c r="F29" s="352">
        <f t="shared" si="1"/>
        <v>136693294</v>
      </c>
    </row>
    <row r="30" spans="1:6" ht="14.1" customHeight="1">
      <c r="A30" s="23" t="s">
        <v>242</v>
      </c>
      <c r="B30" s="24">
        <v>13286608</v>
      </c>
      <c r="C30" s="24">
        <v>-25000</v>
      </c>
      <c r="D30" s="24">
        <f t="shared" si="0"/>
        <v>13261608</v>
      </c>
      <c r="E30" s="24">
        <f>-'- 15 -'!H30-'- 16 -'!B30</f>
        <v>-11449</v>
      </c>
      <c r="F30" s="24">
        <f t="shared" si="1"/>
        <v>13250159</v>
      </c>
    </row>
    <row r="31" spans="1:6" ht="14.1" customHeight="1">
      <c r="A31" s="351" t="s">
        <v>243</v>
      </c>
      <c r="B31" s="352">
        <v>32143998</v>
      </c>
      <c r="C31" s="352">
        <v>-42000</v>
      </c>
      <c r="D31" s="352">
        <f t="shared" si="0"/>
        <v>32101998</v>
      </c>
      <c r="E31" s="352">
        <f>-'- 15 -'!H31-'- 16 -'!B31</f>
        <v>-44579</v>
      </c>
      <c r="F31" s="352">
        <f t="shared" si="1"/>
        <v>32057419</v>
      </c>
    </row>
    <row r="32" spans="1:6" ht="14.1" customHeight="1">
      <c r="A32" s="23" t="s">
        <v>244</v>
      </c>
      <c r="B32" s="24">
        <v>24898531</v>
      </c>
      <c r="C32" s="24">
        <v>-203700</v>
      </c>
      <c r="D32" s="24">
        <f t="shared" si="0"/>
        <v>24694831</v>
      </c>
      <c r="E32" s="24">
        <f>-'- 15 -'!H32-'- 16 -'!B32</f>
        <v>-275400</v>
      </c>
      <c r="F32" s="24">
        <f t="shared" si="1"/>
        <v>24419431</v>
      </c>
    </row>
    <row r="33" spans="1:7" ht="14.1" customHeight="1">
      <c r="A33" s="351" t="s">
        <v>245</v>
      </c>
      <c r="B33" s="352">
        <v>26052400</v>
      </c>
      <c r="C33" s="352">
        <v>-535500</v>
      </c>
      <c r="D33" s="352">
        <f t="shared" si="0"/>
        <v>25516900</v>
      </c>
      <c r="E33" s="352">
        <f>-'- 15 -'!H33-'- 16 -'!B33</f>
        <v>-30000</v>
      </c>
      <c r="F33" s="352">
        <f t="shared" si="1"/>
        <v>25486900</v>
      </c>
    </row>
    <row r="34" spans="1:7" ht="14.1" customHeight="1">
      <c r="A34" s="23" t="s">
        <v>246</v>
      </c>
      <c r="B34" s="24">
        <v>24272016</v>
      </c>
      <c r="C34" s="24">
        <v>-335518</v>
      </c>
      <c r="D34" s="24">
        <f t="shared" si="0"/>
        <v>23936498</v>
      </c>
      <c r="E34" s="24">
        <f>-'- 15 -'!H34-'- 16 -'!B34</f>
        <v>-25132</v>
      </c>
      <c r="F34" s="24">
        <f t="shared" si="1"/>
        <v>23911366</v>
      </c>
    </row>
    <row r="35" spans="1:7" ht="14.1" customHeight="1">
      <c r="A35" s="351" t="s">
        <v>247</v>
      </c>
      <c r="B35" s="352">
        <v>163646376</v>
      </c>
      <c r="C35" s="352">
        <v>-37300</v>
      </c>
      <c r="D35" s="352">
        <f t="shared" si="0"/>
        <v>163609076</v>
      </c>
      <c r="E35" s="352">
        <f>-'- 15 -'!H35-'- 16 -'!B35</f>
        <v>-595891</v>
      </c>
      <c r="F35" s="352">
        <f t="shared" si="1"/>
        <v>163013185</v>
      </c>
    </row>
    <row r="36" spans="1:7" ht="14.1" customHeight="1">
      <c r="A36" s="23" t="s">
        <v>248</v>
      </c>
      <c r="B36" s="24">
        <v>21328060</v>
      </c>
      <c r="C36" s="24">
        <v>-212900</v>
      </c>
      <c r="D36" s="24">
        <f t="shared" si="0"/>
        <v>21115160</v>
      </c>
      <c r="E36" s="24">
        <f>-'- 15 -'!H36-'- 16 -'!B36</f>
        <v>-24400</v>
      </c>
      <c r="F36" s="24">
        <f t="shared" si="1"/>
        <v>21090760</v>
      </c>
    </row>
    <row r="37" spans="1:7" ht="14.1" customHeight="1">
      <c r="A37" s="351" t="s">
        <v>249</v>
      </c>
      <c r="B37" s="352">
        <v>40409748</v>
      </c>
      <c r="C37" s="352">
        <v>-564800</v>
      </c>
      <c r="D37" s="352">
        <f t="shared" si="0"/>
        <v>39844948</v>
      </c>
      <c r="E37" s="352">
        <f>-'- 15 -'!H37-'- 16 -'!B37</f>
        <v>-64790</v>
      </c>
      <c r="F37" s="352">
        <f t="shared" si="1"/>
        <v>39780158</v>
      </c>
    </row>
    <row r="38" spans="1:7" ht="14.1" customHeight="1">
      <c r="A38" s="23" t="s">
        <v>250</v>
      </c>
      <c r="B38" s="24">
        <v>113231800</v>
      </c>
      <c r="C38" s="24">
        <v>-1293800</v>
      </c>
      <c r="D38" s="24">
        <f t="shared" si="0"/>
        <v>111938000</v>
      </c>
      <c r="E38" s="24">
        <f>-'- 15 -'!H38-'- 16 -'!B38</f>
        <v>-1530100</v>
      </c>
      <c r="F38" s="24">
        <f t="shared" si="1"/>
        <v>110407900</v>
      </c>
    </row>
    <row r="39" spans="1:7" ht="14.1" customHeight="1">
      <c r="A39" s="351" t="s">
        <v>251</v>
      </c>
      <c r="B39" s="352">
        <v>20011188</v>
      </c>
      <c r="C39" s="352">
        <v>-107000</v>
      </c>
      <c r="D39" s="352">
        <f t="shared" si="0"/>
        <v>19904188</v>
      </c>
      <c r="E39" s="352">
        <f>-'- 15 -'!H39-'- 16 -'!B39</f>
        <v>-166015</v>
      </c>
      <c r="F39" s="352">
        <f t="shared" si="1"/>
        <v>19738173</v>
      </c>
    </row>
    <row r="40" spans="1:7" ht="14.1" customHeight="1">
      <c r="A40" s="23" t="s">
        <v>252</v>
      </c>
      <c r="B40" s="24">
        <v>94356721</v>
      </c>
      <c r="C40" s="24">
        <v>-466000</v>
      </c>
      <c r="D40" s="24">
        <f t="shared" si="0"/>
        <v>93890721</v>
      </c>
      <c r="E40" s="24">
        <f>-'- 15 -'!H40-'- 16 -'!B40</f>
        <v>-839531</v>
      </c>
      <c r="F40" s="24">
        <f t="shared" si="1"/>
        <v>93051190</v>
      </c>
    </row>
    <row r="41" spans="1:7" ht="14.1" customHeight="1">
      <c r="A41" s="351" t="s">
        <v>253</v>
      </c>
      <c r="B41" s="352">
        <v>57433571</v>
      </c>
      <c r="C41" s="352">
        <v>-610000</v>
      </c>
      <c r="D41" s="352">
        <f t="shared" si="0"/>
        <v>56823571</v>
      </c>
      <c r="E41" s="352">
        <f>-'- 15 -'!H41-'- 16 -'!B41</f>
        <v>-1227186</v>
      </c>
      <c r="F41" s="352">
        <f t="shared" si="1"/>
        <v>55596385</v>
      </c>
    </row>
    <row r="42" spans="1:7" ht="14.1" customHeight="1">
      <c r="A42" s="23" t="s">
        <v>254</v>
      </c>
      <c r="B42" s="24">
        <v>19894348</v>
      </c>
      <c r="C42" s="24">
        <v>-1300</v>
      </c>
      <c r="D42" s="24">
        <f t="shared" si="0"/>
        <v>19893048</v>
      </c>
      <c r="E42" s="24">
        <f>-'- 15 -'!H42-'- 16 -'!B42</f>
        <v>-218286</v>
      </c>
      <c r="F42" s="24">
        <f t="shared" si="1"/>
        <v>19674762</v>
      </c>
    </row>
    <row r="43" spans="1:7" ht="14.1" customHeight="1">
      <c r="A43" s="351" t="s">
        <v>255</v>
      </c>
      <c r="B43" s="352">
        <v>11842345</v>
      </c>
      <c r="C43" s="352">
        <v>-26000</v>
      </c>
      <c r="D43" s="352">
        <f t="shared" si="0"/>
        <v>11816345</v>
      </c>
      <c r="E43" s="352">
        <f>-'- 15 -'!H43-'- 16 -'!B43</f>
        <v>-253691</v>
      </c>
      <c r="F43" s="352">
        <f t="shared" si="1"/>
        <v>11562654</v>
      </c>
    </row>
    <row r="44" spans="1:7" ht="14.1" customHeight="1">
      <c r="A44" s="23" t="s">
        <v>256</v>
      </c>
      <c r="B44" s="24">
        <v>10186303</v>
      </c>
      <c r="C44" s="24">
        <v>-131485</v>
      </c>
      <c r="D44" s="24">
        <f t="shared" si="0"/>
        <v>10054818</v>
      </c>
      <c r="E44" s="24">
        <f>-'- 15 -'!H44-'- 16 -'!B44</f>
        <v>-10622</v>
      </c>
      <c r="F44" s="24">
        <f t="shared" si="1"/>
        <v>10044196</v>
      </c>
    </row>
    <row r="45" spans="1:7" ht="14.1" customHeight="1">
      <c r="A45" s="351" t="s">
        <v>257</v>
      </c>
      <c r="B45" s="352">
        <v>16538054</v>
      </c>
      <c r="C45" s="352">
        <v>-166600</v>
      </c>
      <c r="D45" s="352">
        <f t="shared" si="0"/>
        <v>16371454</v>
      </c>
      <c r="E45" s="352">
        <f>-'- 15 -'!H45-'- 16 -'!B45</f>
        <v>-414204</v>
      </c>
      <c r="F45" s="352">
        <f t="shared" si="1"/>
        <v>15957250</v>
      </c>
    </row>
    <row r="46" spans="1:7" ht="14.1" customHeight="1">
      <c r="A46" s="23" t="s">
        <v>258</v>
      </c>
      <c r="B46" s="24">
        <v>354802100</v>
      </c>
      <c r="C46" s="24">
        <v>-2187200</v>
      </c>
      <c r="D46" s="24">
        <f t="shared" si="0"/>
        <v>352614900</v>
      </c>
      <c r="E46" s="24">
        <f>-'- 15 -'!H46-'- 16 -'!B46</f>
        <v>-9179800</v>
      </c>
      <c r="F46" s="24">
        <f t="shared" si="1"/>
        <v>343435100</v>
      </c>
    </row>
    <row r="47" spans="1:7" ht="5.0999999999999996" customHeight="1">
      <c r="A47"/>
      <c r="B47"/>
      <c r="C47"/>
      <c r="D47"/>
      <c r="E47"/>
      <c r="F47"/>
      <c r="G47"/>
    </row>
    <row r="48" spans="1:7" ht="14.1" customHeight="1">
      <c r="A48" s="354" t="s">
        <v>259</v>
      </c>
      <c r="B48" s="355">
        <f>SUM(B11:B46)</f>
        <v>2026641354</v>
      </c>
      <c r="C48" s="355">
        <f>SUM(C11:C46)</f>
        <v>-17834714</v>
      </c>
      <c r="D48" s="355">
        <f>SUM(D11:D46)</f>
        <v>2008806640</v>
      </c>
      <c r="E48" s="355">
        <f>SUM(E11:E46)</f>
        <v>-25577105</v>
      </c>
      <c r="F48" s="355">
        <f>SUM(F11:F46)</f>
        <v>1983229535</v>
      </c>
    </row>
    <row r="49" spans="1:6" ht="5.0999999999999996" customHeight="1">
      <c r="A49" s="25" t="s">
        <v>3</v>
      </c>
      <c r="B49" s="26"/>
      <c r="C49" s="26"/>
      <c r="D49" s="26"/>
      <c r="E49" s="26"/>
      <c r="F49" s="26"/>
    </row>
    <row r="50" spans="1:6" ht="14.1" customHeight="1">
      <c r="A50" s="23" t="s">
        <v>260</v>
      </c>
      <c r="B50" s="24">
        <v>3229025</v>
      </c>
      <c r="C50" s="24">
        <v>0</v>
      </c>
      <c r="D50" s="24">
        <f>B50+C50</f>
        <v>3229025</v>
      </c>
      <c r="E50" s="24">
        <f>-'- 15 -'!H50-'- 16 -'!B50</f>
        <v>-9500</v>
      </c>
      <c r="F50" s="24">
        <f>D50+E50</f>
        <v>3219525</v>
      </c>
    </row>
    <row r="51" spans="1:6" ht="14.1" customHeight="1">
      <c r="A51" s="351" t="s">
        <v>261</v>
      </c>
      <c r="B51" s="352">
        <v>18586012</v>
      </c>
      <c r="C51" s="352">
        <v>-948862</v>
      </c>
      <c r="D51" s="352">
        <f>B51+C51</f>
        <v>17637150</v>
      </c>
      <c r="E51" s="352">
        <f>-'- 15 -'!H51-'- 16 -'!B51</f>
        <v>-7747453</v>
      </c>
      <c r="F51" s="352">
        <f>D51+E51</f>
        <v>9889697</v>
      </c>
    </row>
    <row r="52" spans="1:6" ht="50.1" customHeight="1">
      <c r="A52" s="27"/>
      <c r="B52" s="27"/>
      <c r="C52" s="27"/>
      <c r="D52" s="27"/>
      <c r="E52" s="27"/>
      <c r="F52" s="27"/>
    </row>
    <row r="53" spans="1:6" ht="15" customHeight="1">
      <c r="A53" s="2" t="s">
        <v>540</v>
      </c>
      <c r="B53" s="28"/>
      <c r="C53" s="28"/>
      <c r="D53" s="28"/>
      <c r="E53" s="28"/>
      <c r="F53" s="28"/>
    </row>
    <row r="54" spans="1:6" ht="12" customHeight="1">
      <c r="A54" s="594" t="s">
        <v>541</v>
      </c>
      <c r="B54" s="28"/>
      <c r="C54" s="28"/>
      <c r="D54" s="28"/>
      <c r="E54" s="28"/>
      <c r="F54" s="28"/>
    </row>
    <row r="55" spans="1:6" ht="12" customHeight="1">
      <c r="A55" s="29" t="s">
        <v>364</v>
      </c>
      <c r="B55" s="28"/>
      <c r="C55" s="28"/>
      <c r="D55" s="28"/>
      <c r="E55" s="28"/>
      <c r="F55" s="28"/>
    </row>
    <row r="56" spans="1:6" ht="12" customHeight="1">
      <c r="A56" s="594" t="s">
        <v>542</v>
      </c>
      <c r="B56" s="28"/>
      <c r="C56" s="28"/>
      <c r="D56" s="28"/>
      <c r="E56" s="28"/>
      <c r="F56" s="28"/>
    </row>
    <row r="57" spans="1:6" ht="12" customHeight="1">
      <c r="A57" s="594" t="s">
        <v>543</v>
      </c>
    </row>
    <row r="58" spans="1:6" ht="12" customHeight="1">
      <c r="A58" s="594" t="s">
        <v>544</v>
      </c>
    </row>
    <row r="59" spans="1:6" ht="14.45" customHeight="1"/>
    <row r="64" spans="1:6">
      <c r="B64" s="1">
        <v>0</v>
      </c>
    </row>
    <row r="65536" spans="2:2">
      <c r="B65536" s="1">
        <v>0</v>
      </c>
    </row>
  </sheetData>
  <phoneticPr fontId="0" type="noConversion"/>
  <printOptions horizontalCentered="1"/>
  <pageMargins left="0.5" right="0.5" top="0.6" bottom="0" header="0.3" footer="0"/>
  <pageSetup scale="89" orientation="portrait" horizontalDpi="1200" verticalDpi="1200" r:id="rId1"/>
  <headerFooter alignWithMargins="0">
    <oddHeader>&amp;C&amp;"Arial,Bold"&amp;10&amp;A</oddHeader>
  </headerFooter>
</worksheet>
</file>

<file path=xl/worksheets/sheet20.xml><?xml version="1.0" encoding="utf-8"?>
<worksheet xmlns="http://schemas.openxmlformats.org/spreadsheetml/2006/main" xmlns:r="http://schemas.openxmlformats.org/officeDocument/2006/relationships">
  <sheetPr codeName="Sheet171">
    <pageSetUpPr fitToPage="1"/>
  </sheetPr>
  <dimension ref="A1:F59"/>
  <sheetViews>
    <sheetView showGridLines="0" showZeros="0" workbookViewId="0"/>
  </sheetViews>
  <sheetFormatPr defaultColWidth="15.83203125" defaultRowHeight="12"/>
  <cols>
    <col min="1" max="1" width="34.83203125" style="1" customWidth="1"/>
    <col min="2" max="2" width="19.6640625" style="1" customWidth="1"/>
    <col min="3" max="3" width="10.33203125" style="1" customWidth="1"/>
    <col min="4" max="4" width="19" style="1" customWidth="1"/>
    <col min="5" max="5" width="10.6640625" style="1" customWidth="1"/>
    <col min="6" max="6" width="25.83203125" style="1" customWidth="1"/>
    <col min="7" max="16384" width="15.83203125" style="1"/>
  </cols>
  <sheetData>
    <row r="1" spans="1:6" ht="6.95" customHeight="1">
      <c r="A1" s="3"/>
      <c r="B1" s="4"/>
      <c r="C1" s="4"/>
      <c r="D1" s="4"/>
      <c r="E1" s="4"/>
    </row>
    <row r="2" spans="1:6" ht="15.95" customHeight="1">
      <c r="A2" s="160"/>
      <c r="B2" s="5" t="s">
        <v>437</v>
      </c>
      <c r="C2" s="6"/>
      <c r="D2" s="6"/>
      <c r="E2" s="183"/>
      <c r="F2" s="183" t="s">
        <v>392</v>
      </c>
    </row>
    <row r="3" spans="1:6" ht="15.95" customHeight="1">
      <c r="A3" s="163"/>
      <c r="B3" s="7" t="str">
        <f>OPYEAR</f>
        <v>OPERATING FUND 2012/2013 BUDGET</v>
      </c>
      <c r="C3" s="8"/>
      <c r="D3" s="8"/>
      <c r="E3" s="100"/>
      <c r="F3" s="100"/>
    </row>
    <row r="4" spans="1:6" ht="15.95" customHeight="1">
      <c r="B4" s="4"/>
      <c r="C4" s="4"/>
      <c r="D4" s="4"/>
      <c r="E4" s="4"/>
    </row>
    <row r="5" spans="1:6" ht="15.95" customHeight="1">
      <c r="B5" s="165" t="s">
        <v>285</v>
      </c>
      <c r="C5" s="194"/>
      <c r="D5" s="71"/>
      <c r="E5" s="208"/>
    </row>
    <row r="6" spans="1:6" ht="15.95" customHeight="1">
      <c r="B6" s="345" t="s">
        <v>30</v>
      </c>
      <c r="C6" s="346"/>
      <c r="D6" s="405"/>
      <c r="E6" s="407"/>
    </row>
    <row r="7" spans="1:6" ht="15.95" customHeight="1">
      <c r="B7" s="348" t="s">
        <v>208</v>
      </c>
      <c r="C7" s="349"/>
      <c r="D7" s="348" t="s">
        <v>157</v>
      </c>
      <c r="E7" s="350"/>
    </row>
    <row r="8" spans="1:6" ht="15.95" customHeight="1">
      <c r="A8" s="101"/>
      <c r="B8" s="169"/>
      <c r="C8" s="168"/>
      <c r="D8" s="168"/>
      <c r="E8" s="169"/>
    </row>
    <row r="9" spans="1:6" ht="15.95" customHeight="1">
      <c r="A9" s="35" t="s">
        <v>79</v>
      </c>
      <c r="B9" s="112" t="s">
        <v>80</v>
      </c>
      <c r="C9" s="112" t="s">
        <v>81</v>
      </c>
      <c r="D9" s="112" t="s">
        <v>80</v>
      </c>
      <c r="E9" s="112" t="s">
        <v>81</v>
      </c>
    </row>
    <row r="10" spans="1:6" ht="5.0999999999999996" customHeight="1">
      <c r="A10" s="37"/>
    </row>
    <row r="11" spans="1:6" ht="14.1" customHeight="1">
      <c r="A11" s="351" t="s">
        <v>224</v>
      </c>
      <c r="B11" s="352">
        <v>0</v>
      </c>
      <c r="C11" s="353">
        <f>B11/'- 3 -'!$D11*100</f>
        <v>0</v>
      </c>
      <c r="D11" s="352">
        <v>0</v>
      </c>
      <c r="E11" s="353">
        <f>D11/'- 3 -'!$D11*100</f>
        <v>0</v>
      </c>
    </row>
    <row r="12" spans="1:6" ht="14.1" customHeight="1">
      <c r="A12" s="23" t="s">
        <v>225</v>
      </c>
      <c r="B12" s="24">
        <v>113135</v>
      </c>
      <c r="C12" s="344">
        <f>B12/'- 3 -'!$D12*100</f>
        <v>0.37709763580597966</v>
      </c>
      <c r="D12" s="24">
        <v>426844</v>
      </c>
      <c r="E12" s="344">
        <f>D12/'- 3 -'!$D12*100</f>
        <v>1.4227415323106694</v>
      </c>
    </row>
    <row r="13" spans="1:6" ht="14.1" customHeight="1">
      <c r="A13" s="351" t="s">
        <v>226</v>
      </c>
      <c r="B13" s="352">
        <v>0</v>
      </c>
      <c r="C13" s="353">
        <f>B13/'- 3 -'!$D13*100</f>
        <v>0</v>
      </c>
      <c r="D13" s="352">
        <v>0</v>
      </c>
      <c r="E13" s="353">
        <f>D13/'- 3 -'!$D13*100</f>
        <v>0</v>
      </c>
    </row>
    <row r="14" spans="1:6" ht="14.1" customHeight="1">
      <c r="A14" s="23" t="s">
        <v>524</v>
      </c>
      <c r="B14" s="24">
        <v>76680</v>
      </c>
      <c r="C14" s="344">
        <f>B14/'- 3 -'!$D14*100</f>
        <v>0.10730375129744411</v>
      </c>
      <c r="D14" s="24">
        <v>145154</v>
      </c>
      <c r="E14" s="344">
        <f>D14/'- 3 -'!$D14*100</f>
        <v>0.20312426598629632</v>
      </c>
    </row>
    <row r="15" spans="1:6" ht="14.1" customHeight="1">
      <c r="A15" s="351" t="s">
        <v>227</v>
      </c>
      <c r="B15" s="352">
        <v>0</v>
      </c>
      <c r="C15" s="353">
        <f>B15/'- 3 -'!$D15*100</f>
        <v>0</v>
      </c>
      <c r="D15" s="352">
        <v>0</v>
      </c>
      <c r="E15" s="353">
        <f>D15/'- 3 -'!$D15*100</f>
        <v>0</v>
      </c>
    </row>
    <row r="16" spans="1:6" ht="14.1" customHeight="1">
      <c r="A16" s="23" t="s">
        <v>228</v>
      </c>
      <c r="B16" s="24">
        <v>24350</v>
      </c>
      <c r="C16" s="344">
        <f>B16/'- 3 -'!$D16*100</f>
        <v>0.19238682282208636</v>
      </c>
      <c r="D16" s="24">
        <v>67950</v>
      </c>
      <c r="E16" s="344">
        <f>D16/'- 3 -'!$D16*100</f>
        <v>0.53686589777251614</v>
      </c>
    </row>
    <row r="17" spans="1:5" ht="14.1" customHeight="1">
      <c r="A17" s="351" t="s">
        <v>229</v>
      </c>
      <c r="B17" s="352">
        <v>0</v>
      </c>
      <c r="C17" s="353">
        <f>B17/'- 3 -'!$D17*100</f>
        <v>0</v>
      </c>
      <c r="D17" s="352">
        <v>0</v>
      </c>
      <c r="E17" s="353">
        <f>D17/'- 3 -'!$D17*100</f>
        <v>0</v>
      </c>
    </row>
    <row r="18" spans="1:5" ht="14.1" customHeight="1">
      <c r="A18" s="23" t="s">
        <v>230</v>
      </c>
      <c r="B18" s="24">
        <v>231927</v>
      </c>
      <c r="C18" s="344">
        <f>B18/'- 3 -'!$D18*100</f>
        <v>0.20138516545538343</v>
      </c>
      <c r="D18" s="24">
        <v>1582031</v>
      </c>
      <c r="E18" s="344">
        <f>D18/'- 3 -'!$D18*100</f>
        <v>1.3736976492195636</v>
      </c>
    </row>
    <row r="19" spans="1:5" ht="14.1" customHeight="1">
      <c r="A19" s="351" t="s">
        <v>231</v>
      </c>
      <c r="B19" s="352">
        <v>0</v>
      </c>
      <c r="C19" s="353">
        <f>B19/'- 3 -'!$D19*100</f>
        <v>0</v>
      </c>
      <c r="D19" s="352">
        <v>0</v>
      </c>
      <c r="E19" s="353">
        <f>D19/'- 3 -'!$D19*100</f>
        <v>0</v>
      </c>
    </row>
    <row r="20" spans="1:5" ht="14.1" customHeight="1">
      <c r="A20" s="23" t="s">
        <v>232</v>
      </c>
      <c r="B20" s="24">
        <v>0</v>
      </c>
      <c r="C20" s="344">
        <f>B20/'- 3 -'!$D20*100</f>
        <v>0</v>
      </c>
      <c r="D20" s="24">
        <v>0</v>
      </c>
      <c r="E20" s="344">
        <f>D20/'- 3 -'!$D20*100</f>
        <v>0</v>
      </c>
    </row>
    <row r="21" spans="1:5" ht="14.1" customHeight="1">
      <c r="A21" s="351" t="s">
        <v>233</v>
      </c>
      <c r="B21" s="352">
        <v>0</v>
      </c>
      <c r="C21" s="353">
        <f>B21/'- 3 -'!$D21*100</f>
        <v>0</v>
      </c>
      <c r="D21" s="352">
        <v>0</v>
      </c>
      <c r="E21" s="353">
        <f>D21/'- 3 -'!$D21*100</f>
        <v>0</v>
      </c>
    </row>
    <row r="22" spans="1:5" ht="14.1" customHeight="1">
      <c r="A22" s="23" t="s">
        <v>234</v>
      </c>
      <c r="B22" s="24">
        <v>131050</v>
      </c>
      <c r="C22" s="344">
        <f>B22/'- 3 -'!$D22*100</f>
        <v>0.68887810116704518</v>
      </c>
      <c r="D22" s="24">
        <v>533310</v>
      </c>
      <c r="E22" s="344">
        <f>D22/'- 3 -'!$D22*100</f>
        <v>2.8034000773246612</v>
      </c>
    </row>
    <row r="23" spans="1:5" ht="14.1" customHeight="1">
      <c r="A23" s="351" t="s">
        <v>235</v>
      </c>
      <c r="B23" s="352">
        <v>32000</v>
      </c>
      <c r="C23" s="353">
        <f>B23/'- 3 -'!$D23*100</f>
        <v>0.20556331414314147</v>
      </c>
      <c r="D23" s="352">
        <v>208000</v>
      </c>
      <c r="E23" s="353">
        <f>D23/'- 3 -'!$D23*100</f>
        <v>1.3361615419304194</v>
      </c>
    </row>
    <row r="24" spans="1:5" ht="14.1" customHeight="1">
      <c r="A24" s="23" t="s">
        <v>236</v>
      </c>
      <c r="B24" s="24">
        <v>135415</v>
      </c>
      <c r="C24" s="344">
        <f>B24/'- 3 -'!$D24*100</f>
        <v>0.26548262246994808</v>
      </c>
      <c r="D24" s="24">
        <v>221095</v>
      </c>
      <c r="E24" s="344">
        <f>D24/'- 3 -'!$D24*100</f>
        <v>0.43345922102420831</v>
      </c>
    </row>
    <row r="25" spans="1:5" ht="14.1" customHeight="1">
      <c r="A25" s="351" t="s">
        <v>237</v>
      </c>
      <c r="B25" s="352">
        <v>0</v>
      </c>
      <c r="C25" s="353">
        <f>B25/'- 3 -'!$D25*100</f>
        <v>0</v>
      </c>
      <c r="D25" s="352">
        <v>0</v>
      </c>
      <c r="E25" s="353">
        <f>D25/'- 3 -'!$D25*100</f>
        <v>0</v>
      </c>
    </row>
    <row r="26" spans="1:5" ht="14.1" customHeight="1">
      <c r="A26" s="23" t="s">
        <v>238</v>
      </c>
      <c r="B26" s="24">
        <v>0</v>
      </c>
      <c r="C26" s="344">
        <f>B26/'- 3 -'!$D26*100</f>
        <v>0</v>
      </c>
      <c r="D26" s="24">
        <v>0</v>
      </c>
      <c r="E26" s="344">
        <f>D26/'- 3 -'!$D26*100</f>
        <v>0</v>
      </c>
    </row>
    <row r="27" spans="1:5" ht="14.1" customHeight="1">
      <c r="A27" s="351" t="s">
        <v>239</v>
      </c>
      <c r="B27" s="352">
        <v>0</v>
      </c>
      <c r="C27" s="353">
        <f>B27/'- 3 -'!$D27*100</f>
        <v>0</v>
      </c>
      <c r="D27" s="352">
        <v>0</v>
      </c>
      <c r="E27" s="353">
        <f>D27/'- 3 -'!$D27*100</f>
        <v>0</v>
      </c>
    </row>
    <row r="28" spans="1:5" ht="14.1" customHeight="1">
      <c r="A28" s="23" t="s">
        <v>240</v>
      </c>
      <c r="B28" s="24">
        <v>0</v>
      </c>
      <c r="C28" s="344">
        <f>B28/'- 3 -'!$D28*100</f>
        <v>0</v>
      </c>
      <c r="D28" s="24">
        <v>140856</v>
      </c>
      <c r="E28" s="344">
        <f>D28/'- 3 -'!$D28*100</f>
        <v>0.54946261646424144</v>
      </c>
    </row>
    <row r="29" spans="1:5" ht="14.1" customHeight="1">
      <c r="A29" s="351" t="s">
        <v>241</v>
      </c>
      <c r="B29" s="352">
        <v>0</v>
      </c>
      <c r="C29" s="353">
        <f>B29/'- 3 -'!$D29*100</f>
        <v>0</v>
      </c>
      <c r="D29" s="352">
        <v>0</v>
      </c>
      <c r="E29" s="353">
        <f>D29/'- 3 -'!$D29*100</f>
        <v>0</v>
      </c>
    </row>
    <row r="30" spans="1:5" ht="14.1" customHeight="1">
      <c r="A30" s="23" t="s">
        <v>242</v>
      </c>
      <c r="B30" s="24">
        <v>0</v>
      </c>
      <c r="C30" s="344">
        <f>B30/'- 3 -'!$D30*100</f>
        <v>0</v>
      </c>
      <c r="D30" s="24">
        <v>0</v>
      </c>
      <c r="E30" s="344">
        <f>D30/'- 3 -'!$D30*100</f>
        <v>0</v>
      </c>
    </row>
    <row r="31" spans="1:5" ht="14.1" customHeight="1">
      <c r="A31" s="351" t="s">
        <v>243</v>
      </c>
      <c r="B31" s="352">
        <v>0</v>
      </c>
      <c r="C31" s="353">
        <f>B31/'- 3 -'!$D31*100</f>
        <v>0</v>
      </c>
      <c r="D31" s="352">
        <v>0</v>
      </c>
      <c r="E31" s="353">
        <f>D31/'- 3 -'!$D31*100</f>
        <v>0</v>
      </c>
    </row>
    <row r="32" spans="1:5" ht="14.1" customHeight="1">
      <c r="A32" s="23" t="s">
        <v>244</v>
      </c>
      <c r="B32" s="24">
        <v>57100</v>
      </c>
      <c r="C32" s="344">
        <f>B32/'- 3 -'!$D32*100</f>
        <v>0.23122247728684597</v>
      </c>
      <c r="D32" s="24">
        <v>193300</v>
      </c>
      <c r="E32" s="344">
        <f>D32/'- 3 -'!$D32*100</f>
        <v>0.78275490121799185</v>
      </c>
    </row>
    <row r="33" spans="1:5" ht="14.1" customHeight="1">
      <c r="A33" s="351" t="s">
        <v>245</v>
      </c>
      <c r="B33" s="352">
        <v>0</v>
      </c>
      <c r="C33" s="353">
        <f>B33/'- 3 -'!$D33*100</f>
        <v>0</v>
      </c>
      <c r="D33" s="352">
        <v>0</v>
      </c>
      <c r="E33" s="353">
        <f>D33/'- 3 -'!$D33*100</f>
        <v>0</v>
      </c>
    </row>
    <row r="34" spans="1:5" ht="14.1" customHeight="1">
      <c r="A34" s="23" t="s">
        <v>246</v>
      </c>
      <c r="B34" s="24">
        <v>0</v>
      </c>
      <c r="C34" s="344">
        <f>B34/'- 3 -'!$D34*100</f>
        <v>0</v>
      </c>
      <c r="D34" s="24">
        <v>0</v>
      </c>
      <c r="E34" s="344">
        <f>D34/'- 3 -'!$D34*100</f>
        <v>0</v>
      </c>
    </row>
    <row r="35" spans="1:5" ht="14.1" customHeight="1">
      <c r="A35" s="351" t="s">
        <v>247</v>
      </c>
      <c r="B35" s="352">
        <v>0</v>
      </c>
      <c r="C35" s="353">
        <f>B35/'- 3 -'!$D35*100</f>
        <v>0</v>
      </c>
      <c r="D35" s="352">
        <v>0</v>
      </c>
      <c r="E35" s="353">
        <f>D35/'- 3 -'!$D35*100</f>
        <v>0</v>
      </c>
    </row>
    <row r="36" spans="1:5" ht="14.1" customHeight="1">
      <c r="A36" s="23" t="s">
        <v>248</v>
      </c>
      <c r="B36" s="24">
        <v>0</v>
      </c>
      <c r="C36" s="344">
        <f>B36/'- 3 -'!$D36*100</f>
        <v>0</v>
      </c>
      <c r="D36" s="24">
        <v>0</v>
      </c>
      <c r="E36" s="344">
        <f>D36/'- 3 -'!$D36*100</f>
        <v>0</v>
      </c>
    </row>
    <row r="37" spans="1:5" ht="14.1" customHeight="1">
      <c r="A37" s="351" t="s">
        <v>249</v>
      </c>
      <c r="B37" s="352">
        <v>0</v>
      </c>
      <c r="C37" s="353">
        <f>B37/'- 3 -'!$D37*100</f>
        <v>0</v>
      </c>
      <c r="D37" s="352">
        <v>0</v>
      </c>
      <c r="E37" s="353">
        <f>D37/'- 3 -'!$D37*100</f>
        <v>0</v>
      </c>
    </row>
    <row r="38" spans="1:5" ht="14.1" customHeight="1">
      <c r="A38" s="23" t="s">
        <v>250</v>
      </c>
      <c r="B38" s="24">
        <v>228130</v>
      </c>
      <c r="C38" s="344">
        <f>B38/'- 3 -'!$D38*100</f>
        <v>0.20380031803319695</v>
      </c>
      <c r="D38" s="24">
        <v>266970</v>
      </c>
      <c r="E38" s="344">
        <f>D38/'- 3 -'!$D38*100</f>
        <v>0.23849809716092835</v>
      </c>
    </row>
    <row r="39" spans="1:5" ht="14.1" customHeight="1">
      <c r="A39" s="351" t="s">
        <v>251</v>
      </c>
      <c r="B39" s="352">
        <v>0</v>
      </c>
      <c r="C39" s="353">
        <f>B39/'- 3 -'!$D39*100</f>
        <v>0</v>
      </c>
      <c r="D39" s="352">
        <v>0</v>
      </c>
      <c r="E39" s="353">
        <f>D39/'- 3 -'!$D39*100</f>
        <v>0</v>
      </c>
    </row>
    <row r="40" spans="1:5" ht="14.1" customHeight="1">
      <c r="A40" s="23" t="s">
        <v>252</v>
      </c>
      <c r="B40" s="24">
        <v>0</v>
      </c>
      <c r="C40" s="344">
        <f>B40/'- 3 -'!$D40*100</f>
        <v>0</v>
      </c>
      <c r="D40" s="24">
        <v>0</v>
      </c>
      <c r="E40" s="344">
        <f>D40/'- 3 -'!$D40*100</f>
        <v>0</v>
      </c>
    </row>
    <row r="41" spans="1:5" ht="14.1" customHeight="1">
      <c r="A41" s="351" t="s">
        <v>253</v>
      </c>
      <c r="B41" s="352">
        <v>392821</v>
      </c>
      <c r="C41" s="353">
        <f>B41/'- 3 -'!$D41*100</f>
        <v>0.69129939052932809</v>
      </c>
      <c r="D41" s="352">
        <v>583048</v>
      </c>
      <c r="E41" s="353">
        <f>D41/'- 3 -'!$D41*100</f>
        <v>1.0260671579404963</v>
      </c>
    </row>
    <row r="42" spans="1:5" ht="14.1" customHeight="1">
      <c r="A42" s="23" t="s">
        <v>254</v>
      </c>
      <c r="B42" s="24">
        <v>0</v>
      </c>
      <c r="C42" s="344">
        <f>B42/'- 3 -'!$D42*100</f>
        <v>0</v>
      </c>
      <c r="D42" s="24">
        <v>0</v>
      </c>
      <c r="E42" s="344">
        <f>D42/'- 3 -'!$D42*100</f>
        <v>0</v>
      </c>
    </row>
    <row r="43" spans="1:5" ht="14.1" customHeight="1">
      <c r="A43" s="351" t="s">
        <v>255</v>
      </c>
      <c r="B43" s="352">
        <v>3297</v>
      </c>
      <c r="C43" s="353">
        <f>B43/'- 3 -'!$D43*100</f>
        <v>2.7902028926880519E-2</v>
      </c>
      <c r="D43" s="352">
        <v>236650</v>
      </c>
      <c r="E43" s="353">
        <f>D43/'- 3 -'!$D43*100</f>
        <v>2.0027343480577118</v>
      </c>
    </row>
    <row r="44" spans="1:5" ht="14.1" customHeight="1">
      <c r="A44" s="23" t="s">
        <v>256</v>
      </c>
      <c r="B44" s="24">
        <v>0</v>
      </c>
      <c r="C44" s="344">
        <f>B44/'- 3 -'!$D44*100</f>
        <v>0</v>
      </c>
      <c r="D44" s="24">
        <v>0</v>
      </c>
      <c r="E44" s="344">
        <f>D44/'- 3 -'!$D44*100</f>
        <v>0</v>
      </c>
    </row>
    <row r="45" spans="1:5" ht="14.1" customHeight="1">
      <c r="A45" s="351" t="s">
        <v>257</v>
      </c>
      <c r="B45" s="352">
        <v>176782</v>
      </c>
      <c r="C45" s="353">
        <f>B45/'- 3 -'!$D45*100</f>
        <v>1.0798185671229934</v>
      </c>
      <c r="D45" s="352">
        <v>191518</v>
      </c>
      <c r="E45" s="353">
        <f>D45/'- 3 -'!$D45*100</f>
        <v>1.1698288985205589</v>
      </c>
    </row>
    <row r="46" spans="1:5" ht="14.1" customHeight="1">
      <c r="A46" s="23" t="s">
        <v>258</v>
      </c>
      <c r="B46" s="24">
        <v>124700</v>
      </c>
      <c r="C46" s="344">
        <f>B46/'- 3 -'!$D46*100</f>
        <v>3.5364359248574014E-2</v>
      </c>
      <c r="D46" s="24">
        <v>636400</v>
      </c>
      <c r="E46" s="344">
        <f>D46/'- 3 -'!$D46*100</f>
        <v>0.18048017823410187</v>
      </c>
    </row>
    <row r="47" spans="1:5" ht="5.0999999999999996" customHeight="1">
      <c r="A47"/>
      <c r="B47"/>
      <c r="C47"/>
      <c r="D47"/>
      <c r="E47"/>
    </row>
    <row r="48" spans="1:5" ht="14.1" customHeight="1">
      <c r="A48" s="354" t="s">
        <v>259</v>
      </c>
      <c r="B48" s="355">
        <f>SUM(B11:B46)</f>
        <v>1727387</v>
      </c>
      <c r="C48" s="356">
        <f>B48/'- 3 -'!$D48*100</f>
        <v>8.599070540706695E-2</v>
      </c>
      <c r="D48" s="355">
        <f>SUM(D11:D46)</f>
        <v>5433126</v>
      </c>
      <c r="E48" s="356">
        <f>D48/'- 3 -'!$D48*100</f>
        <v>0.270465354495244</v>
      </c>
    </row>
    <row r="49" spans="1:5" ht="5.0999999999999996" customHeight="1">
      <c r="A49" s="25" t="s">
        <v>3</v>
      </c>
      <c r="B49" s="26"/>
      <c r="C49" s="343"/>
      <c r="D49" s="26"/>
      <c r="E49" s="343"/>
    </row>
    <row r="50" spans="1:5" ht="14.1" customHeight="1">
      <c r="A50" s="23" t="s">
        <v>260</v>
      </c>
      <c r="B50" s="24">
        <v>0</v>
      </c>
      <c r="C50" s="344">
        <f>B50/'- 3 -'!$D50*100</f>
        <v>0</v>
      </c>
      <c r="D50" s="24">
        <v>0</v>
      </c>
      <c r="E50" s="344">
        <f>D50/'- 3 -'!$D50*100</f>
        <v>0</v>
      </c>
    </row>
    <row r="51" spans="1:5" ht="14.1" customHeight="1">
      <c r="A51" s="351" t="s">
        <v>261</v>
      </c>
      <c r="B51" s="352">
        <v>786001</v>
      </c>
      <c r="C51" s="353">
        <f>B51/'- 3 -'!$D51*100</f>
        <v>4.4565079959063683</v>
      </c>
      <c r="D51" s="352">
        <v>1589713</v>
      </c>
      <c r="E51" s="353">
        <f>D51/'- 3 -'!$D51*100</f>
        <v>9.013434710256476</v>
      </c>
    </row>
    <row r="52" spans="1:5" ht="50.1" customHeight="1"/>
    <row r="53" spans="1:5" ht="15" customHeight="1">
      <c r="A53" s="159"/>
    </row>
    <row r="54" spans="1:5" ht="14.45" customHeight="1"/>
    <row r="55" spans="1:5" ht="14.45" customHeight="1"/>
    <row r="56" spans="1:5" ht="14.45" customHeight="1"/>
    <row r="57" spans="1:5" ht="14.45" customHeight="1"/>
    <row r="58" spans="1:5" ht="14.45" customHeight="1">
      <c r="A58" s="28"/>
    </row>
    <row r="59" spans="1:5" ht="14.45" customHeight="1"/>
  </sheetData>
  <phoneticPr fontId="0" type="noConversion"/>
  <printOptions horizontalCentered="1"/>
  <pageMargins left="0.51181102362204722" right="0.51181102362204722" top="0.59055118110236227" bottom="0" header="0.31496062992125984" footer="0"/>
  <pageSetup scale="92" orientation="portrait" r:id="rId1"/>
  <headerFooter alignWithMargins="0">
    <oddHeader>&amp;C&amp;"Arial,Bold"&amp;10&amp;A</oddHeader>
  </headerFooter>
</worksheet>
</file>

<file path=xl/worksheets/sheet21.xml><?xml version="1.0" encoding="utf-8"?>
<worksheet xmlns="http://schemas.openxmlformats.org/spreadsheetml/2006/main" xmlns:r="http://schemas.openxmlformats.org/officeDocument/2006/relationships">
  <sheetPr codeName="Sheet20">
    <pageSetUpPr fitToPage="1"/>
  </sheetPr>
  <dimension ref="A1:I59"/>
  <sheetViews>
    <sheetView showGridLines="0" showZeros="0" workbookViewId="0"/>
  </sheetViews>
  <sheetFormatPr defaultColWidth="15.83203125" defaultRowHeight="12"/>
  <cols>
    <col min="1" max="1" width="29.33203125" style="1" customWidth="1"/>
    <col min="2" max="2" width="12.83203125" style="1" customWidth="1"/>
    <col min="3" max="3" width="8.83203125" style="1" customWidth="1"/>
    <col min="4" max="4" width="16.83203125" style="1" customWidth="1"/>
    <col min="5" max="5" width="8.83203125" style="1" customWidth="1"/>
    <col min="6" max="6" width="16.1640625" style="1" customWidth="1"/>
    <col min="7" max="7" width="8.83203125" style="1" customWidth="1"/>
    <col min="8" max="8" width="15.33203125" style="1" customWidth="1"/>
    <col min="9" max="9" width="8.83203125" style="1" customWidth="1"/>
    <col min="10" max="16384" width="15.83203125" style="1"/>
  </cols>
  <sheetData>
    <row r="1" spans="1:9" ht="6.95" customHeight="1">
      <c r="A1" s="3"/>
      <c r="B1" s="4"/>
      <c r="C1" s="4"/>
      <c r="D1" s="4"/>
      <c r="E1" s="4"/>
      <c r="F1" s="4"/>
      <c r="G1" s="4"/>
      <c r="H1" s="4"/>
      <c r="I1" s="4"/>
    </row>
    <row r="2" spans="1:9" ht="15.95" customHeight="1">
      <c r="A2" s="160"/>
      <c r="B2" s="5" t="s">
        <v>437</v>
      </c>
      <c r="C2" s="6"/>
      <c r="D2" s="6"/>
      <c r="E2" s="6"/>
      <c r="F2" s="6"/>
      <c r="G2" s="105"/>
      <c r="H2" s="105"/>
      <c r="I2" s="183" t="s">
        <v>391</v>
      </c>
    </row>
    <row r="3" spans="1:9" ht="15.95" customHeight="1">
      <c r="A3" s="163"/>
      <c r="B3" s="7" t="str">
        <f>OPYEAR</f>
        <v>OPERATING FUND 2012/2013 BUDGET</v>
      </c>
      <c r="C3" s="8"/>
      <c r="D3" s="8"/>
      <c r="E3" s="8"/>
      <c r="F3" s="8"/>
      <c r="G3" s="107"/>
      <c r="H3" s="107"/>
      <c r="I3" s="100"/>
    </row>
    <row r="4" spans="1:9" ht="15.95" customHeight="1">
      <c r="B4" s="4"/>
      <c r="C4" s="4"/>
      <c r="D4" s="4"/>
      <c r="E4" s="4"/>
      <c r="F4" s="4"/>
      <c r="G4" s="4"/>
      <c r="H4" s="4"/>
      <c r="I4" s="4"/>
    </row>
    <row r="5" spans="1:9" ht="15.95" customHeight="1">
      <c r="B5" s="184" t="s">
        <v>13</v>
      </c>
      <c r="C5" s="185"/>
      <c r="D5" s="186"/>
      <c r="E5" s="186"/>
      <c r="F5" s="186"/>
      <c r="G5" s="186"/>
      <c r="H5" s="186"/>
      <c r="I5" s="187"/>
    </row>
    <row r="6" spans="1:9" ht="15.95" customHeight="1">
      <c r="B6" s="345"/>
      <c r="C6" s="347"/>
      <c r="D6" s="345" t="s">
        <v>380</v>
      </c>
      <c r="E6" s="347"/>
      <c r="F6" s="405"/>
      <c r="G6" s="407"/>
      <c r="H6" s="345"/>
      <c r="I6" s="347"/>
    </row>
    <row r="7" spans="1:9" ht="15.95" customHeight="1">
      <c r="B7" s="424" t="s">
        <v>220</v>
      </c>
      <c r="C7" s="433"/>
      <c r="D7" s="424" t="s">
        <v>497</v>
      </c>
      <c r="E7" s="433"/>
      <c r="F7" s="424" t="s">
        <v>37</v>
      </c>
      <c r="G7" s="433"/>
      <c r="H7" s="424" t="s">
        <v>178</v>
      </c>
      <c r="I7" s="433"/>
    </row>
    <row r="8" spans="1:9" ht="15.95" customHeight="1">
      <c r="A8" s="101"/>
      <c r="B8" s="348" t="s">
        <v>76</v>
      </c>
      <c r="C8" s="350"/>
      <c r="D8" s="348" t="s">
        <v>498</v>
      </c>
      <c r="E8" s="350"/>
      <c r="F8" s="348" t="s">
        <v>60</v>
      </c>
      <c r="G8" s="350"/>
      <c r="H8" s="348" t="s">
        <v>76</v>
      </c>
      <c r="I8" s="350"/>
    </row>
    <row r="9" spans="1:9" ht="15.95" customHeight="1">
      <c r="A9" s="35" t="s">
        <v>79</v>
      </c>
      <c r="B9" s="188" t="s">
        <v>80</v>
      </c>
      <c r="C9" s="188" t="s">
        <v>81</v>
      </c>
      <c r="D9" s="188" t="s">
        <v>80</v>
      </c>
      <c r="E9" s="188" t="s">
        <v>81</v>
      </c>
      <c r="F9" s="188" t="s">
        <v>80</v>
      </c>
      <c r="G9" s="188" t="s">
        <v>81</v>
      </c>
      <c r="H9" s="188" t="s">
        <v>80</v>
      </c>
      <c r="I9" s="188" t="s">
        <v>81</v>
      </c>
    </row>
    <row r="10" spans="1:9" ht="5.0999999999999996" customHeight="1">
      <c r="A10" s="37"/>
    </row>
    <row r="11" spans="1:9" ht="14.1" customHeight="1">
      <c r="A11" s="351" t="s">
        <v>224</v>
      </c>
      <c r="B11" s="352">
        <v>0</v>
      </c>
      <c r="C11" s="353">
        <f>B11/'- 3 -'!$D11*100</f>
        <v>0</v>
      </c>
      <c r="D11" s="352">
        <v>0</v>
      </c>
      <c r="E11" s="353">
        <f>D11/'- 3 -'!$D11*100</f>
        <v>0</v>
      </c>
      <c r="F11" s="352">
        <v>0</v>
      </c>
      <c r="G11" s="353">
        <f>F11/'- 3 -'!$D11*100</f>
        <v>0</v>
      </c>
      <c r="H11" s="352">
        <v>18870</v>
      </c>
      <c r="I11" s="353">
        <f>H11/'- 3 -'!$D11*100</f>
        <v>0.11894436404161225</v>
      </c>
    </row>
    <row r="12" spans="1:9" ht="14.1" customHeight="1">
      <c r="A12" s="23" t="s">
        <v>225</v>
      </c>
      <c r="B12" s="24">
        <v>0</v>
      </c>
      <c r="C12" s="344">
        <f>B12/'- 3 -'!$D12*100</f>
        <v>0</v>
      </c>
      <c r="D12" s="24">
        <v>0</v>
      </c>
      <c r="E12" s="344">
        <f>D12/'- 3 -'!$D12*100</f>
        <v>0</v>
      </c>
      <c r="F12" s="24">
        <v>0</v>
      </c>
      <c r="G12" s="344">
        <f>F12/'- 3 -'!$D12*100</f>
        <v>0</v>
      </c>
      <c r="H12" s="24">
        <v>56748</v>
      </c>
      <c r="I12" s="344">
        <f>H12/'- 3 -'!$D12*100</f>
        <v>0.18915045420707768</v>
      </c>
    </row>
    <row r="13" spans="1:9" ht="14.1" customHeight="1">
      <c r="A13" s="351" t="s">
        <v>226</v>
      </c>
      <c r="B13" s="352">
        <v>0</v>
      </c>
      <c r="C13" s="353">
        <f>B13/'- 3 -'!$D13*100</f>
        <v>0</v>
      </c>
      <c r="D13" s="352">
        <v>0</v>
      </c>
      <c r="E13" s="353">
        <f>D13/'- 3 -'!$D13*100</f>
        <v>0</v>
      </c>
      <c r="F13" s="352">
        <v>69700</v>
      </c>
      <c r="G13" s="353">
        <f>F13/'- 3 -'!$D13*100</f>
        <v>8.8919166481684173E-2</v>
      </c>
      <c r="H13" s="352">
        <v>185900</v>
      </c>
      <c r="I13" s="353">
        <f>H13/'- 3 -'!$D13*100</f>
        <v>0.23716030199347329</v>
      </c>
    </row>
    <row r="14" spans="1:9" ht="14.1" customHeight="1">
      <c r="A14" s="23" t="s">
        <v>524</v>
      </c>
      <c r="B14" s="24">
        <v>0</v>
      </c>
      <c r="C14" s="344">
        <f>B14/'- 3 -'!$D14*100</f>
        <v>0</v>
      </c>
      <c r="D14" s="24">
        <v>0</v>
      </c>
      <c r="E14" s="344">
        <f>D14/'- 3 -'!$D14*100</f>
        <v>0</v>
      </c>
      <c r="F14" s="24">
        <v>0</v>
      </c>
      <c r="G14" s="344">
        <f>F14/'- 3 -'!$D14*100</f>
        <v>0</v>
      </c>
      <c r="H14" s="24">
        <v>713083</v>
      </c>
      <c r="I14" s="344">
        <f>H14/'- 3 -'!$D14*100</f>
        <v>0.99786751286431064</v>
      </c>
    </row>
    <row r="15" spans="1:9" ht="14.1" customHeight="1">
      <c r="A15" s="351" t="s">
        <v>227</v>
      </c>
      <c r="B15" s="352">
        <v>0</v>
      </c>
      <c r="C15" s="353">
        <f>B15/'- 3 -'!$D15*100</f>
        <v>0</v>
      </c>
      <c r="D15" s="352">
        <v>0</v>
      </c>
      <c r="E15" s="353">
        <f>D15/'- 3 -'!$D15*100</f>
        <v>0</v>
      </c>
      <c r="F15" s="352">
        <v>0</v>
      </c>
      <c r="G15" s="353">
        <f>F15/'- 3 -'!$D15*100</f>
        <v>0</v>
      </c>
      <c r="H15" s="352">
        <v>45000</v>
      </c>
      <c r="I15" s="353">
        <f>H15/'- 3 -'!$D15*100</f>
        <v>0.24057374593049458</v>
      </c>
    </row>
    <row r="16" spans="1:9" ht="14.1" customHeight="1">
      <c r="A16" s="23" t="s">
        <v>228</v>
      </c>
      <c r="B16" s="24">
        <v>0</v>
      </c>
      <c r="C16" s="344">
        <f>B16/'- 3 -'!$D16*100</f>
        <v>0</v>
      </c>
      <c r="D16" s="24">
        <v>0</v>
      </c>
      <c r="E16" s="344">
        <f>D16/'- 3 -'!$D16*100</f>
        <v>0</v>
      </c>
      <c r="F16" s="24">
        <v>0</v>
      </c>
      <c r="G16" s="344">
        <f>F16/'- 3 -'!$D16*100</f>
        <v>0</v>
      </c>
      <c r="H16" s="24">
        <v>13500</v>
      </c>
      <c r="I16" s="344">
        <f>H16/'- 3 -'!$D16*100</f>
        <v>0.1066620988952019</v>
      </c>
    </row>
    <row r="17" spans="1:9" ht="14.1" customHeight="1">
      <c r="A17" s="351" t="s">
        <v>229</v>
      </c>
      <c r="B17" s="352">
        <v>0</v>
      </c>
      <c r="C17" s="353">
        <f>B17/'- 3 -'!$D17*100</f>
        <v>0</v>
      </c>
      <c r="D17" s="352">
        <v>0</v>
      </c>
      <c r="E17" s="353">
        <f>D17/'- 3 -'!$D17*100</f>
        <v>0</v>
      </c>
      <c r="F17" s="352">
        <v>0</v>
      </c>
      <c r="G17" s="353">
        <f>F17/'- 3 -'!$D17*100</f>
        <v>0</v>
      </c>
      <c r="H17" s="352">
        <v>225600</v>
      </c>
      <c r="I17" s="353">
        <f>H17/'- 3 -'!$D17*100</f>
        <v>1.3840268334337202</v>
      </c>
    </row>
    <row r="18" spans="1:9" ht="14.1" customHeight="1">
      <c r="A18" s="23" t="s">
        <v>230</v>
      </c>
      <c r="B18" s="24">
        <v>0</v>
      </c>
      <c r="C18" s="344">
        <f>B18/'- 3 -'!$D18*100</f>
        <v>0</v>
      </c>
      <c r="D18" s="24">
        <v>0</v>
      </c>
      <c r="E18" s="344">
        <f>D18/'- 3 -'!$D18*100</f>
        <v>0</v>
      </c>
      <c r="F18" s="24">
        <v>938832</v>
      </c>
      <c r="G18" s="344">
        <f>F18/'- 3 -'!$D18*100</f>
        <v>0.81519977257847753</v>
      </c>
      <c r="H18" s="24">
        <v>1590150</v>
      </c>
      <c r="I18" s="344">
        <f>H18/'- 3 -'!$D18*100</f>
        <v>1.3807474802367901</v>
      </c>
    </row>
    <row r="19" spans="1:9" ht="14.1" customHeight="1">
      <c r="A19" s="351" t="s">
        <v>231</v>
      </c>
      <c r="B19" s="352">
        <v>0</v>
      </c>
      <c r="C19" s="353">
        <f>B19/'- 3 -'!$D19*100</f>
        <v>0</v>
      </c>
      <c r="D19" s="352">
        <v>0</v>
      </c>
      <c r="E19" s="353">
        <f>D19/'- 3 -'!$D19*100</f>
        <v>0</v>
      </c>
      <c r="F19" s="352">
        <v>0</v>
      </c>
      <c r="G19" s="353">
        <f>F19/'- 3 -'!$D19*100</f>
        <v>0</v>
      </c>
      <c r="H19" s="352">
        <v>84700</v>
      </c>
      <c r="I19" s="353">
        <f>H19/'- 3 -'!$D19*100</f>
        <v>0.2166731664353056</v>
      </c>
    </row>
    <row r="20" spans="1:9" ht="14.1" customHeight="1">
      <c r="A20" s="23" t="s">
        <v>232</v>
      </c>
      <c r="B20" s="24">
        <v>0</v>
      </c>
      <c r="C20" s="344">
        <f>B20/'- 3 -'!$D20*100</f>
        <v>0</v>
      </c>
      <c r="D20" s="24">
        <v>0</v>
      </c>
      <c r="E20" s="344">
        <f>D20/'- 3 -'!$D20*100</f>
        <v>0</v>
      </c>
      <c r="F20" s="24">
        <v>0</v>
      </c>
      <c r="G20" s="344">
        <f>F20/'- 3 -'!$D20*100</f>
        <v>0</v>
      </c>
      <c r="H20" s="24">
        <v>125700</v>
      </c>
      <c r="I20" s="344">
        <f>H20/'- 3 -'!$D20*100</f>
        <v>0.18575714137936131</v>
      </c>
    </row>
    <row r="21" spans="1:9" ht="14.1" customHeight="1">
      <c r="A21" s="351" t="s">
        <v>233</v>
      </c>
      <c r="B21" s="352">
        <v>143000</v>
      </c>
      <c r="C21" s="353">
        <f>B21/'- 3 -'!$D21*100</f>
        <v>0.43927202488429939</v>
      </c>
      <c r="D21" s="352">
        <v>0</v>
      </c>
      <c r="E21" s="353">
        <f>D21/'- 3 -'!$D21*100</f>
        <v>0</v>
      </c>
      <c r="F21" s="352">
        <v>0</v>
      </c>
      <c r="G21" s="353">
        <f>F21/'- 3 -'!$D21*100</f>
        <v>0</v>
      </c>
      <c r="H21" s="352">
        <v>57500</v>
      </c>
      <c r="I21" s="353">
        <f>H21/'- 3 -'!$D21*100</f>
        <v>0.17663035965627424</v>
      </c>
    </row>
    <row r="22" spans="1:9" ht="14.1" customHeight="1">
      <c r="A22" s="23" t="s">
        <v>234</v>
      </c>
      <c r="B22" s="24">
        <v>0</v>
      </c>
      <c r="C22" s="344">
        <f>B22/'- 3 -'!$D22*100</f>
        <v>0</v>
      </c>
      <c r="D22" s="24">
        <v>0</v>
      </c>
      <c r="E22" s="344">
        <f>D22/'- 3 -'!$D22*100</f>
        <v>0</v>
      </c>
      <c r="F22" s="24">
        <v>76450</v>
      </c>
      <c r="G22" s="344">
        <f>F22/'- 3 -'!$D22*100</f>
        <v>0.40186746153544911</v>
      </c>
      <c r="H22" s="24">
        <v>0</v>
      </c>
      <c r="I22" s="344">
        <f>H22/'- 3 -'!$D22*100</f>
        <v>0</v>
      </c>
    </row>
    <row r="23" spans="1:9" ht="14.1" customHeight="1">
      <c r="A23" s="351" t="s">
        <v>235</v>
      </c>
      <c r="B23" s="352">
        <v>119000</v>
      </c>
      <c r="C23" s="353">
        <f>B23/'- 3 -'!$D23*100</f>
        <v>0.76443857446980723</v>
      </c>
      <c r="D23" s="352">
        <v>0</v>
      </c>
      <c r="E23" s="353">
        <f>D23/'- 3 -'!$D23*100</f>
        <v>0</v>
      </c>
      <c r="F23" s="352">
        <v>113000</v>
      </c>
      <c r="G23" s="353">
        <f>F23/'- 3 -'!$D23*100</f>
        <v>0.72589545306796821</v>
      </c>
      <c r="H23" s="352">
        <v>43000</v>
      </c>
      <c r="I23" s="353">
        <f>H23/'- 3 -'!$D23*100</f>
        <v>0.27622570337984631</v>
      </c>
    </row>
    <row r="24" spans="1:9" ht="14.1" customHeight="1">
      <c r="A24" s="23" t="s">
        <v>236</v>
      </c>
      <c r="B24" s="24">
        <v>185510</v>
      </c>
      <c r="C24" s="344">
        <f>B24/'- 3 -'!$D24*100</f>
        <v>0.36369443041317479</v>
      </c>
      <c r="D24" s="24">
        <v>0</v>
      </c>
      <c r="E24" s="344">
        <f>D24/'- 3 -'!$D24*100</f>
        <v>0</v>
      </c>
      <c r="F24" s="24">
        <v>184450</v>
      </c>
      <c r="G24" s="344">
        <f>F24/'- 3 -'!$D24*100</f>
        <v>0.36161628855431022</v>
      </c>
      <c r="H24" s="24">
        <v>0</v>
      </c>
      <c r="I24" s="344">
        <f>H24/'- 3 -'!$D24*100</f>
        <v>0</v>
      </c>
    </row>
    <row r="25" spans="1:9" ht="14.1" customHeight="1">
      <c r="A25" s="351" t="s">
        <v>237</v>
      </c>
      <c r="B25" s="352">
        <v>322864</v>
      </c>
      <c r="C25" s="353">
        <f>B25/'- 3 -'!$D25*100</f>
        <v>0.21503031419664947</v>
      </c>
      <c r="D25" s="352">
        <v>0</v>
      </c>
      <c r="E25" s="353">
        <f>D25/'- 3 -'!$D25*100</f>
        <v>0</v>
      </c>
      <c r="F25" s="352">
        <v>174800</v>
      </c>
      <c r="G25" s="353">
        <f>F25/'- 3 -'!$D25*100</f>
        <v>0.11641836476527061</v>
      </c>
      <c r="H25" s="352">
        <v>488617</v>
      </c>
      <c r="I25" s="353">
        <f>H25/'- 3 -'!$D25*100</f>
        <v>0.32542329597547043</v>
      </c>
    </row>
    <row r="26" spans="1:9" ht="14.1" customHeight="1">
      <c r="A26" s="23" t="s">
        <v>238</v>
      </c>
      <c r="B26" s="24">
        <v>0</v>
      </c>
      <c r="C26" s="344">
        <f>B26/'- 3 -'!$D26*100</f>
        <v>0</v>
      </c>
      <c r="D26" s="24">
        <v>0</v>
      </c>
      <c r="E26" s="344">
        <f>D26/'- 3 -'!$D26*100</f>
        <v>0</v>
      </c>
      <c r="F26" s="24">
        <v>0</v>
      </c>
      <c r="G26" s="344">
        <f>F26/'- 3 -'!$D26*100</f>
        <v>0</v>
      </c>
      <c r="H26" s="24">
        <v>104019</v>
      </c>
      <c r="I26" s="344">
        <f>H26/'- 3 -'!$D26*100</f>
        <v>0.28282241868566577</v>
      </c>
    </row>
    <row r="27" spans="1:9" ht="14.1" customHeight="1">
      <c r="A27" s="351" t="s">
        <v>239</v>
      </c>
      <c r="B27" s="352">
        <v>0</v>
      </c>
      <c r="C27" s="353">
        <f>B27/'- 3 -'!$D27*100</f>
        <v>0</v>
      </c>
      <c r="D27" s="352">
        <v>0</v>
      </c>
      <c r="E27" s="353">
        <f>D27/'- 3 -'!$D27*100</f>
        <v>0</v>
      </c>
      <c r="F27" s="352">
        <v>0</v>
      </c>
      <c r="G27" s="353">
        <f>F27/'- 3 -'!$D27*100</f>
        <v>0</v>
      </c>
      <c r="H27" s="352">
        <v>25500</v>
      </c>
      <c r="I27" s="353">
        <f>H27/'- 3 -'!$D27*100</f>
        <v>6.6601512105059879E-2</v>
      </c>
    </row>
    <row r="28" spans="1:9" ht="14.1" customHeight="1">
      <c r="A28" s="23" t="s">
        <v>240</v>
      </c>
      <c r="B28" s="24">
        <v>0</v>
      </c>
      <c r="C28" s="344">
        <f>B28/'- 3 -'!$D28*100</f>
        <v>0</v>
      </c>
      <c r="D28" s="24">
        <v>0</v>
      </c>
      <c r="E28" s="344">
        <f>D28/'- 3 -'!$D28*100</f>
        <v>0</v>
      </c>
      <c r="F28" s="24">
        <v>0</v>
      </c>
      <c r="G28" s="344">
        <f>F28/'- 3 -'!$D28*100</f>
        <v>0</v>
      </c>
      <c r="H28" s="24">
        <v>67692</v>
      </c>
      <c r="I28" s="344">
        <f>H28/'- 3 -'!$D28*100</f>
        <v>0.26405849544000565</v>
      </c>
    </row>
    <row r="29" spans="1:9" ht="14.1" customHeight="1">
      <c r="A29" s="351" t="s">
        <v>241</v>
      </c>
      <c r="B29" s="352">
        <v>0</v>
      </c>
      <c r="C29" s="353">
        <f>B29/'- 3 -'!$D29*100</f>
        <v>0</v>
      </c>
      <c r="D29" s="352">
        <v>0</v>
      </c>
      <c r="E29" s="353">
        <f>D29/'- 3 -'!$D29*100</f>
        <v>0</v>
      </c>
      <c r="F29" s="352">
        <v>126666</v>
      </c>
      <c r="G29" s="353">
        <f>F29/'- 3 -'!$D29*100</f>
        <v>9.237848609160304E-2</v>
      </c>
      <c r="H29" s="352">
        <v>296381</v>
      </c>
      <c r="I29" s="353">
        <f>H29/'- 3 -'!$D29*100</f>
        <v>0.2161529383284812</v>
      </c>
    </row>
    <row r="30" spans="1:9" ht="14.1" customHeight="1">
      <c r="A30" s="23" t="s">
        <v>242</v>
      </c>
      <c r="B30" s="24">
        <v>0</v>
      </c>
      <c r="C30" s="344">
        <f>B30/'- 3 -'!$D30*100</f>
        <v>0</v>
      </c>
      <c r="D30" s="24">
        <v>0</v>
      </c>
      <c r="E30" s="344">
        <f>D30/'- 3 -'!$D30*100</f>
        <v>0</v>
      </c>
      <c r="F30" s="24">
        <v>0</v>
      </c>
      <c r="G30" s="344">
        <f>F30/'- 3 -'!$D30*100</f>
        <v>0</v>
      </c>
      <c r="H30" s="24">
        <v>11449</v>
      </c>
      <c r="I30" s="344">
        <f>H30/'- 3 -'!$D30*100</f>
        <v>8.6331913897620863E-2</v>
      </c>
    </row>
    <row r="31" spans="1:9" ht="14.1" customHeight="1">
      <c r="A31" s="351" t="s">
        <v>243</v>
      </c>
      <c r="B31" s="352">
        <v>0</v>
      </c>
      <c r="C31" s="353">
        <f>B31/'- 3 -'!$D31*100</f>
        <v>0</v>
      </c>
      <c r="D31" s="352">
        <v>0</v>
      </c>
      <c r="E31" s="353">
        <f>D31/'- 3 -'!$D31*100</f>
        <v>0</v>
      </c>
      <c r="F31" s="352">
        <v>0</v>
      </c>
      <c r="G31" s="353">
        <f>F31/'- 3 -'!$D31*100</f>
        <v>0</v>
      </c>
      <c r="H31" s="352">
        <v>44579</v>
      </c>
      <c r="I31" s="353">
        <f>H31/'- 3 -'!$D31*100</f>
        <v>0.13886674592653081</v>
      </c>
    </row>
    <row r="32" spans="1:9" ht="14.1" customHeight="1">
      <c r="A32" s="23" t="s">
        <v>244</v>
      </c>
      <c r="B32" s="24">
        <v>0</v>
      </c>
      <c r="C32" s="344">
        <f>B32/'- 3 -'!$D32*100</f>
        <v>0</v>
      </c>
      <c r="D32" s="24">
        <v>0</v>
      </c>
      <c r="E32" s="344">
        <f>D32/'- 3 -'!$D32*100</f>
        <v>0</v>
      </c>
      <c r="F32" s="24">
        <v>0</v>
      </c>
      <c r="G32" s="344">
        <f>F32/'- 3 -'!$D32*100</f>
        <v>0</v>
      </c>
      <c r="H32" s="24">
        <v>25000</v>
      </c>
      <c r="I32" s="344">
        <f>H32/'- 3 -'!$D32*100</f>
        <v>0.10123576063347023</v>
      </c>
    </row>
    <row r="33" spans="1:9" ht="14.1" customHeight="1">
      <c r="A33" s="351" t="s">
        <v>245</v>
      </c>
      <c r="B33" s="352">
        <v>0</v>
      </c>
      <c r="C33" s="353">
        <f>B33/'- 3 -'!$D33*100</f>
        <v>0</v>
      </c>
      <c r="D33" s="352">
        <v>0</v>
      </c>
      <c r="E33" s="353">
        <f>D33/'- 3 -'!$D33*100</f>
        <v>0</v>
      </c>
      <c r="F33" s="352">
        <v>0</v>
      </c>
      <c r="G33" s="353">
        <f>F33/'- 3 -'!$D33*100</f>
        <v>0</v>
      </c>
      <c r="H33" s="352">
        <v>30000</v>
      </c>
      <c r="I33" s="353">
        <f>H33/'- 3 -'!$D33*100</f>
        <v>0.11756914045201415</v>
      </c>
    </row>
    <row r="34" spans="1:9" ht="14.1" customHeight="1">
      <c r="A34" s="23" t="s">
        <v>246</v>
      </c>
      <c r="B34" s="24">
        <v>0</v>
      </c>
      <c r="C34" s="344">
        <f>B34/'- 3 -'!$D34*100</f>
        <v>0</v>
      </c>
      <c r="D34" s="24">
        <v>0</v>
      </c>
      <c r="E34" s="344">
        <f>D34/'- 3 -'!$D34*100</f>
        <v>0</v>
      </c>
      <c r="F34" s="24">
        <v>0</v>
      </c>
      <c r="G34" s="344">
        <f>F34/'- 3 -'!$D34*100</f>
        <v>0</v>
      </c>
      <c r="H34" s="24">
        <v>25132</v>
      </c>
      <c r="I34" s="344">
        <f>H34/'- 3 -'!$D34*100</f>
        <v>0.10499447329346172</v>
      </c>
    </row>
    <row r="35" spans="1:9" ht="14.1" customHeight="1">
      <c r="A35" s="351" t="s">
        <v>247</v>
      </c>
      <c r="B35" s="352">
        <v>364700</v>
      </c>
      <c r="C35" s="353">
        <f>B35/'- 3 -'!$D35*100</f>
        <v>0.22290939409742769</v>
      </c>
      <c r="D35" s="352">
        <v>0</v>
      </c>
      <c r="E35" s="353">
        <f>D35/'- 3 -'!$D35*100</f>
        <v>0</v>
      </c>
      <c r="F35" s="352">
        <v>30700</v>
      </c>
      <c r="G35" s="353">
        <f>F35/'- 3 -'!$D35*100</f>
        <v>1.8764240194107568E-2</v>
      </c>
      <c r="H35" s="352">
        <v>200491</v>
      </c>
      <c r="I35" s="353">
        <f>H35/'- 3 -'!$D35*100</f>
        <v>0.12254271272823521</v>
      </c>
    </row>
    <row r="36" spans="1:9" ht="14.1" customHeight="1">
      <c r="A36" s="23" t="s">
        <v>248</v>
      </c>
      <c r="B36" s="24">
        <v>0</v>
      </c>
      <c r="C36" s="344">
        <f>B36/'- 3 -'!$D36*100</f>
        <v>0</v>
      </c>
      <c r="D36" s="24">
        <v>0</v>
      </c>
      <c r="E36" s="344">
        <f>D36/'- 3 -'!$D36*100</f>
        <v>0</v>
      </c>
      <c r="F36" s="24">
        <v>0</v>
      </c>
      <c r="G36" s="344">
        <f>F36/'- 3 -'!$D36*100</f>
        <v>0</v>
      </c>
      <c r="H36" s="24">
        <v>24400</v>
      </c>
      <c r="I36" s="344">
        <f>H36/'- 3 -'!$D36*100</f>
        <v>0.11555678479348488</v>
      </c>
    </row>
    <row r="37" spans="1:9" ht="14.1" customHeight="1">
      <c r="A37" s="351" t="s">
        <v>249</v>
      </c>
      <c r="B37" s="352">
        <v>0</v>
      </c>
      <c r="C37" s="353">
        <f>B37/'- 3 -'!$D37*100</f>
        <v>0</v>
      </c>
      <c r="D37" s="352">
        <v>0</v>
      </c>
      <c r="E37" s="353">
        <f>D37/'- 3 -'!$D37*100</f>
        <v>0</v>
      </c>
      <c r="F37" s="352">
        <v>0</v>
      </c>
      <c r="G37" s="353">
        <f>F37/'- 3 -'!$D37*100</f>
        <v>0</v>
      </c>
      <c r="H37" s="352">
        <v>64790</v>
      </c>
      <c r="I37" s="353">
        <f>H37/'- 3 -'!$D37*100</f>
        <v>0.16260530695133546</v>
      </c>
    </row>
    <row r="38" spans="1:9" ht="14.1" customHeight="1">
      <c r="A38" s="23" t="s">
        <v>250</v>
      </c>
      <c r="B38" s="24">
        <v>136110</v>
      </c>
      <c r="C38" s="344">
        <f>B38/'- 3 -'!$D38*100</f>
        <v>0.12159409673211956</v>
      </c>
      <c r="D38" s="24">
        <v>150120</v>
      </c>
      <c r="E38" s="344">
        <f>D38/'- 3 -'!$D38*100</f>
        <v>0.13410995372438314</v>
      </c>
      <c r="F38" s="24">
        <v>337870</v>
      </c>
      <c r="G38" s="344">
        <f>F38/'- 3 -'!$D38*100</f>
        <v>0.30183673104754422</v>
      </c>
      <c r="H38" s="24">
        <v>410900</v>
      </c>
      <c r="I38" s="344">
        <f>H38/'- 3 -'!$D38*100</f>
        <v>0.36707820400578894</v>
      </c>
    </row>
    <row r="39" spans="1:9" ht="14.1" customHeight="1">
      <c r="A39" s="351" t="s">
        <v>251</v>
      </c>
      <c r="B39" s="352">
        <v>0</v>
      </c>
      <c r="C39" s="353">
        <f>B39/'- 3 -'!$D39*100</f>
        <v>0</v>
      </c>
      <c r="D39" s="352">
        <v>0</v>
      </c>
      <c r="E39" s="353">
        <f>D39/'- 3 -'!$D39*100</f>
        <v>0</v>
      </c>
      <c r="F39" s="352">
        <v>0</v>
      </c>
      <c r="G39" s="353">
        <f>F39/'- 3 -'!$D39*100</f>
        <v>0</v>
      </c>
      <c r="H39" s="352">
        <v>166015</v>
      </c>
      <c r="I39" s="353">
        <f>H39/'- 3 -'!$D39*100</f>
        <v>0.83407069909106568</v>
      </c>
    </row>
    <row r="40" spans="1:9" ht="14.1" customHeight="1">
      <c r="A40" s="23" t="s">
        <v>252</v>
      </c>
      <c r="B40" s="24">
        <v>449146</v>
      </c>
      <c r="C40" s="344">
        <f>B40/'- 3 -'!$D40*100</f>
        <v>0.47837102028431544</v>
      </c>
      <c r="D40" s="24">
        <v>0</v>
      </c>
      <c r="E40" s="344">
        <f>D40/'- 3 -'!$D40*100</f>
        <v>0</v>
      </c>
      <c r="F40" s="24">
        <v>316535</v>
      </c>
      <c r="G40" s="344">
        <f>F40/'- 3 -'!$D40*100</f>
        <v>0.33713129117412999</v>
      </c>
      <c r="H40" s="24">
        <v>73850</v>
      </c>
      <c r="I40" s="344">
        <f>H40/'- 3 -'!$D40*100</f>
        <v>7.8655269885508708E-2</v>
      </c>
    </row>
    <row r="41" spans="1:9" ht="14.1" customHeight="1">
      <c r="A41" s="351" t="s">
        <v>253</v>
      </c>
      <c r="B41" s="352">
        <v>0</v>
      </c>
      <c r="C41" s="353">
        <f>B41/'- 3 -'!$D41*100</f>
        <v>0</v>
      </c>
      <c r="D41" s="352">
        <v>0</v>
      </c>
      <c r="E41" s="353">
        <f>D41/'- 3 -'!$D41*100</f>
        <v>0</v>
      </c>
      <c r="F41" s="352">
        <v>0</v>
      </c>
      <c r="G41" s="353">
        <f>F41/'- 3 -'!$D41*100</f>
        <v>0</v>
      </c>
      <c r="H41" s="352">
        <v>251317</v>
      </c>
      <c r="I41" s="353">
        <f>H41/'- 3 -'!$D41*100</f>
        <v>0.44227597030112736</v>
      </c>
    </row>
    <row r="42" spans="1:9" ht="14.1" customHeight="1">
      <c r="A42" s="23" t="s">
        <v>254</v>
      </c>
      <c r="B42" s="24">
        <v>0</v>
      </c>
      <c r="C42" s="344">
        <f>B42/'- 3 -'!$D42*100</f>
        <v>0</v>
      </c>
      <c r="D42" s="24">
        <v>0</v>
      </c>
      <c r="E42" s="344">
        <f>D42/'- 3 -'!$D42*100</f>
        <v>0</v>
      </c>
      <c r="F42" s="24">
        <v>0</v>
      </c>
      <c r="G42" s="344">
        <f>F42/'- 3 -'!$D42*100</f>
        <v>0</v>
      </c>
      <c r="H42" s="24">
        <v>218286</v>
      </c>
      <c r="I42" s="344">
        <f>H42/'- 3 -'!$D42*100</f>
        <v>1.0972979103051479</v>
      </c>
    </row>
    <row r="43" spans="1:9" ht="14.1" customHeight="1">
      <c r="A43" s="351" t="s">
        <v>255</v>
      </c>
      <c r="B43" s="352">
        <v>0</v>
      </c>
      <c r="C43" s="353">
        <f>B43/'- 3 -'!$D43*100</f>
        <v>0</v>
      </c>
      <c r="D43" s="352">
        <v>0</v>
      </c>
      <c r="E43" s="353">
        <f>D43/'- 3 -'!$D43*100</f>
        <v>0</v>
      </c>
      <c r="F43" s="352">
        <v>0</v>
      </c>
      <c r="G43" s="353">
        <f>F43/'- 3 -'!$D43*100</f>
        <v>0</v>
      </c>
      <c r="H43" s="352">
        <v>13744</v>
      </c>
      <c r="I43" s="353">
        <f>H43/'- 3 -'!$D43*100</f>
        <v>0.1163134624116002</v>
      </c>
    </row>
    <row r="44" spans="1:9" ht="14.1" customHeight="1">
      <c r="A44" s="23" t="s">
        <v>256</v>
      </c>
      <c r="B44" s="24">
        <v>0</v>
      </c>
      <c r="C44" s="344">
        <f>B44/'- 3 -'!$D44*100</f>
        <v>0</v>
      </c>
      <c r="D44" s="24">
        <v>0</v>
      </c>
      <c r="E44" s="344">
        <f>D44/'- 3 -'!$D44*100</f>
        <v>0</v>
      </c>
      <c r="F44" s="24">
        <v>0</v>
      </c>
      <c r="G44" s="344">
        <f>F44/'- 3 -'!$D44*100</f>
        <v>0</v>
      </c>
      <c r="H44" s="24">
        <v>10622</v>
      </c>
      <c r="I44" s="344">
        <f>H44/'- 3 -'!$D44*100</f>
        <v>0.105640897726841</v>
      </c>
    </row>
    <row r="45" spans="1:9" ht="14.1" customHeight="1">
      <c r="A45" s="351" t="s">
        <v>257</v>
      </c>
      <c r="B45" s="352">
        <v>0</v>
      </c>
      <c r="C45" s="353">
        <f>B45/'- 3 -'!$D45*100</f>
        <v>0</v>
      </c>
      <c r="D45" s="352">
        <v>0</v>
      </c>
      <c r="E45" s="353">
        <f>D45/'- 3 -'!$D45*100</f>
        <v>0</v>
      </c>
      <c r="F45" s="352">
        <v>4000</v>
      </c>
      <c r="G45" s="353">
        <f>F45/'- 3 -'!$D45*100</f>
        <v>2.4432771823443413E-2</v>
      </c>
      <c r="H45" s="352">
        <v>41904</v>
      </c>
      <c r="I45" s="353">
        <f>H45/'- 3 -'!$D45*100</f>
        <v>0.25595771762239322</v>
      </c>
    </row>
    <row r="46" spans="1:9" ht="14.1" customHeight="1">
      <c r="A46" s="23" t="s">
        <v>258</v>
      </c>
      <c r="B46" s="24">
        <v>0</v>
      </c>
      <c r="C46" s="344">
        <f>B46/'- 3 -'!$D46*100</f>
        <v>0</v>
      </c>
      <c r="D46" s="24">
        <v>3008000</v>
      </c>
      <c r="E46" s="344">
        <f>D46/'- 3 -'!$D46*100</f>
        <v>0.8530552736143594</v>
      </c>
      <c r="F46" s="24">
        <v>154600</v>
      </c>
      <c r="G46" s="344">
        <f>F46/'- 3 -'!$D46*100</f>
        <v>4.3843864794142276E-2</v>
      </c>
      <c r="H46" s="24">
        <v>5256100</v>
      </c>
      <c r="I46" s="344">
        <f>H46/'- 3 -'!$D46*100</f>
        <v>1.4906063243498786</v>
      </c>
    </row>
    <row r="47" spans="1:9" ht="5.0999999999999996" customHeight="1">
      <c r="A47"/>
      <c r="B47"/>
      <c r="C47"/>
      <c r="D47"/>
      <c r="E47"/>
      <c r="F47"/>
      <c r="G47"/>
      <c r="H47"/>
      <c r="I47"/>
    </row>
    <row r="48" spans="1:9" ht="14.1" customHeight="1">
      <c r="A48" s="354" t="s">
        <v>259</v>
      </c>
      <c r="B48" s="355">
        <f>SUM(B11:B46)</f>
        <v>1720330</v>
      </c>
      <c r="C48" s="356">
        <f>B48/'- 3 -'!$D48*100</f>
        <v>8.5639402307033402E-2</v>
      </c>
      <c r="D48" s="355">
        <f>SUM(D11:D46)</f>
        <v>3158120</v>
      </c>
      <c r="E48" s="356">
        <f>D48/'- 3 -'!$D48*100</f>
        <v>0.15721373760492946</v>
      </c>
      <c r="F48" s="355">
        <f>SUM(F11:F46)</f>
        <v>2527603</v>
      </c>
      <c r="G48" s="356">
        <f>F48/'- 3 -'!$D48*100</f>
        <v>0.12582609742867037</v>
      </c>
      <c r="H48" s="355">
        <f>SUM(H11:H46)</f>
        <v>11010539</v>
      </c>
      <c r="I48" s="356">
        <f>H48/'- 3 -'!$D48*100</f>
        <v>0.54811343116627687</v>
      </c>
    </row>
    <row r="49" spans="1:9" ht="5.0999999999999996" customHeight="1">
      <c r="A49" s="25" t="s">
        <v>3</v>
      </c>
      <c r="B49" s="26"/>
      <c r="C49" s="343"/>
      <c r="D49" s="26"/>
      <c r="E49" s="343"/>
      <c r="F49" s="26"/>
      <c r="G49" s="343"/>
      <c r="H49" s="26"/>
      <c r="I49" s="343"/>
    </row>
    <row r="50" spans="1:9" ht="14.1" customHeight="1">
      <c r="A50" s="23" t="s">
        <v>260</v>
      </c>
      <c r="B50" s="24">
        <v>0</v>
      </c>
      <c r="C50" s="344">
        <f>B50/'- 3 -'!$D50*100</f>
        <v>0</v>
      </c>
      <c r="D50" s="24">
        <v>0</v>
      </c>
      <c r="E50" s="344">
        <f>D50/'- 3 -'!$D50*100</f>
        <v>0</v>
      </c>
      <c r="F50" s="24">
        <v>0</v>
      </c>
      <c r="G50" s="344">
        <f>F50/'- 3 -'!$D50*100</f>
        <v>0</v>
      </c>
      <c r="H50" s="24">
        <v>9500</v>
      </c>
      <c r="I50" s="344">
        <f>H50/'- 3 -'!$D50*100</f>
        <v>0.29420645550901586</v>
      </c>
    </row>
    <row r="51" spans="1:9" ht="14.1" customHeight="1">
      <c r="A51" s="351" t="s">
        <v>261</v>
      </c>
      <c r="B51" s="352">
        <v>15000</v>
      </c>
      <c r="C51" s="353">
        <f>B51/'- 3 -'!$D51*100</f>
        <v>8.5047754314047333E-2</v>
      </c>
      <c r="D51" s="352">
        <v>3148699</v>
      </c>
      <c r="E51" s="353">
        <f>D51/'- 3 -'!$D51*100</f>
        <v>17.85265193072577</v>
      </c>
      <c r="F51" s="352">
        <v>2208040</v>
      </c>
      <c r="G51" s="353">
        <f>F51/'- 3 -'!$D51*100</f>
        <v>12.519256229039271</v>
      </c>
      <c r="H51" s="352">
        <v>0</v>
      </c>
      <c r="I51" s="353">
        <f>H51/'- 3 -'!$D51*100</f>
        <v>0</v>
      </c>
    </row>
    <row r="52" spans="1:9" ht="50.1" customHeight="1"/>
    <row r="53" spans="1:9" ht="15" customHeight="1"/>
    <row r="54" spans="1:9" ht="14.45" customHeight="1"/>
    <row r="55" spans="1:9" ht="14.45" customHeight="1"/>
    <row r="56" spans="1:9" ht="14.45" customHeight="1"/>
    <row r="57" spans="1:9" ht="14.45" customHeight="1"/>
    <row r="58" spans="1:9" ht="14.45" customHeight="1"/>
    <row r="59" spans="1:9" ht="14.45" customHeight="1"/>
  </sheetData>
  <phoneticPr fontId="0" type="noConversion"/>
  <printOptions horizontalCentered="1"/>
  <pageMargins left="0.51181102362204722" right="0.51181102362204722" top="0.59055118110236227" bottom="0" header="0.31496062992125984" footer="0"/>
  <pageSetup scale="92" orientation="portrait" r:id="rId1"/>
  <headerFooter alignWithMargins="0">
    <oddHeader>&amp;C&amp;"Arial,Bold"&amp;10&amp;A</oddHeader>
  </headerFooter>
</worksheet>
</file>

<file path=xl/worksheets/sheet22.xml><?xml version="1.0" encoding="utf-8"?>
<worksheet xmlns="http://schemas.openxmlformats.org/spreadsheetml/2006/main" xmlns:r="http://schemas.openxmlformats.org/officeDocument/2006/relationships">
  <sheetPr codeName="Sheet21">
    <pageSetUpPr fitToPage="1"/>
  </sheetPr>
  <dimension ref="A1:J59"/>
  <sheetViews>
    <sheetView showGridLines="0" showZeros="0" workbookViewId="0"/>
  </sheetViews>
  <sheetFormatPr defaultColWidth="15.83203125" defaultRowHeight="12"/>
  <cols>
    <col min="1" max="1" width="30.83203125" style="1" customWidth="1"/>
    <col min="2" max="2" width="15.1640625" style="1" customWidth="1"/>
    <col min="3" max="3" width="7.83203125" style="1" customWidth="1"/>
    <col min="4" max="4" width="8" style="1" customWidth="1"/>
    <col min="5" max="5" width="12.6640625" style="1" customWidth="1"/>
    <col min="6" max="6" width="7.83203125" style="1" customWidth="1"/>
    <col min="7" max="7" width="7.33203125" style="1" customWidth="1"/>
    <col min="8" max="8" width="12.6640625" style="1" customWidth="1"/>
    <col min="9" max="9" width="7.83203125" style="1" customWidth="1"/>
    <col min="10" max="10" width="9.5" style="1" customWidth="1"/>
    <col min="11" max="16384" width="15.83203125" style="1"/>
  </cols>
  <sheetData>
    <row r="1" spans="1:10" ht="6.95" customHeight="1">
      <c r="A1" s="3"/>
      <c r="B1" s="4"/>
      <c r="C1" s="4"/>
      <c r="D1" s="4"/>
      <c r="E1" s="4"/>
      <c r="F1" s="4"/>
      <c r="G1" s="4"/>
      <c r="H1" s="4"/>
      <c r="I1" s="4"/>
      <c r="J1" s="4"/>
    </row>
    <row r="2" spans="1:10" ht="15.95" customHeight="1">
      <c r="A2" s="160"/>
      <c r="B2" s="5" t="s">
        <v>437</v>
      </c>
      <c r="C2" s="6"/>
      <c r="D2" s="6"/>
      <c r="E2" s="6"/>
      <c r="F2" s="6"/>
      <c r="G2" s="105"/>
      <c r="H2" s="105"/>
      <c r="I2" s="172"/>
      <c r="J2" s="183" t="s">
        <v>390</v>
      </c>
    </row>
    <row r="3" spans="1:10" ht="15.95" customHeight="1">
      <c r="A3" s="163"/>
      <c r="B3" s="7" t="str">
        <f>OPYEAR</f>
        <v>OPERATING FUND 2012/2013 BUDGET</v>
      </c>
      <c r="C3" s="8"/>
      <c r="D3" s="8"/>
      <c r="E3" s="8"/>
      <c r="F3" s="8"/>
      <c r="G3" s="107"/>
      <c r="H3" s="107"/>
      <c r="I3" s="107"/>
      <c r="J3" s="100"/>
    </row>
    <row r="4" spans="1:10" ht="15.95" customHeight="1">
      <c r="B4" s="4"/>
      <c r="C4" s="4"/>
      <c r="D4" s="4"/>
      <c r="E4" s="4"/>
      <c r="F4" s="4"/>
      <c r="G4" s="4"/>
      <c r="H4" s="4"/>
      <c r="I4" s="4"/>
      <c r="J4" s="4"/>
    </row>
    <row r="5" spans="1:10" ht="15.95" customHeight="1">
      <c r="B5" s="184" t="s">
        <v>177</v>
      </c>
      <c r="C5" s="185"/>
      <c r="D5" s="186"/>
      <c r="E5" s="186"/>
      <c r="F5" s="186"/>
      <c r="G5" s="186"/>
      <c r="H5" s="186"/>
      <c r="I5" s="186"/>
      <c r="J5" s="187"/>
    </row>
    <row r="6" spans="1:10" ht="15.95" customHeight="1">
      <c r="B6" s="345"/>
      <c r="C6" s="346"/>
      <c r="D6" s="347"/>
      <c r="E6" s="345" t="s">
        <v>14</v>
      </c>
      <c r="F6" s="346"/>
      <c r="G6" s="347"/>
      <c r="H6" s="345" t="s">
        <v>12</v>
      </c>
      <c r="I6" s="346"/>
      <c r="J6" s="347"/>
    </row>
    <row r="7" spans="1:10" ht="15.95" customHeight="1">
      <c r="B7" s="348" t="s">
        <v>38</v>
      </c>
      <c r="C7" s="349"/>
      <c r="D7" s="350"/>
      <c r="E7" s="348" t="s">
        <v>39</v>
      </c>
      <c r="F7" s="349"/>
      <c r="G7" s="350"/>
      <c r="H7" s="348" t="s">
        <v>40</v>
      </c>
      <c r="I7" s="349"/>
      <c r="J7" s="350"/>
    </row>
    <row r="8" spans="1:10" ht="15.95" customHeight="1">
      <c r="A8" s="101"/>
      <c r="B8" s="169"/>
      <c r="C8" s="168"/>
      <c r="D8" s="168" t="s">
        <v>59</v>
      </c>
      <c r="E8" s="169"/>
      <c r="F8" s="168"/>
      <c r="G8" s="168" t="s">
        <v>59</v>
      </c>
      <c r="H8" s="169"/>
      <c r="I8" s="168"/>
      <c r="J8" s="168" t="s">
        <v>59</v>
      </c>
    </row>
    <row r="9" spans="1:10" ht="15.95" customHeight="1">
      <c r="A9" s="35" t="s">
        <v>79</v>
      </c>
      <c r="B9" s="112" t="s">
        <v>80</v>
      </c>
      <c r="C9" s="112" t="s">
        <v>81</v>
      </c>
      <c r="D9" s="112" t="s">
        <v>82</v>
      </c>
      <c r="E9" s="112" t="s">
        <v>80</v>
      </c>
      <c r="F9" s="112" t="s">
        <v>81</v>
      </c>
      <c r="G9" s="112" t="s">
        <v>82</v>
      </c>
      <c r="H9" s="112" t="s">
        <v>80</v>
      </c>
      <c r="I9" s="112" t="s">
        <v>81</v>
      </c>
      <c r="J9" s="112" t="s">
        <v>82</v>
      </c>
    </row>
    <row r="10" spans="1:10" ht="5.0999999999999996" customHeight="1">
      <c r="A10" s="37"/>
    </row>
    <row r="11" spans="1:10" ht="14.1" customHeight="1">
      <c r="A11" s="351" t="s">
        <v>224</v>
      </c>
      <c r="B11" s="352">
        <v>113750</v>
      </c>
      <c r="C11" s="353">
        <f>B11/'- 3 -'!$D11*100</f>
        <v>0.71700696394983543</v>
      </c>
      <c r="D11" s="352">
        <f>B11/'- 7 -'!$F11</f>
        <v>76.91007437457742</v>
      </c>
      <c r="E11" s="352">
        <v>144950</v>
      </c>
      <c r="F11" s="353">
        <f>E11/'- 3 -'!$D11*100</f>
        <v>0.91367173120464729</v>
      </c>
      <c r="G11" s="352">
        <f>E11/'- 7 -'!$F11</f>
        <v>98.005409060175793</v>
      </c>
      <c r="H11" s="352">
        <v>322250</v>
      </c>
      <c r="I11" s="353">
        <f>H11/'- 3 -'!$D11*100</f>
        <v>2.0312570912776655</v>
      </c>
      <c r="J11" s="352">
        <f>H11/'- 7 -'!$F11</f>
        <v>217.88370520622041</v>
      </c>
    </row>
    <row r="12" spans="1:10" ht="14.1" customHeight="1">
      <c r="A12" s="23" t="s">
        <v>225</v>
      </c>
      <c r="B12" s="24">
        <v>158122</v>
      </c>
      <c r="C12" s="344">
        <f>B12/'- 3 -'!$D12*100</f>
        <v>0.52704673504143829</v>
      </c>
      <c r="D12" s="24">
        <f>B12/'- 7 -'!$F12</f>
        <v>68.456416517304376</v>
      </c>
      <c r="E12" s="24">
        <v>161785</v>
      </c>
      <c r="F12" s="344">
        <f>E12/'- 3 -'!$D12*100</f>
        <v>0.53925611887453406</v>
      </c>
      <c r="G12" s="24">
        <f>E12/'- 7 -'!$F12</f>
        <v>70.042254374799768</v>
      </c>
      <c r="H12" s="24">
        <v>593965</v>
      </c>
      <c r="I12" s="344">
        <f>H12/'- 3 -'!$D12*100</f>
        <v>1.9797834202633906</v>
      </c>
      <c r="J12" s="24">
        <f>H12/'- 7 -'!$F12</f>
        <v>257.14774311418205</v>
      </c>
    </row>
    <row r="13" spans="1:10" ht="14.1" customHeight="1">
      <c r="A13" s="351" t="s">
        <v>226</v>
      </c>
      <c r="B13" s="352">
        <v>295500</v>
      </c>
      <c r="C13" s="353">
        <f>B13/'- 3 -'!$D13*100</f>
        <v>0.37698154512679594</v>
      </c>
      <c r="D13" s="352">
        <f>B13/'- 7 -'!$F13</f>
        <v>38.237577639751549</v>
      </c>
      <c r="E13" s="352">
        <v>518300</v>
      </c>
      <c r="F13" s="353">
        <f>E13/'- 3 -'!$D13*100</f>
        <v>0.66121669996351373</v>
      </c>
      <c r="G13" s="352">
        <f>E13/'- 7 -'!$F13</f>
        <v>67.067805383022773</v>
      </c>
      <c r="H13" s="352">
        <v>1352900</v>
      </c>
      <c r="I13" s="353">
        <f>H13/'- 3 -'!$D13*100</f>
        <v>1.7259503634586875</v>
      </c>
      <c r="J13" s="352">
        <f>H13/'- 7 -'!$F13</f>
        <v>175.06469979296065</v>
      </c>
    </row>
    <row r="14" spans="1:10" ht="14.1" customHeight="1">
      <c r="A14" s="23" t="s">
        <v>524</v>
      </c>
      <c r="B14" s="24">
        <v>678006</v>
      </c>
      <c r="C14" s="344">
        <f>B14/'- 3 -'!$D14*100</f>
        <v>0.94878178406592184</v>
      </c>
      <c r="D14" s="24">
        <f>B14/'- 7 -'!$F14</f>
        <v>134.52500000000001</v>
      </c>
      <c r="E14" s="24">
        <v>1139061</v>
      </c>
      <c r="F14" s="344">
        <f>E14/'- 3 -'!$D14*100</f>
        <v>1.5939686783596501</v>
      </c>
      <c r="G14" s="24">
        <f>E14/'- 7 -'!$F14</f>
        <v>226.00416666666666</v>
      </c>
      <c r="H14" s="24">
        <v>862207</v>
      </c>
      <c r="I14" s="344">
        <f>H14/'- 3 -'!$D14*100</f>
        <v>1.2065472808413589</v>
      </c>
      <c r="J14" s="24">
        <f>H14/'- 7 -'!$F14</f>
        <v>171.07281746031745</v>
      </c>
    </row>
    <row r="15" spans="1:10" ht="14.1" customHeight="1">
      <c r="A15" s="351" t="s">
        <v>227</v>
      </c>
      <c r="B15" s="352">
        <v>158850</v>
      </c>
      <c r="C15" s="353">
        <f>B15/'- 3 -'!$D15*100</f>
        <v>0.84922532313464594</v>
      </c>
      <c r="D15" s="352">
        <f>B15/'- 7 -'!$F15</f>
        <v>106.32530120481928</v>
      </c>
      <c r="E15" s="352">
        <v>201850</v>
      </c>
      <c r="F15" s="353">
        <f>E15/'- 3 -'!$D15*100</f>
        <v>1.0791069025793407</v>
      </c>
      <c r="G15" s="352">
        <f>E15/'- 7 -'!$F15</f>
        <v>135.10709504685408</v>
      </c>
      <c r="H15" s="352">
        <v>354150</v>
      </c>
      <c r="I15" s="353">
        <f>H15/'- 3 -'!$D15*100</f>
        <v>1.8933153804729925</v>
      </c>
      <c r="J15" s="352">
        <f>H15/'- 7 -'!$F15</f>
        <v>237.04819277108433</v>
      </c>
    </row>
    <row r="16" spans="1:10" ht="14.1" customHeight="1">
      <c r="A16" s="23" t="s">
        <v>228</v>
      </c>
      <c r="B16" s="24">
        <v>114458</v>
      </c>
      <c r="C16" s="344">
        <f>B16/'- 3 -'!$D16*100</f>
        <v>0.90432077891459384</v>
      </c>
      <c r="D16" s="24">
        <f>B16/'- 7 -'!$F16</f>
        <v>115.67256189994947</v>
      </c>
      <c r="E16" s="24">
        <v>192278</v>
      </c>
      <c r="F16" s="344">
        <f>E16/'- 3 -'!$D16*100</f>
        <v>1.5191685223238243</v>
      </c>
      <c r="G16" s="24">
        <f>E16/'- 7 -'!$F16</f>
        <v>194.31834259727134</v>
      </c>
      <c r="H16" s="24">
        <v>312882</v>
      </c>
      <c r="I16" s="344">
        <f>H16/'- 3 -'!$D16*100</f>
        <v>2.4720482093724856</v>
      </c>
      <c r="J16" s="24">
        <f>H16/'- 7 -'!$F16</f>
        <v>316.20212228398179</v>
      </c>
    </row>
    <row r="17" spans="1:10" ht="14.1" customHeight="1">
      <c r="A17" s="351" t="s">
        <v>229</v>
      </c>
      <c r="B17" s="352">
        <v>206640</v>
      </c>
      <c r="C17" s="353">
        <f>B17/'- 3 -'!$D17*100</f>
        <v>1.2677096846664182</v>
      </c>
      <c r="D17" s="352">
        <f>B17/'- 7 -'!$F17</f>
        <v>160.7467911318553</v>
      </c>
      <c r="E17" s="352">
        <v>153420</v>
      </c>
      <c r="F17" s="353">
        <f>E17/'- 3 -'!$D17*100</f>
        <v>0.94121186518351663</v>
      </c>
      <c r="G17" s="352">
        <f>E17/'- 7 -'!$F17</f>
        <v>119.34655775962661</v>
      </c>
      <c r="H17" s="352">
        <v>287020</v>
      </c>
      <c r="I17" s="353">
        <f>H17/'- 3 -'!$D17*100</f>
        <v>1.7608305927843368</v>
      </c>
      <c r="J17" s="352">
        <f>H17/'- 7 -'!$F17</f>
        <v>223.27499027615713</v>
      </c>
    </row>
    <row r="18" spans="1:10" ht="14.1" customHeight="1">
      <c r="A18" s="23" t="s">
        <v>230</v>
      </c>
      <c r="B18" s="24">
        <v>1010712</v>
      </c>
      <c r="C18" s="344">
        <f>B18/'- 3 -'!$D18*100</f>
        <v>0.87761409127760681</v>
      </c>
      <c r="D18" s="24">
        <f>B18/'- 7 -'!$F18</f>
        <v>159.83426899659997</v>
      </c>
      <c r="E18" s="24">
        <v>1938114</v>
      </c>
      <c r="F18" s="344">
        <f>E18/'- 3 -'!$D18*100</f>
        <v>1.6828890494051791</v>
      </c>
      <c r="G18" s="24">
        <f>E18/'- 7 -'!$F18</f>
        <v>306.49387206452121</v>
      </c>
      <c r="H18" s="24">
        <v>2741678</v>
      </c>
      <c r="I18" s="344">
        <f>H18/'- 3 -'!$D18*100</f>
        <v>2.3806338962491851</v>
      </c>
      <c r="J18" s="24">
        <f>H18/'- 7 -'!$F18</f>
        <v>433.56970032418758</v>
      </c>
    </row>
    <row r="19" spans="1:10" ht="14.1" customHeight="1">
      <c r="A19" s="351" t="s">
        <v>231</v>
      </c>
      <c r="B19" s="352">
        <v>194105</v>
      </c>
      <c r="C19" s="353">
        <f>B19/'- 3 -'!$D19*100</f>
        <v>0.49654480485153479</v>
      </c>
      <c r="D19" s="352">
        <f>B19/'- 7 -'!$F19</f>
        <v>46.072869689057676</v>
      </c>
      <c r="E19" s="352">
        <v>427950</v>
      </c>
      <c r="F19" s="353">
        <f>E19/'- 3 -'!$D19*100</f>
        <v>1.0947494873198234</v>
      </c>
      <c r="G19" s="352">
        <f>E19/'- 7 -'!$F19</f>
        <v>101.57844766199858</v>
      </c>
      <c r="H19" s="352">
        <v>660865</v>
      </c>
      <c r="I19" s="353">
        <f>H19/'- 3 -'!$D19*100</f>
        <v>1.6905751137694005</v>
      </c>
      <c r="J19" s="352">
        <f>H19/'- 7 -'!$F19</f>
        <v>156.86328032281034</v>
      </c>
    </row>
    <row r="20" spans="1:10" ht="14.1" customHeight="1">
      <c r="A20" s="23" t="s">
        <v>232</v>
      </c>
      <c r="B20" s="24">
        <v>255500</v>
      </c>
      <c r="C20" s="344">
        <f>B20/'- 3 -'!$D20*100</f>
        <v>0.37757318713147819</v>
      </c>
      <c r="D20" s="24">
        <f>B20/'- 7 -'!$F20</f>
        <v>34.410774410774408</v>
      </c>
      <c r="E20" s="24">
        <v>613000</v>
      </c>
      <c r="F20" s="344">
        <f>E20/'- 3 -'!$D20*100</f>
        <v>0.90588009280468151</v>
      </c>
      <c r="G20" s="24">
        <f>E20/'- 7 -'!$F20</f>
        <v>82.558922558922561</v>
      </c>
      <c r="H20" s="24">
        <v>1045100</v>
      </c>
      <c r="I20" s="344">
        <f>H20/'- 3 -'!$D20*100</f>
        <v>1.5444295024309507</v>
      </c>
      <c r="J20" s="24">
        <f>H20/'- 7 -'!$F20</f>
        <v>140.75420875420875</v>
      </c>
    </row>
    <row r="21" spans="1:10" ht="14.1" customHeight="1">
      <c r="A21" s="351" t="s">
        <v>233</v>
      </c>
      <c r="B21" s="352">
        <v>198600</v>
      </c>
      <c r="C21" s="353">
        <f>B21/'- 3 -'!$D21*100</f>
        <v>0.61006590309106201</v>
      </c>
      <c r="D21" s="352">
        <f>B21/'- 7 -'!$F21</f>
        <v>71.182795698924735</v>
      </c>
      <c r="E21" s="352">
        <v>376000</v>
      </c>
      <c r="F21" s="353">
        <f>E21/'- 3 -'!$D21*100</f>
        <v>1.1550089605349412</v>
      </c>
      <c r="G21" s="352">
        <f>E21/'- 7 -'!$F21</f>
        <v>134.76702508960574</v>
      </c>
      <c r="H21" s="352">
        <v>606000</v>
      </c>
      <c r="I21" s="353">
        <f>H21/'- 3 -'!$D21*100</f>
        <v>1.861530399160038</v>
      </c>
      <c r="J21" s="352">
        <f>H21/'- 7 -'!$F21</f>
        <v>217.20430107526883</v>
      </c>
    </row>
    <row r="22" spans="1:10" ht="14.1" customHeight="1">
      <c r="A22" s="23" t="s">
        <v>234</v>
      </c>
      <c r="B22" s="24">
        <v>109800</v>
      </c>
      <c r="C22" s="344">
        <f>B22/'- 3 -'!$D22*100</f>
        <v>0.57717524233606687</v>
      </c>
      <c r="D22" s="24">
        <f>B22/'- 7 -'!$F22</f>
        <v>68.008671415298849</v>
      </c>
      <c r="E22" s="24">
        <v>110140</v>
      </c>
      <c r="F22" s="344">
        <f>E22/'- 3 -'!$D22*100</f>
        <v>0.5789624880773625</v>
      </c>
      <c r="G22" s="24">
        <f>E22/'- 7 -'!$F22</f>
        <v>68.219262929699596</v>
      </c>
      <c r="H22" s="24">
        <v>512620</v>
      </c>
      <c r="I22" s="344">
        <f>H22/'- 3 -'!$D22*100</f>
        <v>2.6946409173616992</v>
      </c>
      <c r="J22" s="24">
        <f>H22/'- 7 -'!$F22</f>
        <v>317.51006503561473</v>
      </c>
    </row>
    <row r="23" spans="1:10" ht="14.1" customHeight="1">
      <c r="A23" s="351" t="s">
        <v>235</v>
      </c>
      <c r="B23" s="352">
        <v>106200</v>
      </c>
      <c r="C23" s="353">
        <f>B23/'- 3 -'!$D23*100</f>
        <v>0.68221324881255074</v>
      </c>
      <c r="D23" s="352">
        <f>B23/'- 7 -'!$F23</f>
        <v>88.833124215809278</v>
      </c>
      <c r="E23" s="352">
        <v>146000</v>
      </c>
      <c r="F23" s="353">
        <f>E23/'- 3 -'!$D23*100</f>
        <v>0.93788262077808293</v>
      </c>
      <c r="G23" s="352">
        <f>E23/'- 7 -'!$F23</f>
        <v>122.12463404433292</v>
      </c>
      <c r="H23" s="352">
        <v>300400</v>
      </c>
      <c r="I23" s="353">
        <f>H23/'- 3 -'!$D23*100</f>
        <v>1.9297256115187404</v>
      </c>
      <c r="J23" s="352">
        <f>H23/'- 7 -'!$F23</f>
        <v>251.27561689669594</v>
      </c>
    </row>
    <row r="24" spans="1:10" ht="14.1" customHeight="1">
      <c r="A24" s="23" t="s">
        <v>236</v>
      </c>
      <c r="B24" s="24">
        <v>333930</v>
      </c>
      <c r="C24" s="344">
        <f>B24/'- 3 -'!$D24*100</f>
        <v>0.65467350087796594</v>
      </c>
      <c r="D24" s="24">
        <f>B24/'- 7 -'!$F24</f>
        <v>78.167134831460672</v>
      </c>
      <c r="E24" s="24">
        <v>311800</v>
      </c>
      <c r="F24" s="344">
        <f>E24/'- 3 -'!$D24*100</f>
        <v>0.61128738829619911</v>
      </c>
      <c r="G24" s="24">
        <f>E24/'- 7 -'!$F24</f>
        <v>72.986891385767791</v>
      </c>
      <c r="H24" s="24">
        <v>962770</v>
      </c>
      <c r="I24" s="344">
        <f>H24/'- 3 -'!$D24*100</f>
        <v>1.8875213560934305</v>
      </c>
      <c r="J24" s="24">
        <f>H24/'- 7 -'!$F24</f>
        <v>225.36750936329588</v>
      </c>
    </row>
    <row r="25" spans="1:10" ht="14.1" customHeight="1">
      <c r="A25" s="351" t="s">
        <v>237</v>
      </c>
      <c r="B25" s="352">
        <v>429992</v>
      </c>
      <c r="C25" s="353">
        <f>B25/'- 3 -'!$D25*100</f>
        <v>0.28637852117933771</v>
      </c>
      <c r="D25" s="352">
        <f>B25/'- 7 -'!$F25</f>
        <v>31.635668040023543</v>
      </c>
      <c r="E25" s="352">
        <v>920155</v>
      </c>
      <c r="F25" s="353">
        <f>E25/'- 3 -'!$D25*100</f>
        <v>0.6128314669942081</v>
      </c>
      <c r="G25" s="352">
        <f>E25/'- 7 -'!$F25</f>
        <v>67.698278399058267</v>
      </c>
      <c r="H25" s="352">
        <v>3267342</v>
      </c>
      <c r="I25" s="353">
        <f>H25/'- 3 -'!$D25*100</f>
        <v>2.1760790204169838</v>
      </c>
      <c r="J25" s="352">
        <f>H25/'- 7 -'!$F25</f>
        <v>240.38713949381989</v>
      </c>
    </row>
    <row r="26" spans="1:10" ht="14.1" customHeight="1">
      <c r="A26" s="23" t="s">
        <v>238</v>
      </c>
      <c r="B26" s="24">
        <v>199050</v>
      </c>
      <c r="C26" s="344">
        <f>B26/'- 3 -'!$D26*100</f>
        <v>0.5412069183455116</v>
      </c>
      <c r="D26" s="24">
        <f>B26/'- 7 -'!$F26</f>
        <v>66.594178655068589</v>
      </c>
      <c r="E26" s="24">
        <v>352697</v>
      </c>
      <c r="F26" s="344">
        <f>E26/'- 3 -'!$D26*100</f>
        <v>0.9589653678960407</v>
      </c>
      <c r="G26" s="24">
        <f>E26/'- 7 -'!$F26</f>
        <v>117.99832719973236</v>
      </c>
      <c r="H26" s="24">
        <v>586885</v>
      </c>
      <c r="I26" s="344">
        <f>H26/'- 3 -'!$D26*100</f>
        <v>1.5957107373685282</v>
      </c>
      <c r="J26" s="24">
        <f>H26/'- 7 -'!$F26</f>
        <v>196.34827701572434</v>
      </c>
    </row>
    <row r="27" spans="1:10" ht="14.1" customHeight="1">
      <c r="A27" s="351" t="s">
        <v>239</v>
      </c>
      <c r="B27" s="352">
        <v>272425</v>
      </c>
      <c r="C27" s="353">
        <f>B27/'- 3 -'!$D27*100</f>
        <v>0.71152615432238986</v>
      </c>
      <c r="D27" s="352">
        <f>B27/'- 7 -'!$F27</f>
        <v>97.364188706218727</v>
      </c>
      <c r="E27" s="352">
        <v>581071</v>
      </c>
      <c r="F27" s="353">
        <f>E27/'- 3 -'!$D27*100</f>
        <v>1.5176551858980101</v>
      </c>
      <c r="G27" s="352">
        <f>E27/'- 7 -'!$F27</f>
        <v>207.67369549678341</v>
      </c>
      <c r="H27" s="352">
        <v>1000036</v>
      </c>
      <c r="I27" s="353">
        <f>H27/'- 3 -'!$D27*100</f>
        <v>2.6119180297841442</v>
      </c>
      <c r="J27" s="352">
        <f>H27/'- 7 -'!$F27</f>
        <v>357.41100786275911</v>
      </c>
    </row>
    <row r="28" spans="1:10" ht="14.1" customHeight="1">
      <c r="A28" s="23" t="s">
        <v>240</v>
      </c>
      <c r="B28" s="24">
        <v>187950</v>
      </c>
      <c r="C28" s="344">
        <f>B28/'- 3 -'!$D28*100</f>
        <v>0.73317074717764374</v>
      </c>
      <c r="D28" s="24">
        <f>B28/'- 7 -'!$F28</f>
        <v>96.138107416879791</v>
      </c>
      <c r="E28" s="24">
        <v>317883</v>
      </c>
      <c r="F28" s="344">
        <f>E28/'- 3 -'!$D28*100</f>
        <v>1.2400240309926625</v>
      </c>
      <c r="G28" s="24">
        <f>E28/'- 7 -'!$F28</f>
        <v>162.6</v>
      </c>
      <c r="H28" s="24">
        <v>480710</v>
      </c>
      <c r="I28" s="344">
        <f>H28/'- 3 -'!$D28*100</f>
        <v>1.8751929229889071</v>
      </c>
      <c r="J28" s="24">
        <f>H28/'- 7 -'!$F28</f>
        <v>245.88746803069054</v>
      </c>
    </row>
    <row r="29" spans="1:10" ht="14.1" customHeight="1">
      <c r="A29" s="351" t="s">
        <v>241</v>
      </c>
      <c r="B29" s="352">
        <v>377336</v>
      </c>
      <c r="C29" s="353">
        <f>B29/'- 3 -'!$D29*100</f>
        <v>0.27519404124122593</v>
      </c>
      <c r="D29" s="352">
        <f>B29/'- 7 -'!$F29</f>
        <v>31.071805006587617</v>
      </c>
      <c r="E29" s="352">
        <v>1954284</v>
      </c>
      <c r="F29" s="353">
        <f>E29/'- 3 -'!$D29*100</f>
        <v>1.4252743223362416</v>
      </c>
      <c r="G29" s="352">
        <f>E29/'- 7 -'!$F29</f>
        <v>160.92588932806325</v>
      </c>
      <c r="H29" s="352">
        <v>1627860</v>
      </c>
      <c r="I29" s="353">
        <f>H29/'- 3 -'!$D29*100</f>
        <v>1.187210793496889</v>
      </c>
      <c r="J29" s="352">
        <f>H29/'- 7 -'!$F29</f>
        <v>134.04644268774703</v>
      </c>
    </row>
    <row r="30" spans="1:10" ht="14.1" customHeight="1">
      <c r="A30" s="23" t="s">
        <v>242</v>
      </c>
      <c r="B30" s="24">
        <v>107700</v>
      </c>
      <c r="C30" s="344">
        <f>B30/'- 3 -'!$D30*100</f>
        <v>0.81211871139608405</v>
      </c>
      <c r="D30" s="24">
        <f>B30/'- 7 -'!$F30</f>
        <v>100.32603632976246</v>
      </c>
      <c r="E30" s="24">
        <v>141765</v>
      </c>
      <c r="F30" s="344">
        <f>E30/'- 3 -'!$D30*100</f>
        <v>1.0689880141231742</v>
      </c>
      <c r="G30" s="24">
        <f>E30/'- 7 -'!$F30</f>
        <v>132.05868653935724</v>
      </c>
      <c r="H30" s="24">
        <v>245566</v>
      </c>
      <c r="I30" s="344">
        <f>H30/'- 3 -'!$D30*100</f>
        <v>1.8517060676201558</v>
      </c>
      <c r="J30" s="24">
        <f>H30/'- 7 -'!$F30</f>
        <v>228.75267815556592</v>
      </c>
    </row>
    <row r="31" spans="1:10" ht="14.1" customHeight="1">
      <c r="A31" s="351" t="s">
        <v>243</v>
      </c>
      <c r="B31" s="352">
        <v>152213</v>
      </c>
      <c r="C31" s="353">
        <f>B31/'- 3 -'!$D31*100</f>
        <v>0.47415428784214608</v>
      </c>
      <c r="D31" s="352">
        <f>B31/'- 7 -'!$F31</f>
        <v>48.016719242902205</v>
      </c>
      <c r="E31" s="352">
        <v>299598</v>
      </c>
      <c r="F31" s="353">
        <f>E31/'- 3 -'!$D31*100</f>
        <v>0.9332690133492626</v>
      </c>
      <c r="G31" s="352">
        <f>E31/'- 7 -'!$F31</f>
        <v>94.510410094637223</v>
      </c>
      <c r="H31" s="352">
        <v>530177</v>
      </c>
      <c r="I31" s="353">
        <f>H31/'- 3 -'!$D31*100</f>
        <v>1.651538947824992</v>
      </c>
      <c r="J31" s="352">
        <f>H31/'- 7 -'!$F31</f>
        <v>167.24826498422712</v>
      </c>
    </row>
    <row r="32" spans="1:10" ht="14.1" customHeight="1">
      <c r="A32" s="23" t="s">
        <v>244</v>
      </c>
      <c r="B32" s="24">
        <v>185000</v>
      </c>
      <c r="C32" s="344">
        <f>B32/'- 3 -'!$D32*100</f>
        <v>0.74914462868767961</v>
      </c>
      <c r="D32" s="24">
        <f>B32/'- 7 -'!$F32</f>
        <v>90.198583150904653</v>
      </c>
      <c r="E32" s="24">
        <v>195900</v>
      </c>
      <c r="F32" s="344">
        <f>E32/'- 3 -'!$D32*100</f>
        <v>0.79328342032387256</v>
      </c>
      <c r="G32" s="24">
        <f>E32/'- 7 -'!$F32</f>
        <v>95.512986158174172</v>
      </c>
      <c r="H32" s="24">
        <v>567700</v>
      </c>
      <c r="I32" s="344">
        <f>H32/'- 3 -'!$D32*100</f>
        <v>2.2988616524648418</v>
      </c>
      <c r="J32" s="24">
        <f>H32/'- 7 -'!$F32</f>
        <v>276.78776029604637</v>
      </c>
    </row>
    <row r="33" spans="1:10" ht="14.1" customHeight="1">
      <c r="A33" s="351" t="s">
        <v>245</v>
      </c>
      <c r="B33" s="352">
        <v>195500</v>
      </c>
      <c r="C33" s="353">
        <f>B33/'- 3 -'!$D33*100</f>
        <v>0.76615889861229225</v>
      </c>
      <c r="D33" s="352">
        <f>B33/'- 7 -'!$F33</f>
        <v>97.530556248441002</v>
      </c>
      <c r="E33" s="352">
        <v>288900</v>
      </c>
      <c r="F33" s="353">
        <f>E33/'- 3 -'!$D33*100</f>
        <v>1.1321908225528965</v>
      </c>
      <c r="G33" s="352">
        <f>E33/'- 7 -'!$F33</f>
        <v>144.125717136443</v>
      </c>
      <c r="H33" s="352">
        <v>331000</v>
      </c>
      <c r="I33" s="353">
        <f>H33/'- 3 -'!$D33*100</f>
        <v>1.2971795163205562</v>
      </c>
      <c r="J33" s="352">
        <f>H33/'- 7 -'!$F33</f>
        <v>165.12846096283363</v>
      </c>
    </row>
    <row r="34" spans="1:10" ht="14.1" customHeight="1">
      <c r="A34" s="23" t="s">
        <v>246</v>
      </c>
      <c r="B34" s="24">
        <v>155592</v>
      </c>
      <c r="C34" s="344">
        <f>B34/'- 3 -'!$D34*100</f>
        <v>0.6500198984830613</v>
      </c>
      <c r="D34" s="24">
        <f>B34/'- 7 -'!$F34</f>
        <v>77.823238133346678</v>
      </c>
      <c r="E34" s="24">
        <v>282647</v>
      </c>
      <c r="F34" s="344">
        <f>E34/'- 3 -'!$D34*100</f>
        <v>1.1808201851415356</v>
      </c>
      <c r="G34" s="24">
        <f>E34/'- 7 -'!$F34</f>
        <v>141.37298054319012</v>
      </c>
      <c r="H34" s="24">
        <v>512307</v>
      </c>
      <c r="I34" s="344">
        <f>H34/'- 3 -'!$D34*100</f>
        <v>2.1402754905918151</v>
      </c>
      <c r="J34" s="24">
        <f>H34/'- 7 -'!$F34</f>
        <v>256.24318511479021</v>
      </c>
    </row>
    <row r="35" spans="1:10" ht="14.1" customHeight="1">
      <c r="A35" s="351" t="s">
        <v>247</v>
      </c>
      <c r="B35" s="352">
        <v>383400</v>
      </c>
      <c r="C35" s="353">
        <f>B35/'- 3 -'!$D35*100</f>
        <v>0.23433907786387106</v>
      </c>
      <c r="D35" s="352">
        <f>B35/'- 7 -'!$F35</f>
        <v>24.58637937668334</v>
      </c>
      <c r="E35" s="352">
        <v>1260222</v>
      </c>
      <c r="F35" s="353">
        <f>E35/'- 3 -'!$D35*100</f>
        <v>0.77026411419865237</v>
      </c>
      <c r="G35" s="352">
        <f>E35/'- 7 -'!$F35</f>
        <v>80.814544055405932</v>
      </c>
      <c r="H35" s="352">
        <v>2038771</v>
      </c>
      <c r="I35" s="353">
        <f>H35/'- 3 -'!$D35*100</f>
        <v>1.2461234118821136</v>
      </c>
      <c r="J35" s="352">
        <f>H35/'- 7 -'!$F35</f>
        <v>130.74073361549313</v>
      </c>
    </row>
    <row r="36" spans="1:10" ht="14.1" customHeight="1">
      <c r="A36" s="23" t="s">
        <v>248</v>
      </c>
      <c r="B36" s="24">
        <v>209000</v>
      </c>
      <c r="C36" s="344">
        <f>B36/'- 3 -'!$D36*100</f>
        <v>0.98981016482944006</v>
      </c>
      <c r="D36" s="24">
        <f>B36/'- 7 -'!$F36</f>
        <v>127.5946275946276</v>
      </c>
      <c r="E36" s="24">
        <v>221800</v>
      </c>
      <c r="F36" s="344">
        <f>E36/'- 3 -'!$D36*100</f>
        <v>1.0504301175079895</v>
      </c>
      <c r="G36" s="24">
        <f>E36/'- 7 -'!$F36</f>
        <v>135.4090354090354</v>
      </c>
      <c r="H36" s="24">
        <v>476415</v>
      </c>
      <c r="I36" s="344">
        <f>H36/'- 3 -'!$D36*100</f>
        <v>2.2562699027618072</v>
      </c>
      <c r="J36" s="24">
        <f>H36/'- 7 -'!$F36</f>
        <v>290.85164835164835</v>
      </c>
    </row>
    <row r="37" spans="1:10" ht="14.1" customHeight="1">
      <c r="A37" s="351" t="s">
        <v>249</v>
      </c>
      <c r="B37" s="352">
        <v>169300</v>
      </c>
      <c r="C37" s="353">
        <f>B37/'- 3 -'!$D37*100</f>
        <v>0.42489702835099691</v>
      </c>
      <c r="D37" s="352">
        <f>B37/'- 7 -'!$F37</f>
        <v>46.036709721278044</v>
      </c>
      <c r="E37" s="352">
        <v>399583</v>
      </c>
      <c r="F37" s="353">
        <f>E37/'- 3 -'!$D37*100</f>
        <v>1.0028448274044679</v>
      </c>
      <c r="G37" s="352">
        <f>E37/'- 7 -'!$F37</f>
        <v>108.65615227736234</v>
      </c>
      <c r="H37" s="352">
        <v>654905</v>
      </c>
      <c r="I37" s="353">
        <f>H37/'- 3 -'!$D37*100</f>
        <v>1.643633717378675</v>
      </c>
      <c r="J37" s="352">
        <f>H37/'- 7 -'!$F37</f>
        <v>178.08429639700884</v>
      </c>
    </row>
    <row r="38" spans="1:10" ht="14.1" customHeight="1">
      <c r="A38" s="23" t="s">
        <v>250</v>
      </c>
      <c r="B38" s="24">
        <v>334460</v>
      </c>
      <c r="C38" s="344">
        <f>B38/'- 3 -'!$D38*100</f>
        <v>0.29879040182958422</v>
      </c>
      <c r="D38" s="24">
        <f>B38/'- 7 -'!$F38</f>
        <v>31.753536504319758</v>
      </c>
      <c r="E38" s="24">
        <v>963690</v>
      </c>
      <c r="F38" s="344">
        <f>E38/'- 3 -'!$D38*100</f>
        <v>0.86091407743572346</v>
      </c>
      <c r="G38" s="24">
        <f>E38/'- 7 -'!$F38</f>
        <v>91.49245229279407</v>
      </c>
      <c r="H38" s="24">
        <v>1671630</v>
      </c>
      <c r="I38" s="344">
        <f>H38/'- 3 -'!$D38*100</f>
        <v>1.493353463524451</v>
      </c>
      <c r="J38" s="24">
        <f>H38/'- 7 -'!$F38</f>
        <v>158.7040729136998</v>
      </c>
    </row>
    <row r="39" spans="1:10" ht="14.1" customHeight="1">
      <c r="A39" s="351" t="s">
        <v>251</v>
      </c>
      <c r="B39" s="352">
        <v>184500</v>
      </c>
      <c r="C39" s="353">
        <f>B39/'- 3 -'!$D39*100</f>
        <v>0.92694060164624659</v>
      </c>
      <c r="D39" s="352">
        <f>B39/'- 7 -'!$F39</f>
        <v>118.19346572709802</v>
      </c>
      <c r="E39" s="352">
        <v>214324</v>
      </c>
      <c r="F39" s="353">
        <f>E39/'- 3 -'!$D39*100</f>
        <v>1.0767784146733341</v>
      </c>
      <c r="G39" s="352">
        <f>E39/'- 7 -'!$F39</f>
        <v>137.2991672005125</v>
      </c>
      <c r="H39" s="352">
        <v>374028</v>
      </c>
      <c r="I39" s="353">
        <f>H39/'- 3 -'!$D39*100</f>
        <v>1.8791422187129665</v>
      </c>
      <c r="J39" s="352">
        <f>H39/'- 7 -'!$F39</f>
        <v>239.60794362588084</v>
      </c>
    </row>
    <row r="40" spans="1:10" ht="14.1" customHeight="1">
      <c r="A40" s="23" t="s">
        <v>252</v>
      </c>
      <c r="B40" s="24">
        <v>375975</v>
      </c>
      <c r="C40" s="344">
        <f>B40/'- 3 -'!$D40*100</f>
        <v>0.40043893155320431</v>
      </c>
      <c r="D40" s="24">
        <f>B40/'- 7 -'!$F40</f>
        <v>46.243112269999024</v>
      </c>
      <c r="E40" s="24">
        <v>1232507</v>
      </c>
      <c r="F40" s="344">
        <f>E40/'- 3 -'!$D40*100</f>
        <v>1.3127037335244236</v>
      </c>
      <c r="G40" s="24">
        <f>E40/'- 7 -'!$F40</f>
        <v>151.59241857719181</v>
      </c>
      <c r="H40" s="24">
        <v>1388222</v>
      </c>
      <c r="I40" s="344">
        <f>H40/'- 3 -'!$D40*100</f>
        <v>1.4785507931076598</v>
      </c>
      <c r="J40" s="24">
        <f>H40/'- 7 -'!$F40</f>
        <v>170.74461281117783</v>
      </c>
    </row>
    <row r="41" spans="1:10" ht="14.1" customHeight="1">
      <c r="A41" s="351" t="s">
        <v>253</v>
      </c>
      <c r="B41" s="352">
        <v>259491</v>
      </c>
      <c r="C41" s="353">
        <f>B41/'- 3 -'!$D41*100</f>
        <v>0.45666084590143052</v>
      </c>
      <c r="D41" s="352">
        <f>B41/'- 7 -'!$F41</f>
        <v>57.619851226823585</v>
      </c>
      <c r="E41" s="352">
        <v>675093</v>
      </c>
      <c r="F41" s="353">
        <f>E41/'- 3 -'!$D41*100</f>
        <v>1.1880509938384547</v>
      </c>
      <c r="G41" s="352">
        <f>E41/'- 7 -'!$F41</f>
        <v>149.90407460863773</v>
      </c>
      <c r="H41" s="352">
        <v>982217</v>
      </c>
      <c r="I41" s="353">
        <f>H41/'- 3 -'!$D41*100</f>
        <v>1.7285379688650682</v>
      </c>
      <c r="J41" s="352">
        <f>H41/'- 7 -'!$F41</f>
        <v>218.10081048073721</v>
      </c>
    </row>
    <row r="42" spans="1:10" ht="14.1" customHeight="1">
      <c r="A42" s="23" t="s">
        <v>254</v>
      </c>
      <c r="B42" s="24">
        <v>179997</v>
      </c>
      <c r="C42" s="344">
        <f>B42/'- 3 -'!$D42*100</f>
        <v>0.90482363486982986</v>
      </c>
      <c r="D42" s="24">
        <f>B42/'- 7 -'!$F42</f>
        <v>123.45473251028807</v>
      </c>
      <c r="E42" s="24">
        <v>219885</v>
      </c>
      <c r="F42" s="344">
        <f>E42/'- 3 -'!$D42*100</f>
        <v>1.1053358942279734</v>
      </c>
      <c r="G42" s="24">
        <f>E42/'- 7 -'!$F42</f>
        <v>150.81275720164609</v>
      </c>
      <c r="H42" s="24">
        <v>382241</v>
      </c>
      <c r="I42" s="344">
        <f>H42/'- 3 -'!$D42*100</f>
        <v>1.921480308095572</v>
      </c>
      <c r="J42" s="24">
        <f>H42/'- 7 -'!$F42</f>
        <v>262.16803840877913</v>
      </c>
    </row>
    <row r="43" spans="1:10" ht="14.1" customHeight="1">
      <c r="A43" s="351" t="s">
        <v>255</v>
      </c>
      <c r="B43" s="352">
        <v>142759</v>
      </c>
      <c r="C43" s="353">
        <f>B43/'- 3 -'!$D43*100</f>
        <v>1.2081485433947639</v>
      </c>
      <c r="D43" s="352">
        <f>B43/'- 7 -'!$F43</f>
        <v>150.41116818121955</v>
      </c>
      <c r="E43" s="352">
        <v>148384</v>
      </c>
      <c r="F43" s="353">
        <f>E43/'- 3 -'!$D43*100</f>
        <v>1.2557520959315254</v>
      </c>
      <c r="G43" s="352">
        <f>E43/'- 7 -'!$F43</f>
        <v>156.33767944159095</v>
      </c>
      <c r="H43" s="352">
        <v>321576</v>
      </c>
      <c r="I43" s="353">
        <f>H43/'- 3 -'!$D43*100</f>
        <v>2.7214506685442919</v>
      </c>
      <c r="J43" s="352">
        <f>H43/'- 7 -'!$F43</f>
        <v>338.81311734492294</v>
      </c>
    </row>
    <row r="44" spans="1:10" ht="14.1" customHeight="1">
      <c r="A44" s="23" t="s">
        <v>256</v>
      </c>
      <c r="B44" s="24">
        <v>98750</v>
      </c>
      <c r="C44" s="344">
        <f>B44/'- 3 -'!$D44*100</f>
        <v>0.98211623522176139</v>
      </c>
      <c r="D44" s="24">
        <f>B44/'- 7 -'!$F44</f>
        <v>132.01871657754012</v>
      </c>
      <c r="E44" s="24">
        <v>47700</v>
      </c>
      <c r="F44" s="344">
        <f>E44/'- 3 -'!$D44*100</f>
        <v>0.47439943716534699</v>
      </c>
      <c r="G44" s="24">
        <f>E44/'- 7 -'!$F44</f>
        <v>63.770053475935832</v>
      </c>
      <c r="H44" s="24">
        <v>240085</v>
      </c>
      <c r="I44" s="344">
        <f>H44/'- 3 -'!$D44*100</f>
        <v>2.3877607729945982</v>
      </c>
      <c r="J44" s="24">
        <f>H44/'- 7 -'!$F44</f>
        <v>320.96925133689842</v>
      </c>
    </row>
    <row r="45" spans="1:10" ht="14.1" customHeight="1">
      <c r="A45" s="351" t="s">
        <v>257</v>
      </c>
      <c r="B45" s="352">
        <v>126803</v>
      </c>
      <c r="C45" s="353">
        <f>B45/'- 3 -'!$D45*100</f>
        <v>0.77453719138202382</v>
      </c>
      <c r="D45" s="352">
        <f>B45/'- 7 -'!$F45</f>
        <v>76.318386999699072</v>
      </c>
      <c r="E45" s="352">
        <v>147175</v>
      </c>
      <c r="F45" s="353">
        <f>E45/'- 3 -'!$D45*100</f>
        <v>0.89897329827882122</v>
      </c>
      <c r="G45" s="352">
        <f>E45/'- 7 -'!$F45</f>
        <v>88.579596749924761</v>
      </c>
      <c r="H45" s="352">
        <v>306415</v>
      </c>
      <c r="I45" s="353">
        <f>H45/'- 3 -'!$D45*100</f>
        <v>1.8716419445701036</v>
      </c>
      <c r="J45" s="352">
        <f>H45/'- 7 -'!$F45</f>
        <v>184.4207041829672</v>
      </c>
    </row>
    <row r="46" spans="1:10" ht="14.1" customHeight="1">
      <c r="A46" s="23" t="s">
        <v>258</v>
      </c>
      <c r="B46" s="24">
        <v>743200</v>
      </c>
      <c r="C46" s="344">
        <f>B46/'- 3 -'!$D46*100</f>
        <v>0.21076817797546274</v>
      </c>
      <c r="D46" s="24">
        <f>B46/'- 7 -'!$F46</f>
        <v>24.389603570490941</v>
      </c>
      <c r="E46" s="24">
        <v>1918300</v>
      </c>
      <c r="F46" s="344">
        <f>E46/'- 3 -'!$D46*100</f>
        <v>0.54402125378139154</v>
      </c>
      <c r="G46" s="24">
        <f>E46/'- 7 -'!$F46</f>
        <v>62.952874770280914</v>
      </c>
      <c r="H46" s="24">
        <v>6035100</v>
      </c>
      <c r="I46" s="344">
        <f>H46/'- 3 -'!$D46*100</f>
        <v>1.7115272213397676</v>
      </c>
      <c r="J46" s="24">
        <f>H46/'- 7 -'!$F46</f>
        <v>198.05395116828564</v>
      </c>
    </row>
    <row r="47" spans="1:10" ht="5.0999999999999996" customHeight="1">
      <c r="A47"/>
      <c r="B47"/>
      <c r="C47"/>
      <c r="D47"/>
      <c r="E47"/>
      <c r="F47"/>
      <c r="G47"/>
      <c r="H47"/>
      <c r="I47"/>
      <c r="J47"/>
    </row>
    <row r="48" spans="1:10" ht="14.1" customHeight="1">
      <c r="A48" s="354" t="s">
        <v>259</v>
      </c>
      <c r="B48" s="355">
        <f>SUM(B11:B46)</f>
        <v>9404566</v>
      </c>
      <c r="C48" s="356">
        <f>B48/'- 3 -'!$D48*100</f>
        <v>0.4681668117146407</v>
      </c>
      <c r="D48" s="355">
        <f>B48/'- 7 -'!$F48</f>
        <v>54.405153716114341</v>
      </c>
      <c r="E48" s="355">
        <f>SUM(E11:E46)</f>
        <v>19218211</v>
      </c>
      <c r="F48" s="356">
        <f>E48/'- 3 -'!$D48*100</f>
        <v>0.95669790298980695</v>
      </c>
      <c r="G48" s="355">
        <f>E48/'- 7 -'!$F48</f>
        <v>111.17681811193833</v>
      </c>
      <c r="H48" s="355">
        <f>SUM(H11:H46)</f>
        <v>34935995</v>
      </c>
      <c r="I48" s="356">
        <f>H48/'- 3 -'!$D48*100</f>
        <v>1.7391417523390902</v>
      </c>
      <c r="J48" s="355">
        <f>H48/'- 7 -'!$F48</f>
        <v>202.10376302323806</v>
      </c>
    </row>
    <row r="49" spans="1:10" ht="5.0999999999999996" customHeight="1">
      <c r="A49" s="25" t="s">
        <v>3</v>
      </c>
      <c r="B49" s="26"/>
      <c r="C49" s="343"/>
      <c r="D49" s="26"/>
      <c r="E49" s="26"/>
      <c r="F49" s="343"/>
      <c r="H49" s="26"/>
      <c r="I49" s="343"/>
      <c r="J49" s="26"/>
    </row>
    <row r="50" spans="1:10" ht="14.1" customHeight="1">
      <c r="A50" s="23" t="s">
        <v>260</v>
      </c>
      <c r="B50" s="24">
        <v>44200</v>
      </c>
      <c r="C50" s="344">
        <f>B50/'- 3 -'!$D50*100</f>
        <v>1.3688342456314213</v>
      </c>
      <c r="D50" s="24">
        <f>B50/'- 7 -'!$F50</f>
        <v>244.1988950276243</v>
      </c>
      <c r="E50" s="24">
        <v>64051</v>
      </c>
      <c r="F50" s="344">
        <f>E50/'- 3 -'!$D50*100</f>
        <v>1.9836018612429447</v>
      </c>
      <c r="G50" s="24">
        <f>E50/'- 7 -'!$F50</f>
        <v>353.8729281767956</v>
      </c>
      <c r="H50" s="24">
        <v>139849</v>
      </c>
      <c r="I50" s="344">
        <f>H50/'- 3 -'!$D50*100</f>
        <v>4.3309977469979328</v>
      </c>
      <c r="J50" s="24">
        <f>H50/'- 7 -'!$F50</f>
        <v>772.64640883977904</v>
      </c>
    </row>
    <row r="51" spans="1:10" ht="14.1" customHeight="1">
      <c r="A51" s="351" t="s">
        <v>261</v>
      </c>
      <c r="B51" s="352">
        <v>69971</v>
      </c>
      <c r="C51" s="353">
        <f>B51/'- 3 -'!$D51*100</f>
        <v>0.39672509447388038</v>
      </c>
      <c r="D51" s="352">
        <f>B51/'- 7 -'!$F51</f>
        <v>112.67471819645732</v>
      </c>
      <c r="E51" s="352">
        <v>254064</v>
      </c>
      <c r="F51" s="353">
        <f>E51/'- 3 -'!$D51*100</f>
        <v>1.4405048434696082</v>
      </c>
      <c r="G51" s="352">
        <f>E51/'- 7 -'!$F51</f>
        <v>409.12077294685992</v>
      </c>
      <c r="H51" s="352">
        <v>766647</v>
      </c>
      <c r="I51" s="353">
        <f>H51/'- 3 -'!$D51*100</f>
        <v>4.346773713440097</v>
      </c>
      <c r="J51" s="352">
        <f>H51/'- 7 -'!$F51</f>
        <v>1234.536231884058</v>
      </c>
    </row>
    <row r="52" spans="1:10" ht="50.1" customHeight="1">
      <c r="B52"/>
      <c r="C52"/>
      <c r="D52"/>
      <c r="E52"/>
      <c r="F52"/>
      <c r="G52"/>
      <c r="H52"/>
      <c r="I52"/>
      <c r="J52"/>
    </row>
    <row r="53" spans="1:10" ht="15" customHeight="1"/>
    <row r="54" spans="1:10" ht="14.45" customHeight="1"/>
    <row r="55" spans="1:10" ht="14.45" customHeight="1"/>
    <row r="56" spans="1:10" ht="14.45" customHeight="1"/>
    <row r="57" spans="1:10" ht="14.45" customHeight="1"/>
    <row r="58" spans="1:10" ht="14.45" customHeight="1"/>
    <row r="59" spans="1:10" ht="14.45" customHeight="1"/>
  </sheetData>
  <phoneticPr fontId="0" type="noConversion"/>
  <printOptions horizontalCentered="1"/>
  <pageMargins left="0.51181102362204722" right="0.51181102362204722" top="0.59055118110236227" bottom="0" header="0.31496062992125984" footer="0"/>
  <pageSetup scale="92" orientation="portrait" r:id="rId1"/>
  <headerFooter alignWithMargins="0">
    <oddHeader>&amp;C&amp;"Arial,Bold"&amp;10&amp;A</oddHeader>
  </headerFooter>
</worksheet>
</file>

<file path=xl/worksheets/sheet23.xml><?xml version="1.0" encoding="utf-8"?>
<worksheet xmlns="http://schemas.openxmlformats.org/spreadsheetml/2006/main" xmlns:r="http://schemas.openxmlformats.org/officeDocument/2006/relationships">
  <sheetPr codeName="Sheet22">
    <pageSetUpPr fitToPage="1"/>
  </sheetPr>
  <dimension ref="A1:E59"/>
  <sheetViews>
    <sheetView showGridLines="0" showZeros="0" workbookViewId="0"/>
  </sheetViews>
  <sheetFormatPr defaultColWidth="15.83203125" defaultRowHeight="12"/>
  <cols>
    <col min="1" max="1" width="36.83203125" style="1" customWidth="1"/>
    <col min="2" max="2" width="19.83203125" style="1" customWidth="1"/>
    <col min="3" max="3" width="11.5" style="1" customWidth="1"/>
    <col min="4" max="4" width="12.6640625" style="1" customWidth="1"/>
    <col min="5" max="5" width="44.83203125" style="1" customWidth="1"/>
    <col min="6" max="16384" width="15.83203125" style="1"/>
  </cols>
  <sheetData>
    <row r="1" spans="1:5" ht="6.95" customHeight="1">
      <c r="A1" s="3"/>
      <c r="B1" s="4"/>
      <c r="C1" s="4"/>
      <c r="D1" s="4"/>
      <c r="E1" s="4"/>
    </row>
    <row r="2" spans="1:5" ht="15.95" customHeight="1">
      <c r="A2" s="160"/>
      <c r="B2" s="5" t="s">
        <v>437</v>
      </c>
      <c r="C2" s="6"/>
      <c r="D2" s="6"/>
      <c r="E2" s="183" t="s">
        <v>389</v>
      </c>
    </row>
    <row r="3" spans="1:5" ht="15.95" customHeight="1">
      <c r="A3" s="163"/>
      <c r="B3" s="7" t="str">
        <f>OPYEAR</f>
        <v>OPERATING FUND 2012/2013 BUDGET</v>
      </c>
      <c r="C3" s="8"/>
      <c r="D3" s="8"/>
      <c r="E3" s="100"/>
    </row>
    <row r="4" spans="1:5" ht="15.95" customHeight="1">
      <c r="B4" s="4"/>
      <c r="C4" s="4"/>
      <c r="D4" s="4"/>
      <c r="E4" s="4"/>
    </row>
    <row r="5" spans="1:5" ht="15.95" customHeight="1">
      <c r="B5" s="207" t="s">
        <v>351</v>
      </c>
      <c r="C5" s="173"/>
      <c r="D5" s="167"/>
      <c r="E5" s="74"/>
    </row>
    <row r="6" spans="1:5" ht="15.95" customHeight="1">
      <c r="B6" s="345" t="s">
        <v>15</v>
      </c>
      <c r="C6" s="346"/>
      <c r="D6" s="347"/>
      <c r="E6" s="104"/>
    </row>
    <row r="7" spans="1:5" ht="15.95" customHeight="1">
      <c r="B7" s="348" t="s">
        <v>41</v>
      </c>
      <c r="C7" s="349"/>
      <c r="D7" s="350"/>
      <c r="E7" s="104"/>
    </row>
    <row r="8" spans="1:5" ht="15.95" customHeight="1">
      <c r="A8" s="101"/>
      <c r="B8" s="169"/>
      <c r="C8" s="168"/>
      <c r="D8" s="168" t="s">
        <v>59</v>
      </c>
      <c r="E8" s="104"/>
    </row>
    <row r="9" spans="1:5" ht="15.95" customHeight="1">
      <c r="A9" s="35" t="s">
        <v>79</v>
      </c>
      <c r="B9" s="112" t="s">
        <v>80</v>
      </c>
      <c r="C9" s="112" t="s">
        <v>81</v>
      </c>
      <c r="D9" s="112" t="s">
        <v>82</v>
      </c>
    </row>
    <row r="10" spans="1:5" ht="5.0999999999999996" customHeight="1">
      <c r="A10" s="37"/>
    </row>
    <row r="11" spans="1:5" ht="14.1" customHeight="1">
      <c r="A11" s="351" t="s">
        <v>224</v>
      </c>
      <c r="B11" s="352">
        <v>0</v>
      </c>
      <c r="C11" s="353">
        <f>B11/'- 3 -'!$D11*100</f>
        <v>0</v>
      </c>
      <c r="D11" s="352">
        <f>B11/'- 7 -'!$F11</f>
        <v>0</v>
      </c>
    </row>
    <row r="12" spans="1:5" ht="14.1" customHeight="1">
      <c r="A12" s="23" t="s">
        <v>225</v>
      </c>
      <c r="B12" s="24">
        <v>60350</v>
      </c>
      <c r="C12" s="344">
        <f>B12/'- 3 -'!$D12*100</f>
        <v>0.20115651496787795</v>
      </c>
      <c r="D12" s="24">
        <f>B12/'- 7 -'!$F12</f>
        <v>26.127577040635199</v>
      </c>
    </row>
    <row r="13" spans="1:5" ht="14.1" customHeight="1">
      <c r="A13" s="351" t="s">
        <v>226</v>
      </c>
      <c r="B13" s="352">
        <v>220000</v>
      </c>
      <c r="C13" s="353">
        <f>B13/'- 3 -'!$D13*100</f>
        <v>0.28066307928221695</v>
      </c>
      <c r="D13" s="352">
        <f>B13/'- 7 -'!$F13</f>
        <v>28.467908902691512</v>
      </c>
    </row>
    <row r="14" spans="1:5" ht="14.1" customHeight="1">
      <c r="A14" s="23" t="s">
        <v>524</v>
      </c>
      <c r="B14" s="24">
        <v>112146</v>
      </c>
      <c r="C14" s="344">
        <f>B14/'- 3 -'!$D14*100</f>
        <v>0.1569338353286798</v>
      </c>
      <c r="D14" s="24">
        <f>B14/'- 7 -'!$F14</f>
        <v>22.251190476190477</v>
      </c>
    </row>
    <row r="15" spans="1:5" ht="14.1" customHeight="1">
      <c r="A15" s="351" t="s">
        <v>227</v>
      </c>
      <c r="B15" s="352">
        <v>33300</v>
      </c>
      <c r="C15" s="353">
        <f>B15/'- 3 -'!$D15*100</f>
        <v>0.17802457198856603</v>
      </c>
      <c r="D15" s="352">
        <f>B15/'- 7 -'!$F15</f>
        <v>22.289156626506024</v>
      </c>
    </row>
    <row r="16" spans="1:5" ht="14.1" customHeight="1">
      <c r="A16" s="23" t="s">
        <v>228</v>
      </c>
      <c r="B16" s="24">
        <v>32154</v>
      </c>
      <c r="C16" s="344">
        <f>B16/'- 3 -'!$D16*100</f>
        <v>0.25404541687972748</v>
      </c>
      <c r="D16" s="24">
        <f>B16/'- 7 -'!$F16</f>
        <v>32.49519959575543</v>
      </c>
    </row>
    <row r="17" spans="1:4" ht="14.1" customHeight="1">
      <c r="A17" s="351" t="s">
        <v>229</v>
      </c>
      <c r="B17" s="352">
        <v>55760</v>
      </c>
      <c r="C17" s="353">
        <f>B17/'- 3 -'!$D17*100</f>
        <v>0.34208039110046207</v>
      </c>
      <c r="D17" s="352">
        <f>B17/'- 7 -'!$F17</f>
        <v>43.376118241929213</v>
      </c>
    </row>
    <row r="18" spans="1:4" ht="14.1" customHeight="1">
      <c r="A18" s="23" t="s">
        <v>230</v>
      </c>
      <c r="B18" s="24">
        <v>475986</v>
      </c>
      <c r="C18" s="344">
        <f>B18/'- 3 -'!$D18*100</f>
        <v>0.41330470089487703</v>
      </c>
      <c r="D18" s="24">
        <f>B18/'- 7 -'!$F18</f>
        <v>75.272554756068629</v>
      </c>
    </row>
    <row r="19" spans="1:4" ht="14.1" customHeight="1">
      <c r="A19" s="351" t="s">
        <v>231</v>
      </c>
      <c r="B19" s="352">
        <v>47100</v>
      </c>
      <c r="C19" s="353">
        <f>B19/'- 3 -'!$D19*100</f>
        <v>0.12048767578633876</v>
      </c>
      <c r="D19" s="352">
        <f>B19/'- 7 -'!$F19</f>
        <v>11.179681936862094</v>
      </c>
    </row>
    <row r="20" spans="1:4" ht="14.1" customHeight="1">
      <c r="A20" s="23" t="s">
        <v>232</v>
      </c>
      <c r="B20" s="24">
        <v>59700</v>
      </c>
      <c r="C20" s="344">
        <f>B20/'- 3 -'!$D20*100</f>
        <v>8.8223558793539145E-2</v>
      </c>
      <c r="D20" s="24">
        <f>B20/'- 7 -'!$F20</f>
        <v>8.0404040404040398</v>
      </c>
    </row>
    <row r="21" spans="1:4" ht="14.1" customHeight="1">
      <c r="A21" s="351" t="s">
        <v>233</v>
      </c>
      <c r="B21" s="352">
        <v>50000</v>
      </c>
      <c r="C21" s="353">
        <f>B21/'- 3 -'!$D21*100</f>
        <v>0.15359161709241237</v>
      </c>
      <c r="D21" s="352">
        <f>B21/'- 7 -'!$F21</f>
        <v>17.921146953405017</v>
      </c>
    </row>
    <row r="22" spans="1:4" ht="14.1" customHeight="1">
      <c r="A22" s="23" t="s">
        <v>234</v>
      </c>
      <c r="B22" s="24">
        <v>0</v>
      </c>
      <c r="C22" s="344">
        <f>B22/'- 3 -'!$D22*100</f>
        <v>0</v>
      </c>
      <c r="D22" s="24">
        <f>B22/'- 7 -'!$F22</f>
        <v>0</v>
      </c>
    </row>
    <row r="23" spans="1:4" ht="14.1" customHeight="1">
      <c r="A23" s="351" t="s">
        <v>235</v>
      </c>
      <c r="B23" s="352">
        <v>0</v>
      </c>
      <c r="C23" s="353">
        <f>B23/'- 3 -'!$D23*100</f>
        <v>0</v>
      </c>
      <c r="D23" s="352">
        <f>B23/'- 7 -'!$F23</f>
        <v>0</v>
      </c>
    </row>
    <row r="24" spans="1:4" ht="14.1" customHeight="1">
      <c r="A24" s="23" t="s">
        <v>236</v>
      </c>
      <c r="B24" s="24">
        <v>148865</v>
      </c>
      <c r="C24" s="344">
        <f>B24/'- 3 -'!$D24*100</f>
        <v>0.29185149794327669</v>
      </c>
      <c r="D24" s="24">
        <f>B24/'- 7 -'!$F24</f>
        <v>34.846676029962545</v>
      </c>
    </row>
    <row r="25" spans="1:4" ht="14.1" customHeight="1">
      <c r="A25" s="351" t="s">
        <v>237</v>
      </c>
      <c r="B25" s="352">
        <v>391703</v>
      </c>
      <c r="C25" s="353">
        <f>B25/'- 3 -'!$D25*100</f>
        <v>0.2608777044259199</v>
      </c>
      <c r="D25" s="352">
        <f>B25/'- 7 -'!$F25</f>
        <v>28.818643319599765</v>
      </c>
    </row>
    <row r="26" spans="1:4" ht="14.1" customHeight="1">
      <c r="A26" s="23" t="s">
        <v>238</v>
      </c>
      <c r="B26" s="24">
        <v>35000</v>
      </c>
      <c r="C26" s="344">
        <f>B26/'- 3 -'!$D26*100</f>
        <v>9.5163236081853328E-2</v>
      </c>
      <c r="D26" s="24">
        <f>B26/'- 7 -'!$F26</f>
        <v>11.7096018735363</v>
      </c>
    </row>
    <row r="27" spans="1:4" ht="14.1" customHeight="1">
      <c r="A27" s="351" t="s">
        <v>239</v>
      </c>
      <c r="B27" s="352">
        <v>124160</v>
      </c>
      <c r="C27" s="353">
        <f>B27/'- 3 -'!$D27*100</f>
        <v>0.32428406835153867</v>
      </c>
      <c r="D27" s="352">
        <f>B27/'- 7 -'!$F27</f>
        <v>44.374553252323089</v>
      </c>
    </row>
    <row r="28" spans="1:4" ht="14.1" customHeight="1">
      <c r="A28" s="23" t="s">
        <v>240</v>
      </c>
      <c r="B28" s="24">
        <v>43000</v>
      </c>
      <c r="C28" s="344">
        <f>B28/'- 3 -'!$D28*100</f>
        <v>0.16773792034391424</v>
      </c>
      <c r="D28" s="24">
        <f>B28/'- 7 -'!$F28</f>
        <v>21.994884910485933</v>
      </c>
    </row>
    <row r="29" spans="1:4" ht="14.1" customHeight="1">
      <c r="A29" s="351" t="s">
        <v>241</v>
      </c>
      <c r="B29" s="352">
        <v>812062</v>
      </c>
      <c r="C29" s="353">
        <f>B29/'- 3 -'!$D29*100</f>
        <v>0.59224305000962651</v>
      </c>
      <c r="D29" s="352">
        <f>B29/'- 7 -'!$F29</f>
        <v>66.869400527009219</v>
      </c>
    </row>
    <row r="30" spans="1:4" ht="14.1" customHeight="1">
      <c r="A30" s="23" t="s">
        <v>242</v>
      </c>
      <c r="B30" s="24">
        <v>26500</v>
      </c>
      <c r="C30" s="344">
        <f>B30/'- 3 -'!$D30*100</f>
        <v>0.19982493827294551</v>
      </c>
      <c r="D30" s="24">
        <f>B30/'- 7 -'!$F30</f>
        <v>24.685607824871916</v>
      </c>
    </row>
    <row r="31" spans="1:4" ht="14.1" customHeight="1">
      <c r="A31" s="351" t="s">
        <v>243</v>
      </c>
      <c r="B31" s="352">
        <v>123863</v>
      </c>
      <c r="C31" s="353">
        <f>B31/'- 3 -'!$D31*100</f>
        <v>0.38584202765198605</v>
      </c>
      <c r="D31" s="352">
        <f>B31/'- 7 -'!$F31</f>
        <v>39.073501577287068</v>
      </c>
    </row>
    <row r="32" spans="1:4" ht="14.1" customHeight="1">
      <c r="A32" s="23" t="s">
        <v>244</v>
      </c>
      <c r="B32" s="24">
        <v>36500</v>
      </c>
      <c r="C32" s="344">
        <f>B32/'- 3 -'!$D32*100</f>
        <v>0.14780421052486653</v>
      </c>
      <c r="D32" s="24">
        <f>B32/'- 7 -'!$F32</f>
        <v>17.795936675719027</v>
      </c>
    </row>
    <row r="33" spans="1:5" ht="14.1" customHeight="1">
      <c r="A33" s="351" t="s">
        <v>245</v>
      </c>
      <c r="B33" s="352">
        <v>30000</v>
      </c>
      <c r="C33" s="353">
        <f>B33/'- 3 -'!$D33*100</f>
        <v>0.11756914045201415</v>
      </c>
      <c r="D33" s="352">
        <f>B33/'- 7 -'!$F33</f>
        <v>14.966325767024195</v>
      </c>
    </row>
    <row r="34" spans="1:5" ht="14.1" customHeight="1">
      <c r="A34" s="23" t="s">
        <v>246</v>
      </c>
      <c r="B34" s="24">
        <v>18500</v>
      </c>
      <c r="C34" s="344">
        <f>B34/'- 3 -'!$D34*100</f>
        <v>7.7287830492163048E-2</v>
      </c>
      <c r="D34" s="24">
        <f>B34/'- 7 -'!$F34</f>
        <v>9.2532386335217325</v>
      </c>
    </row>
    <row r="35" spans="1:5" ht="14.1" customHeight="1">
      <c r="A35" s="351" t="s">
        <v>247</v>
      </c>
      <c r="B35" s="352">
        <v>1032700</v>
      </c>
      <c r="C35" s="353">
        <f>B35/'- 3 -'!$D35*100</f>
        <v>0.63119970190406793</v>
      </c>
      <c r="D35" s="352">
        <f>B35/'- 7 -'!$F35</f>
        <v>66.224188790560476</v>
      </c>
    </row>
    <row r="36" spans="1:5" ht="14.1" customHeight="1">
      <c r="A36" s="23" t="s">
        <v>248</v>
      </c>
      <c r="B36" s="24">
        <v>0</v>
      </c>
      <c r="C36" s="344">
        <f>B36/'- 3 -'!$D36*100</f>
        <v>0</v>
      </c>
      <c r="D36" s="24">
        <f>B36/'- 7 -'!$F36</f>
        <v>0</v>
      </c>
    </row>
    <row r="37" spans="1:5" ht="14.1" customHeight="1">
      <c r="A37" s="351" t="s">
        <v>249</v>
      </c>
      <c r="B37" s="352">
        <v>194692</v>
      </c>
      <c r="C37" s="353">
        <f>B37/'- 3 -'!$D37*100</f>
        <v>0.4886240534182652</v>
      </c>
      <c r="D37" s="352">
        <f>B37/'- 7 -'!$F37</f>
        <v>52.941400407885794</v>
      </c>
    </row>
    <row r="38" spans="1:5" ht="14.1" customHeight="1">
      <c r="A38" s="23" t="s">
        <v>250</v>
      </c>
      <c r="B38" s="24">
        <v>381875</v>
      </c>
      <c r="C38" s="344">
        <f>B38/'- 3 -'!$D38*100</f>
        <v>0.34114867158605655</v>
      </c>
      <c r="D38" s="24">
        <f>B38/'- 7 -'!$F38</f>
        <v>36.255103009588908</v>
      </c>
    </row>
    <row r="39" spans="1:5" ht="14.1" customHeight="1">
      <c r="A39" s="351" t="s">
        <v>251</v>
      </c>
      <c r="B39" s="352">
        <v>35000</v>
      </c>
      <c r="C39" s="353">
        <f>B39/'- 3 -'!$D39*100</f>
        <v>0.17584239055619852</v>
      </c>
      <c r="D39" s="352">
        <f>B39/'- 7 -'!$F39</f>
        <v>22.421524663677129</v>
      </c>
    </row>
    <row r="40" spans="1:5" ht="14.1" customHeight="1">
      <c r="A40" s="23" t="s">
        <v>252</v>
      </c>
      <c r="B40" s="24">
        <v>236301</v>
      </c>
      <c r="C40" s="344">
        <f>B40/'- 3 -'!$D40*100</f>
        <v>0.25167662734212043</v>
      </c>
      <c r="D40" s="24">
        <f>B40/'- 7 -'!$F40</f>
        <v>29.063883695759131</v>
      </c>
    </row>
    <row r="41" spans="1:5" ht="14.1" customHeight="1">
      <c r="A41" s="351" t="s">
        <v>253</v>
      </c>
      <c r="B41" s="352">
        <v>148634</v>
      </c>
      <c r="C41" s="353">
        <f>B41/'- 3 -'!$D41*100</f>
        <v>0.26157103009242416</v>
      </c>
      <c r="D41" s="352">
        <f>B41/'- 7 -'!$F41</f>
        <v>33.00410791606528</v>
      </c>
    </row>
    <row r="42" spans="1:5" ht="14.1" customHeight="1">
      <c r="A42" s="23" t="s">
        <v>254</v>
      </c>
      <c r="B42" s="24">
        <v>30500</v>
      </c>
      <c r="C42" s="344">
        <f>B42/'- 3 -'!$D42*100</f>
        <v>0.15331989346227889</v>
      </c>
      <c r="D42" s="24">
        <f>B42/'- 7 -'!$F42</f>
        <v>20.919067215363512</v>
      </c>
    </row>
    <row r="43" spans="1:5" ht="14.1" customHeight="1">
      <c r="A43" s="351" t="s">
        <v>255</v>
      </c>
      <c r="B43" s="352">
        <v>0</v>
      </c>
      <c r="C43" s="353">
        <f>B43/'- 3 -'!$D43*100</f>
        <v>0</v>
      </c>
      <c r="D43" s="352">
        <f>B43/'- 7 -'!$F43</f>
        <v>0</v>
      </c>
    </row>
    <row r="44" spans="1:5" ht="14.1" customHeight="1">
      <c r="A44" s="23" t="s">
        <v>256</v>
      </c>
      <c r="B44" s="24">
        <v>0</v>
      </c>
      <c r="C44" s="344">
        <f>B44/'- 3 -'!$D44*100</f>
        <v>0</v>
      </c>
      <c r="D44" s="24">
        <f>B44/'- 7 -'!$F44</f>
        <v>0</v>
      </c>
    </row>
    <row r="45" spans="1:5" ht="14.1" customHeight="1">
      <c r="A45" s="351" t="s">
        <v>257</v>
      </c>
      <c r="B45" s="352">
        <v>33000</v>
      </c>
      <c r="C45" s="353">
        <f>B45/'- 3 -'!$D45*100</f>
        <v>0.20157036754340818</v>
      </c>
      <c r="D45" s="352">
        <f>B45/'- 7 -'!$F45</f>
        <v>19.861570869696056</v>
      </c>
    </row>
    <row r="46" spans="1:5" ht="14.1" customHeight="1">
      <c r="A46" s="23" t="s">
        <v>258</v>
      </c>
      <c r="B46" s="24">
        <v>1281700</v>
      </c>
      <c r="C46" s="344">
        <f>B46/'- 3 -'!$D46*100</f>
        <v>0.36348435644665045</v>
      </c>
      <c r="D46" s="24">
        <f>B46/'- 7 -'!$F46</f>
        <v>42.061564715148336</v>
      </c>
    </row>
    <row r="47" spans="1:5" ht="5.0999999999999996" customHeight="1">
      <c r="A47"/>
      <c r="B47"/>
      <c r="C47"/>
      <c r="D47"/>
    </row>
    <row r="48" spans="1:5" ht="14.1" customHeight="1">
      <c r="A48" s="354" t="s">
        <v>259</v>
      </c>
      <c r="B48" s="355">
        <f>SUM(B11:B46)</f>
        <v>6311051</v>
      </c>
      <c r="C48" s="356">
        <f>B48/'- 3 -'!$D48*100</f>
        <v>0.31416916264275191</v>
      </c>
      <c r="D48" s="355">
        <f>B48/'- 7 -'!$F48</f>
        <v>36.509255160231433</v>
      </c>
      <c r="E48" s="37"/>
    </row>
    <row r="49" spans="1:4" ht="5.0999999999999996" customHeight="1">
      <c r="A49" s="25" t="s">
        <v>3</v>
      </c>
      <c r="B49" s="26"/>
      <c r="C49" s="343"/>
      <c r="D49" s="26"/>
    </row>
    <row r="50" spans="1:4" ht="14.1" customHeight="1">
      <c r="A50" s="23" t="s">
        <v>260</v>
      </c>
      <c r="B50" s="24">
        <v>0</v>
      </c>
      <c r="C50" s="344">
        <f>B50/'- 3 -'!$D50*100</f>
        <v>0</v>
      </c>
      <c r="D50" s="24">
        <f>B50/'- 7 -'!$F50</f>
        <v>0</v>
      </c>
    </row>
    <row r="51" spans="1:4" ht="14.1" customHeight="1">
      <c r="A51" s="351" t="s">
        <v>261</v>
      </c>
      <c r="B51" s="352">
        <v>678160</v>
      </c>
      <c r="C51" s="353">
        <f>B51/'- 3 -'!$D51*100</f>
        <v>3.8450656710409565</v>
      </c>
      <c r="D51" s="352">
        <f>B51/'- 7 -'!$F51</f>
        <v>1092.0450885668276</v>
      </c>
    </row>
    <row r="52" spans="1:4" ht="50.1" customHeight="1"/>
    <row r="53" spans="1:4" ht="15" customHeight="1"/>
    <row r="54" spans="1:4" ht="14.45" customHeight="1"/>
    <row r="55" spans="1:4" ht="14.45" customHeight="1"/>
    <row r="56" spans="1:4" ht="14.45" customHeight="1"/>
    <row r="57" spans="1:4" ht="14.45" customHeight="1"/>
    <row r="58" spans="1:4" ht="14.45" customHeight="1"/>
    <row r="59" spans="1:4" ht="14.45" customHeight="1"/>
  </sheetData>
  <phoneticPr fontId="0" type="noConversion"/>
  <printOptions horizontalCentered="1"/>
  <pageMargins left="0.51181102362204722" right="0.51181102362204722" top="0.59055118110236227" bottom="0" header="0.31496062992125984" footer="0"/>
  <pageSetup scale="92" orientation="portrait" r:id="rId1"/>
  <headerFooter alignWithMargins="0">
    <oddHeader>&amp;C&amp;"Arial,Bold"&amp;10&amp;A</oddHeader>
  </headerFooter>
</worksheet>
</file>

<file path=xl/worksheets/sheet24.xml><?xml version="1.0" encoding="utf-8"?>
<worksheet xmlns="http://schemas.openxmlformats.org/spreadsheetml/2006/main" xmlns:r="http://schemas.openxmlformats.org/officeDocument/2006/relationships">
  <sheetPr codeName="Sheet24">
    <pageSetUpPr fitToPage="1"/>
  </sheetPr>
  <dimension ref="A1:J59"/>
  <sheetViews>
    <sheetView showGridLines="0" showZeros="0" workbookViewId="0"/>
  </sheetViews>
  <sheetFormatPr defaultColWidth="15.83203125" defaultRowHeight="12"/>
  <cols>
    <col min="1" max="1" width="29.83203125" style="1" customWidth="1"/>
    <col min="2" max="2" width="15" style="1" customWidth="1"/>
    <col min="3" max="3" width="9.1640625" style="1" customWidth="1"/>
    <col min="4" max="4" width="9.83203125" style="1" customWidth="1"/>
    <col min="5" max="5" width="12.6640625" style="1" customWidth="1"/>
    <col min="6" max="6" width="8.1640625" style="1" customWidth="1"/>
    <col min="7" max="7" width="9.1640625" style="1" customWidth="1"/>
    <col min="8" max="8" width="12.6640625" style="1" customWidth="1"/>
    <col min="9" max="9" width="8.5" style="1" customWidth="1"/>
    <col min="10" max="10" width="9.1640625" style="1" customWidth="1"/>
    <col min="11" max="16384" width="15.83203125" style="1"/>
  </cols>
  <sheetData>
    <row r="1" spans="1:10" ht="6.95" customHeight="1">
      <c r="A1" s="3"/>
      <c r="B1" s="4"/>
      <c r="C1" s="4"/>
      <c r="D1" s="4"/>
      <c r="E1" s="4"/>
      <c r="F1" s="4"/>
      <c r="G1" s="4"/>
      <c r="H1" s="4"/>
      <c r="I1" s="4"/>
      <c r="J1" s="4"/>
    </row>
    <row r="2" spans="1:10" ht="15.95" customHeight="1">
      <c r="A2" s="160"/>
      <c r="B2" s="5" t="s">
        <v>437</v>
      </c>
      <c r="C2" s="6"/>
      <c r="D2" s="161"/>
      <c r="E2" s="6"/>
      <c r="F2" s="6"/>
      <c r="G2" s="6"/>
      <c r="H2" s="105"/>
      <c r="I2" s="105"/>
      <c r="J2" s="183" t="s">
        <v>388</v>
      </c>
    </row>
    <row r="3" spans="1:10" ht="15.95" customHeight="1">
      <c r="A3" s="163"/>
      <c r="B3" s="7" t="str">
        <f>OPYEAR</f>
        <v>OPERATING FUND 2012/2013 BUDGET</v>
      </c>
      <c r="C3" s="8"/>
      <c r="D3" s="176"/>
      <c r="E3" s="8"/>
      <c r="F3" s="8"/>
      <c r="G3" s="8"/>
      <c r="H3" s="107"/>
      <c r="I3" s="107"/>
      <c r="J3" s="8"/>
    </row>
    <row r="4" spans="1:10" ht="15.95" customHeight="1">
      <c r="B4" s="4"/>
      <c r="C4" s="4"/>
      <c r="D4" s="4"/>
      <c r="E4" s="4"/>
      <c r="F4" s="4"/>
      <c r="G4" s="4"/>
      <c r="H4" s="4"/>
      <c r="I4" s="4"/>
      <c r="J4" s="4"/>
    </row>
    <row r="5" spans="1:10" ht="15.95" customHeight="1">
      <c r="B5" s="510" t="s">
        <v>425</v>
      </c>
      <c r="C5" s="185"/>
      <c r="D5" s="186"/>
      <c r="E5" s="186"/>
      <c r="F5" s="186"/>
      <c r="G5" s="186"/>
      <c r="H5" s="186"/>
      <c r="I5" s="186"/>
      <c r="J5" s="187"/>
    </row>
    <row r="6" spans="1:10" ht="15.95" customHeight="1">
      <c r="B6" s="345" t="s">
        <v>328</v>
      </c>
      <c r="C6" s="346"/>
      <c r="D6" s="347"/>
      <c r="E6" s="345" t="s">
        <v>17</v>
      </c>
      <c r="F6" s="346"/>
      <c r="G6" s="347"/>
      <c r="H6" s="345" t="s">
        <v>321</v>
      </c>
      <c r="I6" s="346"/>
      <c r="J6" s="347"/>
    </row>
    <row r="7" spans="1:10" ht="15.95" customHeight="1">
      <c r="B7" s="348" t="s">
        <v>333</v>
      </c>
      <c r="C7" s="349"/>
      <c r="D7" s="350"/>
      <c r="E7" s="348" t="s">
        <v>43</v>
      </c>
      <c r="F7" s="349"/>
      <c r="G7" s="350"/>
      <c r="H7" s="348" t="s">
        <v>262</v>
      </c>
      <c r="I7" s="349"/>
      <c r="J7" s="350"/>
    </row>
    <row r="8" spans="1:10" ht="15.95" customHeight="1">
      <c r="A8" s="101"/>
      <c r="B8" s="169"/>
      <c r="C8" s="168"/>
      <c r="D8" s="168" t="s">
        <v>59</v>
      </c>
      <c r="E8" s="169"/>
      <c r="F8" s="168"/>
      <c r="G8" s="168" t="s">
        <v>59</v>
      </c>
      <c r="H8" s="169"/>
      <c r="I8" s="168"/>
      <c r="J8" s="168" t="s">
        <v>59</v>
      </c>
    </row>
    <row r="9" spans="1:10" ht="15.95" customHeight="1">
      <c r="A9" s="35" t="s">
        <v>79</v>
      </c>
      <c r="B9" s="112" t="s">
        <v>80</v>
      </c>
      <c r="C9" s="112" t="s">
        <v>81</v>
      </c>
      <c r="D9" s="112" t="s">
        <v>82</v>
      </c>
      <c r="E9" s="112" t="s">
        <v>80</v>
      </c>
      <c r="F9" s="112" t="s">
        <v>81</v>
      </c>
      <c r="G9" s="112" t="s">
        <v>82</v>
      </c>
      <c r="H9" s="112" t="s">
        <v>80</v>
      </c>
      <c r="I9" s="112" t="s">
        <v>81</v>
      </c>
      <c r="J9" s="112" t="s">
        <v>82</v>
      </c>
    </row>
    <row r="10" spans="1:10" ht="5.0999999999999996" customHeight="1">
      <c r="A10" s="37"/>
    </row>
    <row r="11" spans="1:10" ht="14.1" customHeight="1">
      <c r="A11" s="351" t="s">
        <v>224</v>
      </c>
      <c r="B11" s="352">
        <v>0</v>
      </c>
      <c r="C11" s="353">
        <f>B11/'- 3 -'!$D11*100</f>
        <v>0</v>
      </c>
      <c r="D11" s="352">
        <f>B11/'- 7 -'!$C11</f>
        <v>0</v>
      </c>
      <c r="E11" s="352">
        <v>0</v>
      </c>
      <c r="F11" s="353">
        <f>E11/'- 3 -'!$D11*100</f>
        <v>0</v>
      </c>
      <c r="G11" s="352">
        <f>E11/'- 7 -'!$F11</f>
        <v>0</v>
      </c>
      <c r="H11" s="352">
        <v>213416</v>
      </c>
      <c r="I11" s="353">
        <f>H11/'- 3 -'!$D11*100</f>
        <v>1.3452374348863128</v>
      </c>
      <c r="J11" s="352">
        <f>H11/'- 7 -'!$F11</f>
        <v>144.2974983096687</v>
      </c>
    </row>
    <row r="12" spans="1:10" ht="14.1" customHeight="1">
      <c r="A12" s="23" t="s">
        <v>225</v>
      </c>
      <c r="B12" s="24">
        <v>0</v>
      </c>
      <c r="C12" s="344">
        <f>B12/'- 3 -'!$D12*100</f>
        <v>0</v>
      </c>
      <c r="D12" s="24">
        <f>B12/'- 7 -'!$C12</f>
        <v>0</v>
      </c>
      <c r="E12" s="24">
        <v>0</v>
      </c>
      <c r="F12" s="344">
        <f>E12/'- 3 -'!$D12*100</f>
        <v>0</v>
      </c>
      <c r="G12" s="24">
        <f>E12/'- 7 -'!$F12</f>
        <v>0</v>
      </c>
      <c r="H12" s="24">
        <v>244450</v>
      </c>
      <c r="I12" s="344">
        <f>H12/'- 3 -'!$D12*100</f>
        <v>0.8147922134862926</v>
      </c>
      <c r="J12" s="24">
        <f>H12/'- 7 -'!$F12</f>
        <v>105.83075737503354</v>
      </c>
    </row>
    <row r="13" spans="1:10" ht="14.1" customHeight="1">
      <c r="A13" s="351" t="s">
        <v>226</v>
      </c>
      <c r="B13" s="352">
        <v>0</v>
      </c>
      <c r="C13" s="353">
        <f>B13/'- 3 -'!$D13*100</f>
        <v>0</v>
      </c>
      <c r="D13" s="352">
        <f>B13/'- 7 -'!$C13</f>
        <v>0</v>
      </c>
      <c r="E13" s="352">
        <v>318200</v>
      </c>
      <c r="F13" s="353">
        <f>E13/'- 3 -'!$D13*100</f>
        <v>0.40594087194364287</v>
      </c>
      <c r="G13" s="352">
        <f>E13/'- 7 -'!$F13</f>
        <v>41.174948240165634</v>
      </c>
      <c r="H13" s="352">
        <v>941100</v>
      </c>
      <c r="I13" s="353">
        <f>H13/'- 3 -'!$D13*100</f>
        <v>1.2006001086931561</v>
      </c>
      <c r="J13" s="352">
        <f>H13/'- 7 -'!$F13</f>
        <v>121.77795031055901</v>
      </c>
    </row>
    <row r="14" spans="1:10" ht="14.1" customHeight="1">
      <c r="A14" s="23" t="s">
        <v>524</v>
      </c>
      <c r="B14" s="24">
        <v>144384</v>
      </c>
      <c r="C14" s="344">
        <f>B14/'- 3 -'!$D14*100</f>
        <v>0.20204675048683063</v>
      </c>
      <c r="D14" s="24">
        <f>B14/'- 7 -'!$C14</f>
        <v>28.647619047619049</v>
      </c>
      <c r="E14" s="24">
        <v>1085217</v>
      </c>
      <c r="F14" s="344">
        <f>E14/'- 3 -'!$D14*100</f>
        <v>1.5186209581606469</v>
      </c>
      <c r="G14" s="24">
        <f>E14/'- 7 -'!$F14</f>
        <v>215.32083333333333</v>
      </c>
      <c r="H14" s="24">
        <v>782958</v>
      </c>
      <c r="I14" s="344">
        <f>H14/'- 3 -'!$D14*100</f>
        <v>1.095648546013879</v>
      </c>
      <c r="J14" s="24">
        <f>H14/'- 7 -'!$F14</f>
        <v>155.34880952380954</v>
      </c>
    </row>
    <row r="15" spans="1:10" ht="14.1" customHeight="1">
      <c r="A15" s="351" t="s">
        <v>227</v>
      </c>
      <c r="B15" s="352">
        <v>0</v>
      </c>
      <c r="C15" s="353">
        <f>B15/'- 3 -'!$D15*100</f>
        <v>0</v>
      </c>
      <c r="D15" s="352">
        <f>B15/'- 7 -'!$C15</f>
        <v>0</v>
      </c>
      <c r="E15" s="352">
        <v>101660</v>
      </c>
      <c r="F15" s="353">
        <f>E15/'- 3 -'!$D15*100</f>
        <v>0.5434828224732019</v>
      </c>
      <c r="G15" s="352">
        <f>E15/'- 7 -'!$F15</f>
        <v>68.045515394912982</v>
      </c>
      <c r="H15" s="352">
        <v>206900</v>
      </c>
      <c r="I15" s="353">
        <f>H15/'- 3 -'!$D15*100</f>
        <v>1.1061046229559852</v>
      </c>
      <c r="J15" s="352">
        <f>H15/'- 7 -'!$F15</f>
        <v>138.48728246318609</v>
      </c>
    </row>
    <row r="16" spans="1:10" ht="14.1" customHeight="1">
      <c r="A16" s="23" t="s">
        <v>228</v>
      </c>
      <c r="B16" s="24">
        <v>0</v>
      </c>
      <c r="C16" s="344">
        <f>B16/'- 3 -'!$D16*100</f>
        <v>0</v>
      </c>
      <c r="D16" s="24">
        <f>B16/'- 7 -'!$C16</f>
        <v>0</v>
      </c>
      <c r="E16" s="24">
        <v>0</v>
      </c>
      <c r="F16" s="344">
        <f>E16/'- 3 -'!$D16*100</f>
        <v>0</v>
      </c>
      <c r="G16" s="24">
        <f>E16/'- 7 -'!$F16</f>
        <v>0</v>
      </c>
      <c r="H16" s="24">
        <v>142444</v>
      </c>
      <c r="I16" s="344">
        <f>H16/'- 3 -'!$D16*100</f>
        <v>1.1254352603724547</v>
      </c>
      <c r="J16" s="24">
        <f>H16/'- 7 -'!$F16</f>
        <v>143.95553309752401</v>
      </c>
    </row>
    <row r="17" spans="1:10" ht="14.1" customHeight="1">
      <c r="A17" s="351" t="s">
        <v>229</v>
      </c>
      <c r="B17" s="352">
        <v>0</v>
      </c>
      <c r="C17" s="353">
        <f>B17/'- 3 -'!$D17*100</f>
        <v>0</v>
      </c>
      <c r="D17" s="352">
        <f>B17/'- 7 -'!$C17</f>
        <v>0</v>
      </c>
      <c r="E17" s="352">
        <v>105570</v>
      </c>
      <c r="F17" s="353">
        <f>E17/'- 3 -'!$D17*100</f>
        <v>0.64765830144325287</v>
      </c>
      <c r="G17" s="352">
        <f>E17/'- 7 -'!$F17</f>
        <v>82.123687281213535</v>
      </c>
      <c r="H17" s="352">
        <v>191437</v>
      </c>
      <c r="I17" s="353">
        <f>H17/'- 3 -'!$D17*100</f>
        <v>1.1744412451775315</v>
      </c>
      <c r="J17" s="352">
        <f>H17/'- 7 -'!$F17</f>
        <v>148.92026448852587</v>
      </c>
    </row>
    <row r="18" spans="1:10" ht="14.1" customHeight="1">
      <c r="A18" s="23" t="s">
        <v>230</v>
      </c>
      <c r="B18" s="24">
        <v>0</v>
      </c>
      <c r="C18" s="344">
        <f>B18/'- 3 -'!$D18*100</f>
        <v>0</v>
      </c>
      <c r="D18" s="24">
        <f>B18/'- 7 -'!$C18</f>
        <v>0</v>
      </c>
      <c r="E18" s="24">
        <v>2152157</v>
      </c>
      <c r="F18" s="344">
        <f>E18/'- 3 -'!$D18*100</f>
        <v>1.8687453100801616</v>
      </c>
      <c r="G18" s="24">
        <f>E18/'- 7 -'!$F18</f>
        <v>340.34268996599985</v>
      </c>
      <c r="H18" s="24">
        <v>1737858</v>
      </c>
      <c r="I18" s="344">
        <f>H18/'- 3 -'!$D18*100</f>
        <v>1.5090042162747836</v>
      </c>
      <c r="J18" s="24">
        <f>H18/'- 7 -'!$F18</f>
        <v>274.82533407132127</v>
      </c>
    </row>
    <row r="19" spans="1:10" ht="14.1" customHeight="1">
      <c r="A19" s="351" t="s">
        <v>231</v>
      </c>
      <c r="B19" s="352">
        <v>0</v>
      </c>
      <c r="C19" s="353">
        <f>B19/'- 3 -'!$D19*100</f>
        <v>0</v>
      </c>
      <c r="D19" s="352">
        <f>B19/'- 7 -'!$C19</f>
        <v>0</v>
      </c>
      <c r="E19" s="352">
        <v>227000</v>
      </c>
      <c r="F19" s="353">
        <f>E19/'- 3 -'!$D19*100</f>
        <v>0.58069431854562426</v>
      </c>
      <c r="G19" s="352">
        <f>E19/'- 7 -'!$F19</f>
        <v>53.88084500356041</v>
      </c>
      <c r="H19" s="352">
        <v>433050</v>
      </c>
      <c r="I19" s="353">
        <f>H19/'- 3 -'!$D19*100</f>
        <v>1.1077959235514652</v>
      </c>
      <c r="J19" s="352">
        <f>H19/'- 7 -'!$F19</f>
        <v>102.78898647044861</v>
      </c>
    </row>
    <row r="20" spans="1:10" ht="14.1" customHeight="1">
      <c r="A20" s="23" t="s">
        <v>232</v>
      </c>
      <c r="B20" s="24">
        <v>29900</v>
      </c>
      <c r="C20" s="344">
        <f>B20/'- 3 -'!$D20*100</f>
        <v>4.4185668474486101E-2</v>
      </c>
      <c r="D20" s="24">
        <f>B20/'- 7 -'!$C20</f>
        <v>4.0269360269360268</v>
      </c>
      <c r="E20" s="24">
        <v>471800</v>
      </c>
      <c r="F20" s="344">
        <f>E20/'- 3 -'!$D20*100</f>
        <v>0.69721733733319535</v>
      </c>
      <c r="G20" s="24">
        <f>E20/'- 7 -'!$F20</f>
        <v>63.542087542087543</v>
      </c>
      <c r="H20" s="24">
        <v>742100</v>
      </c>
      <c r="I20" s="344">
        <f>H20/'- 3 -'!$D20*100</f>
        <v>1.0966616914687672</v>
      </c>
      <c r="J20" s="24">
        <f>H20/'- 7 -'!$F20</f>
        <v>99.946127946127945</v>
      </c>
    </row>
    <row r="21" spans="1:10" ht="14.1" customHeight="1">
      <c r="A21" s="351" t="s">
        <v>233</v>
      </c>
      <c r="B21" s="352">
        <v>0</v>
      </c>
      <c r="C21" s="353">
        <f>B21/'- 3 -'!$D21*100</f>
        <v>0</v>
      </c>
      <c r="D21" s="352">
        <f>B21/'- 7 -'!$C21</f>
        <v>0</v>
      </c>
      <c r="E21" s="352">
        <v>92700</v>
      </c>
      <c r="F21" s="353">
        <f>E21/'- 3 -'!$D21*100</f>
        <v>0.2847588580893326</v>
      </c>
      <c r="G21" s="352">
        <f>E21/'- 7 -'!$F21</f>
        <v>33.225806451612904</v>
      </c>
      <c r="H21" s="352">
        <v>543471</v>
      </c>
      <c r="I21" s="353">
        <f>H21/'- 3 -'!$D21*100</f>
        <v>1.6694517946566092</v>
      </c>
      <c r="J21" s="352">
        <f>H21/'- 7 -'!$F21</f>
        <v>194.79247311827956</v>
      </c>
    </row>
    <row r="22" spans="1:10" ht="14.1" customHeight="1">
      <c r="A22" s="23" t="s">
        <v>234</v>
      </c>
      <c r="B22" s="24">
        <v>20100</v>
      </c>
      <c r="C22" s="344">
        <f>B22/'- 3 -'!$D22*100</f>
        <v>0.10565776294130186</v>
      </c>
      <c r="D22" s="24">
        <f>B22/'- 7 -'!$C22</f>
        <v>12.449674821926292</v>
      </c>
      <c r="E22" s="24">
        <v>89600</v>
      </c>
      <c r="F22" s="344">
        <f>E22/'- 3 -'!$D22*100</f>
        <v>0.47099181888261921</v>
      </c>
      <c r="G22" s="24">
        <f>E22/'- 7 -'!$F22</f>
        <v>55.497057912666463</v>
      </c>
      <c r="H22" s="24">
        <v>169265</v>
      </c>
      <c r="I22" s="344">
        <f>H22/'- 3 -'!$D22*100</f>
        <v>0.88975926588355514</v>
      </c>
      <c r="J22" s="24">
        <f>H22/'- 7 -'!$F22</f>
        <v>104.84050789718179</v>
      </c>
    </row>
    <row r="23" spans="1:10" ht="14.1" customHeight="1">
      <c r="A23" s="351" t="s">
        <v>235</v>
      </c>
      <c r="B23" s="352">
        <v>0</v>
      </c>
      <c r="C23" s="353">
        <f>B23/'- 3 -'!$D23*100</f>
        <v>0</v>
      </c>
      <c r="D23" s="352">
        <f>B23/'- 7 -'!$C23</f>
        <v>0</v>
      </c>
      <c r="E23" s="352">
        <v>0</v>
      </c>
      <c r="F23" s="353">
        <f>E23/'- 3 -'!$D23*100</f>
        <v>0</v>
      </c>
      <c r="G23" s="352">
        <f>E23/'- 7 -'!$F23</f>
        <v>0</v>
      </c>
      <c r="H23" s="352">
        <v>176800</v>
      </c>
      <c r="I23" s="353">
        <f>H23/'- 3 -'!$D23*100</f>
        <v>1.1357373106408564</v>
      </c>
      <c r="J23" s="352">
        <f>H23/'- 7 -'!$F23</f>
        <v>147.88791300711</v>
      </c>
    </row>
    <row r="24" spans="1:10" ht="14.1" customHeight="1">
      <c r="A24" s="23" t="s">
        <v>236</v>
      </c>
      <c r="B24" s="24">
        <v>0</v>
      </c>
      <c r="C24" s="344">
        <f>B24/'- 3 -'!$D24*100</f>
        <v>0</v>
      </c>
      <c r="D24" s="24">
        <f>B24/'- 7 -'!$C24</f>
        <v>0</v>
      </c>
      <c r="E24" s="24">
        <v>107695</v>
      </c>
      <c r="F24" s="344">
        <f>E24/'- 3 -'!$D24*100</f>
        <v>0.2111372523494521</v>
      </c>
      <c r="G24" s="24">
        <f>E24/'- 7 -'!$F24</f>
        <v>25.209503745318351</v>
      </c>
      <c r="H24" s="24">
        <v>660955</v>
      </c>
      <c r="I24" s="344">
        <f>H24/'- 3 -'!$D24*100</f>
        <v>1.2958096720054979</v>
      </c>
      <c r="J24" s="24">
        <f>H24/'- 7 -'!$F24</f>
        <v>154.71793071161048</v>
      </c>
    </row>
    <row r="25" spans="1:10" ht="14.1" customHeight="1">
      <c r="A25" s="351" t="s">
        <v>237</v>
      </c>
      <c r="B25" s="352">
        <v>142866</v>
      </c>
      <c r="C25" s="353">
        <f>B25/'- 3 -'!$D25*100</f>
        <v>9.5150034900201089E-2</v>
      </c>
      <c r="D25" s="352">
        <f>B25/'- 7 -'!$C25</f>
        <v>10.511035903472632</v>
      </c>
      <c r="E25" s="352">
        <v>1938629</v>
      </c>
      <c r="F25" s="353">
        <f>E25/'- 3 -'!$D25*100</f>
        <v>1.2911442681151706</v>
      </c>
      <c r="G25" s="352">
        <f>E25/'- 7 -'!$F25</f>
        <v>142.63015008828722</v>
      </c>
      <c r="H25" s="352">
        <v>3753884</v>
      </c>
      <c r="I25" s="353">
        <f>H25/'- 3 -'!$D25*100</f>
        <v>2.5001203478175804</v>
      </c>
      <c r="J25" s="352">
        <f>H25/'- 7 -'!$F25</f>
        <v>276.1833431430253</v>
      </c>
    </row>
    <row r="26" spans="1:10" ht="14.1" customHeight="1">
      <c r="A26" s="23" t="s">
        <v>238</v>
      </c>
      <c r="B26" s="24">
        <v>14429</v>
      </c>
      <c r="C26" s="344">
        <f>B26/'- 3 -'!$D26*100</f>
        <v>3.9231723812144619E-2</v>
      </c>
      <c r="D26" s="24">
        <f>B26/'- 7 -'!$C26</f>
        <v>4.8273670123787218</v>
      </c>
      <c r="E26" s="24">
        <v>214798</v>
      </c>
      <c r="F26" s="344">
        <f>E26/'- 3 -'!$D26*100</f>
        <v>0.58402493668314082</v>
      </c>
      <c r="G26" s="24">
        <f>E26/'- 7 -'!$F26</f>
        <v>71.862830378052863</v>
      </c>
      <c r="H26" s="24">
        <v>548015</v>
      </c>
      <c r="I26" s="344">
        <f>H26/'- 3 -'!$D26*100</f>
        <v>1.4900251663256243</v>
      </c>
      <c r="J26" s="24">
        <f>H26/'- 7 -'!$F26</f>
        <v>183.34392773502844</v>
      </c>
    </row>
    <row r="27" spans="1:10" ht="14.1" customHeight="1">
      <c r="A27" s="351" t="s">
        <v>239</v>
      </c>
      <c r="B27" s="352">
        <v>103870</v>
      </c>
      <c r="C27" s="353">
        <f>B27/'- 3 -'!$D27*100</f>
        <v>0.27129015930794392</v>
      </c>
      <c r="D27" s="352">
        <f>B27/'- 7 -'!$C27</f>
        <v>37.122944960686205</v>
      </c>
      <c r="E27" s="352">
        <v>719528</v>
      </c>
      <c r="F27" s="353">
        <f>E27/'- 3 -'!$D27*100</f>
        <v>1.8792805020364522</v>
      </c>
      <c r="G27" s="352">
        <f>E27/'- 7 -'!$F27</f>
        <v>257.15796997855614</v>
      </c>
      <c r="H27" s="352">
        <v>1376372</v>
      </c>
      <c r="I27" s="353">
        <f>H27/'- 3 -'!$D27*100</f>
        <v>3.5948414281986465</v>
      </c>
      <c r="J27" s="352">
        <f>H27/'- 7 -'!$F27</f>
        <v>491.91279485346678</v>
      </c>
    </row>
    <row r="28" spans="1:10" ht="14.1" customHeight="1">
      <c r="A28" s="23" t="s">
        <v>240</v>
      </c>
      <c r="B28" s="24">
        <v>0</v>
      </c>
      <c r="C28" s="344">
        <f>B28/'- 3 -'!$D28*100</f>
        <v>0</v>
      </c>
      <c r="D28" s="24">
        <f>B28/'- 7 -'!$C28</f>
        <v>0</v>
      </c>
      <c r="E28" s="24">
        <v>129421</v>
      </c>
      <c r="F28" s="344">
        <f>E28/'- 3 -'!$D28*100</f>
        <v>0.50485603229836573</v>
      </c>
      <c r="G28" s="24">
        <f>E28/'- 7 -'!$F28</f>
        <v>66.2</v>
      </c>
      <c r="H28" s="24">
        <v>269174</v>
      </c>
      <c r="I28" s="344">
        <f>H28/'- 3 -'!$D28*100</f>
        <v>1.0500159760616923</v>
      </c>
      <c r="J28" s="24">
        <f>H28/'- 7 -'!$F28</f>
        <v>137.6849104859335</v>
      </c>
    </row>
    <row r="29" spans="1:10" ht="14.1" customHeight="1">
      <c r="A29" s="351" t="s">
        <v>241</v>
      </c>
      <c r="B29" s="352">
        <v>366392</v>
      </c>
      <c r="C29" s="353">
        <f>B29/'- 3 -'!$D29*100</f>
        <v>0.2672124980347893</v>
      </c>
      <c r="D29" s="352">
        <f>B29/'- 7 -'!$C29</f>
        <v>30.170619235836629</v>
      </c>
      <c r="E29" s="352">
        <v>706412</v>
      </c>
      <c r="F29" s="353">
        <f>E29/'- 3 -'!$D29*100</f>
        <v>0.51519169403740139</v>
      </c>
      <c r="G29" s="352">
        <f>E29/'- 7 -'!$F29</f>
        <v>58.16963109354414</v>
      </c>
      <c r="H29" s="352">
        <v>3169833</v>
      </c>
      <c r="I29" s="353">
        <f>H29/'- 3 -'!$D29*100</f>
        <v>2.3117835386228691</v>
      </c>
      <c r="J29" s="352">
        <f>H29/'- 7 -'!$F29</f>
        <v>261.02050395256919</v>
      </c>
    </row>
    <row r="30" spans="1:10" ht="14.1" customHeight="1">
      <c r="A30" s="23" t="s">
        <v>242</v>
      </c>
      <c r="B30" s="24">
        <v>0</v>
      </c>
      <c r="C30" s="344">
        <f>B30/'- 3 -'!$D30*100</f>
        <v>0</v>
      </c>
      <c r="D30" s="24">
        <f>B30/'- 7 -'!$C30</f>
        <v>0</v>
      </c>
      <c r="E30" s="24">
        <v>0</v>
      </c>
      <c r="F30" s="344">
        <f>E30/'- 3 -'!$D30*100</f>
        <v>0</v>
      </c>
      <c r="G30" s="24">
        <f>E30/'- 7 -'!$F30</f>
        <v>0</v>
      </c>
      <c r="H30" s="24">
        <v>296765</v>
      </c>
      <c r="I30" s="344">
        <f>H30/'- 3 -'!$D30*100</f>
        <v>2.237775388927195</v>
      </c>
      <c r="J30" s="24">
        <f>H30/'- 7 -'!$F30</f>
        <v>276.44620400558921</v>
      </c>
    </row>
    <row r="31" spans="1:10" ht="14.1" customHeight="1">
      <c r="A31" s="351" t="s">
        <v>243</v>
      </c>
      <c r="B31" s="352">
        <v>0</v>
      </c>
      <c r="C31" s="353">
        <f>B31/'- 3 -'!$D31*100</f>
        <v>0</v>
      </c>
      <c r="D31" s="352">
        <f>B31/'- 7 -'!$C31</f>
        <v>0</v>
      </c>
      <c r="E31" s="352">
        <v>90132</v>
      </c>
      <c r="F31" s="353">
        <f>E31/'- 3 -'!$D31*100</f>
        <v>0.28076757091567944</v>
      </c>
      <c r="G31" s="352">
        <f>E31/'- 7 -'!$F31</f>
        <v>28.432807570977918</v>
      </c>
      <c r="H31" s="352">
        <v>462163</v>
      </c>
      <c r="I31" s="353">
        <f>H31/'- 3 -'!$D31*100</f>
        <v>1.4396705152121685</v>
      </c>
      <c r="J31" s="352">
        <f>H31/'- 7 -'!$F31</f>
        <v>145.79274447949527</v>
      </c>
    </row>
    <row r="32" spans="1:10" ht="14.1" customHeight="1">
      <c r="A32" s="23" t="s">
        <v>244</v>
      </c>
      <c r="B32" s="24">
        <v>0</v>
      </c>
      <c r="C32" s="344">
        <f>B32/'- 3 -'!$D32*100</f>
        <v>0</v>
      </c>
      <c r="D32" s="24">
        <f>B32/'- 7 -'!$C32</f>
        <v>0</v>
      </c>
      <c r="E32" s="24">
        <v>41575</v>
      </c>
      <c r="F32" s="344">
        <f>E32/'- 3 -'!$D32*100</f>
        <v>0.16835506993346097</v>
      </c>
      <c r="G32" s="24">
        <f>E32/'- 7 -'!$F32</f>
        <v>20.270303213507358</v>
      </c>
      <c r="H32" s="24">
        <v>284265</v>
      </c>
      <c r="I32" s="344">
        <f>H32/'- 3 -'!$D32*100</f>
        <v>1.1511113398589365</v>
      </c>
      <c r="J32" s="24">
        <f>H32/'- 7 -'!$F32</f>
        <v>138.59621751022655</v>
      </c>
    </row>
    <row r="33" spans="1:10" ht="14.1" customHeight="1">
      <c r="A33" s="351" t="s">
        <v>245</v>
      </c>
      <c r="B33" s="352">
        <v>0</v>
      </c>
      <c r="C33" s="353">
        <f>B33/'- 3 -'!$D33*100</f>
        <v>0</v>
      </c>
      <c r="D33" s="352">
        <f>B33/'- 7 -'!$C33</f>
        <v>0</v>
      </c>
      <c r="E33" s="352">
        <v>138100</v>
      </c>
      <c r="F33" s="353">
        <f>E33/'- 3 -'!$D33*100</f>
        <v>0.54120994321410509</v>
      </c>
      <c r="G33" s="352">
        <f>E33/'- 7 -'!$F33</f>
        <v>68.894986280868054</v>
      </c>
      <c r="H33" s="352">
        <v>365000</v>
      </c>
      <c r="I33" s="353">
        <f>H33/'- 3 -'!$D33*100</f>
        <v>1.4304245421661723</v>
      </c>
      <c r="J33" s="352">
        <f>H33/'- 7 -'!$F33</f>
        <v>182.09029683212771</v>
      </c>
    </row>
    <row r="34" spans="1:10" ht="14.1" customHeight="1">
      <c r="A34" s="23" t="s">
        <v>246</v>
      </c>
      <c r="B34" s="24">
        <v>6645</v>
      </c>
      <c r="C34" s="344">
        <f>B34/'- 3 -'!$D34*100</f>
        <v>2.776095316867154E-2</v>
      </c>
      <c r="D34" s="24">
        <f>B34/'- 7 -'!$C34</f>
        <v>3.3236632821487522</v>
      </c>
      <c r="E34" s="24">
        <v>68567</v>
      </c>
      <c r="F34" s="344">
        <f>E34/'- 3 -'!$D34*100</f>
        <v>0.28645376612735912</v>
      </c>
      <c r="G34" s="24">
        <f>E34/'- 7 -'!$F34</f>
        <v>34.295503426199168</v>
      </c>
      <c r="H34" s="24">
        <v>217331</v>
      </c>
      <c r="I34" s="344">
        <f>H34/'- 3 -'!$D34*100</f>
        <v>0.90794818857796145</v>
      </c>
      <c r="J34" s="24">
        <f>H34/'- 7 -'!$F34</f>
        <v>108.70354624118441</v>
      </c>
    </row>
    <row r="35" spans="1:10" ht="14.1" customHeight="1">
      <c r="A35" s="351" t="s">
        <v>247</v>
      </c>
      <c r="B35" s="352">
        <v>359200</v>
      </c>
      <c r="C35" s="353">
        <f>B35/'- 3 -'!$D35*100</f>
        <v>0.21954772240141496</v>
      </c>
      <c r="D35" s="352">
        <f>B35/'- 7 -'!$C35</f>
        <v>23.034500448890601</v>
      </c>
      <c r="E35" s="352">
        <v>573794</v>
      </c>
      <c r="F35" s="353">
        <f>E35/'- 3 -'!$D35*100</f>
        <v>0.35071037257126253</v>
      </c>
      <c r="G35" s="352">
        <f>E35/'- 7 -'!$F35</f>
        <v>36.795818904706941</v>
      </c>
      <c r="H35" s="352">
        <v>3752010</v>
      </c>
      <c r="I35" s="353">
        <f>H35/'- 3 -'!$D35*100</f>
        <v>2.2932774218466951</v>
      </c>
      <c r="J35" s="352">
        <f>H35/'- 7 -'!$F35</f>
        <v>240.60600230858023</v>
      </c>
    </row>
    <row r="36" spans="1:10" ht="14.1" customHeight="1">
      <c r="A36" s="23" t="s">
        <v>248</v>
      </c>
      <c r="B36" s="24">
        <v>31065</v>
      </c>
      <c r="C36" s="344">
        <f>B36/'- 3 -'!$D36*100</f>
        <v>0.14712178359055769</v>
      </c>
      <c r="D36" s="24">
        <f>B36/'- 7 -'!$C36</f>
        <v>18.965201465201464</v>
      </c>
      <c r="E36" s="24">
        <v>165250</v>
      </c>
      <c r="F36" s="344">
        <f>E36/'- 3 -'!$D36*100</f>
        <v>0.78261306094767924</v>
      </c>
      <c r="G36" s="24">
        <f>E36/'- 7 -'!$F36</f>
        <v>100.88522588522588</v>
      </c>
      <c r="H36" s="24">
        <v>245375</v>
      </c>
      <c r="I36" s="344">
        <f>H36/'- 3 -'!$D36*100</f>
        <v>1.1620797569139898</v>
      </c>
      <c r="J36" s="24">
        <f>H36/'- 7 -'!$F36</f>
        <v>149.80158730158729</v>
      </c>
    </row>
    <row r="37" spans="1:10" ht="14.1" customHeight="1">
      <c r="A37" s="351" t="s">
        <v>249</v>
      </c>
      <c r="B37" s="352">
        <v>44606</v>
      </c>
      <c r="C37" s="353">
        <f>B37/'- 3 -'!$D37*100</f>
        <v>0.11194894770599273</v>
      </c>
      <c r="D37" s="352">
        <f>B37/'- 7 -'!$C37</f>
        <v>12.129435757987764</v>
      </c>
      <c r="E37" s="352">
        <v>172973</v>
      </c>
      <c r="F37" s="353">
        <f>E37/'- 3 -'!$D37*100</f>
        <v>0.43411526098616066</v>
      </c>
      <c r="G37" s="352">
        <f>E37/'- 7 -'!$F37</f>
        <v>47.035486063902106</v>
      </c>
      <c r="H37" s="352">
        <v>486734</v>
      </c>
      <c r="I37" s="353">
        <f>H37/'- 3 -'!$D37*100</f>
        <v>1.2215701724595047</v>
      </c>
      <c r="J37" s="352">
        <f>H37/'- 7 -'!$F37</f>
        <v>132.35458871515976</v>
      </c>
    </row>
    <row r="38" spans="1:10" ht="14.1" customHeight="1">
      <c r="A38" s="23" t="s">
        <v>250</v>
      </c>
      <c r="B38" s="24">
        <v>76280</v>
      </c>
      <c r="C38" s="344">
        <f>B38/'- 3 -'!$D38*100</f>
        <v>6.8144865907913299E-2</v>
      </c>
      <c r="D38" s="24">
        <f>B38/'- 7 -'!$C38</f>
        <v>7.2420013291559862</v>
      </c>
      <c r="E38" s="24">
        <v>202110</v>
      </c>
      <c r="F38" s="344">
        <f>E38/'- 3 -'!$D38*100</f>
        <v>0.18055530740231199</v>
      </c>
      <c r="G38" s="24">
        <f>E38/'- 7 -'!$F38</f>
        <v>19.188265451438337</v>
      </c>
      <c r="H38" s="24">
        <v>1529076</v>
      </c>
      <c r="I38" s="344">
        <f>H38/'- 3 -'!$D38*100</f>
        <v>1.3660026085868964</v>
      </c>
      <c r="J38" s="24">
        <f>H38/'- 7 -'!$F38</f>
        <v>145.17003702648819</v>
      </c>
    </row>
    <row r="39" spans="1:10" ht="14.1" customHeight="1">
      <c r="A39" s="351" t="s">
        <v>251</v>
      </c>
      <c r="B39" s="352">
        <v>0</v>
      </c>
      <c r="C39" s="353">
        <f>B39/'- 3 -'!$D39*100</f>
        <v>0</v>
      </c>
      <c r="D39" s="352">
        <f>B39/'- 7 -'!$C39</f>
        <v>0</v>
      </c>
      <c r="E39" s="352">
        <v>69000</v>
      </c>
      <c r="F39" s="353">
        <f>E39/'- 3 -'!$D39*100</f>
        <v>0.34666071281079136</v>
      </c>
      <c r="G39" s="352">
        <f>E39/'- 7 -'!$F39</f>
        <v>44.202434336963485</v>
      </c>
      <c r="H39" s="352">
        <v>243368</v>
      </c>
      <c r="I39" s="353">
        <f>H39/'- 3 -'!$D39*100</f>
        <v>1.2226974544251692</v>
      </c>
      <c r="J39" s="352">
        <f>H39/'- 7 -'!$F39</f>
        <v>155.90518898142216</v>
      </c>
    </row>
    <row r="40" spans="1:10" ht="14.1" customHeight="1">
      <c r="A40" s="23" t="s">
        <v>252</v>
      </c>
      <c r="B40" s="24">
        <v>0</v>
      </c>
      <c r="C40" s="344">
        <f>B40/'- 3 -'!$D40*100</f>
        <v>0</v>
      </c>
      <c r="D40" s="24">
        <f>B40/'- 7 -'!$C40</f>
        <v>0</v>
      </c>
      <c r="E40" s="24">
        <v>1084152</v>
      </c>
      <c r="F40" s="344">
        <f>E40/'- 3 -'!$D40*100</f>
        <v>1.1546955742303864</v>
      </c>
      <c r="G40" s="24">
        <f>E40/'- 7 -'!$F40</f>
        <v>133.3454688576208</v>
      </c>
      <c r="H40" s="24">
        <v>1347324</v>
      </c>
      <c r="I40" s="344">
        <f>H40/'- 3 -'!$D40*100</f>
        <v>1.4349916431039016</v>
      </c>
      <c r="J40" s="24">
        <f>H40/'- 7 -'!$F40</f>
        <v>165.71435599724492</v>
      </c>
    </row>
    <row r="41" spans="1:10" ht="14.1" customHeight="1">
      <c r="A41" s="351" t="s">
        <v>253</v>
      </c>
      <c r="B41" s="352">
        <v>37960</v>
      </c>
      <c r="C41" s="353">
        <f>B41/'- 3 -'!$D41*100</f>
        <v>6.6803263737155838E-2</v>
      </c>
      <c r="D41" s="352">
        <f>B41/'- 7 -'!$C41</f>
        <v>8.4289996669257246</v>
      </c>
      <c r="E41" s="352">
        <v>235202</v>
      </c>
      <c r="F41" s="353">
        <f>E41/'- 3 -'!$D41*100</f>
        <v>0.41391626020828576</v>
      </c>
      <c r="G41" s="352">
        <f>E41/'- 7 -'!$F41</f>
        <v>52.226490507383147</v>
      </c>
      <c r="H41" s="352">
        <v>624614</v>
      </c>
      <c r="I41" s="353">
        <f>H41/'- 3 -'!$D41*100</f>
        <v>1.0992163797660657</v>
      </c>
      <c r="J41" s="352">
        <f>H41/'- 7 -'!$F41</f>
        <v>138.69523703785944</v>
      </c>
    </row>
    <row r="42" spans="1:10" ht="14.1" customHeight="1">
      <c r="A42" s="23" t="s">
        <v>254</v>
      </c>
      <c r="B42" s="24">
        <v>0</v>
      </c>
      <c r="C42" s="344">
        <f>B42/'- 3 -'!$D42*100</f>
        <v>0</v>
      </c>
      <c r="D42" s="24">
        <f>B42/'- 7 -'!$C42</f>
        <v>0</v>
      </c>
      <c r="E42" s="24">
        <v>0</v>
      </c>
      <c r="F42" s="344">
        <f>E42/'- 3 -'!$D42*100</f>
        <v>0</v>
      </c>
      <c r="G42" s="24">
        <f>E42/'- 7 -'!$F42</f>
        <v>0</v>
      </c>
      <c r="H42" s="24">
        <v>316585</v>
      </c>
      <c r="I42" s="344">
        <f>H42/'- 3 -'!$D42*100</f>
        <v>1.5914353597296906</v>
      </c>
      <c r="J42" s="24">
        <f>H42/'- 7 -'!$F42</f>
        <v>217.13648834019205</v>
      </c>
    </row>
    <row r="43" spans="1:10" ht="14.1" customHeight="1">
      <c r="A43" s="351" t="s">
        <v>255</v>
      </c>
      <c r="B43" s="352">
        <v>0</v>
      </c>
      <c r="C43" s="353">
        <f>B43/'- 3 -'!$D43*100</f>
        <v>0</v>
      </c>
      <c r="D43" s="352">
        <f>B43/'- 7 -'!$C43</f>
        <v>0</v>
      </c>
      <c r="E43" s="352">
        <v>0</v>
      </c>
      <c r="F43" s="353">
        <f>E43/'- 3 -'!$D43*100</f>
        <v>0</v>
      </c>
      <c r="G43" s="352">
        <f>E43/'- 7 -'!$F43</f>
        <v>0</v>
      </c>
      <c r="H43" s="352">
        <v>251352</v>
      </c>
      <c r="I43" s="353">
        <f>H43/'- 3 -'!$D43*100</f>
        <v>2.1271552243946839</v>
      </c>
      <c r="J43" s="352">
        <f>H43/'- 7 -'!$F43</f>
        <v>264.82497036744371</v>
      </c>
    </row>
    <row r="44" spans="1:10" ht="14.1" customHeight="1">
      <c r="A44" s="23" t="s">
        <v>256</v>
      </c>
      <c r="B44" s="24">
        <v>0</v>
      </c>
      <c r="C44" s="344">
        <f>B44/'- 3 -'!$D44*100</f>
        <v>0</v>
      </c>
      <c r="D44" s="24">
        <f>B44/'- 7 -'!$C44</f>
        <v>0</v>
      </c>
      <c r="E44" s="24">
        <v>0</v>
      </c>
      <c r="F44" s="344">
        <f>E44/'- 3 -'!$D44*100</f>
        <v>0</v>
      </c>
      <c r="G44" s="24">
        <f>E44/'- 7 -'!$F44</f>
        <v>0</v>
      </c>
      <c r="H44" s="24">
        <v>111839</v>
      </c>
      <c r="I44" s="344">
        <f>H44/'- 3 -'!$D44*100</f>
        <v>1.1122926342376362</v>
      </c>
      <c r="J44" s="24">
        <f>H44/'- 7 -'!$F44</f>
        <v>149.5173796791444</v>
      </c>
    </row>
    <row r="45" spans="1:10" ht="14.1" customHeight="1">
      <c r="A45" s="351" t="s">
        <v>257</v>
      </c>
      <c r="B45" s="352">
        <v>0</v>
      </c>
      <c r="C45" s="353">
        <f>B45/'- 3 -'!$D45*100</f>
        <v>0</v>
      </c>
      <c r="D45" s="352">
        <f>B45/'- 7 -'!$C45</f>
        <v>0</v>
      </c>
      <c r="E45" s="352">
        <v>5000</v>
      </c>
      <c r="F45" s="353">
        <f>E45/'- 3 -'!$D45*100</f>
        <v>3.0540964779304271E-2</v>
      </c>
      <c r="G45" s="352">
        <f>E45/'- 7 -'!$F45</f>
        <v>3.0093289196509176</v>
      </c>
      <c r="H45" s="352">
        <v>225339</v>
      </c>
      <c r="I45" s="353">
        <f>H45/'- 3 -'!$D45*100</f>
        <v>1.3764140924807289</v>
      </c>
      <c r="J45" s="352">
        <f>H45/'- 7 -'!$F45</f>
        <v>135.62383388504364</v>
      </c>
    </row>
    <row r="46" spans="1:10" ht="14.1" customHeight="1">
      <c r="A46" s="23" t="s">
        <v>258</v>
      </c>
      <c r="B46" s="24">
        <v>226600</v>
      </c>
      <c r="C46" s="344">
        <f>B46/'- 3 -'!$D46*100</f>
        <v>6.4262741024273221E-2</v>
      </c>
      <c r="D46" s="24">
        <f>B46/'- 7 -'!$C46</f>
        <v>7.4363349960619587</v>
      </c>
      <c r="E46" s="24">
        <v>799000</v>
      </c>
      <c r="F46" s="344">
        <f>E46/'- 3 -'!$D46*100</f>
        <v>0.22659280705381421</v>
      </c>
      <c r="G46" s="24">
        <f>E46/'- 7 -'!$F46</f>
        <v>26.220792859018115</v>
      </c>
      <c r="H46" s="24">
        <v>2749600</v>
      </c>
      <c r="I46" s="344">
        <f>H46/'- 3 -'!$D46*100</f>
        <v>0.77977419558844507</v>
      </c>
      <c r="J46" s="24">
        <f>H46/'- 7 -'!$F46</f>
        <v>90.233657127855082</v>
      </c>
    </row>
    <row r="47" spans="1:10" ht="5.0999999999999996" customHeight="1">
      <c r="A47"/>
      <c r="B47"/>
      <c r="C47"/>
      <c r="D47"/>
      <c r="E47"/>
      <c r="F47"/>
      <c r="G47"/>
      <c r="H47"/>
      <c r="I47"/>
      <c r="J47"/>
    </row>
    <row r="48" spans="1:10" ht="14.1" customHeight="1">
      <c r="A48" s="354" t="s">
        <v>259</v>
      </c>
      <c r="B48" s="355">
        <f>SUM(B11:B46)</f>
        <v>1604297</v>
      </c>
      <c r="C48" s="356">
        <f>B48/'- 3 -'!$D48*100</f>
        <v>7.986318683215822E-2</v>
      </c>
      <c r="D48" s="355">
        <f>B48/'- 7 -'!$C48</f>
        <v>9.2808136910625212</v>
      </c>
      <c r="E48" s="355">
        <f>SUM(E11:E46)</f>
        <v>12105242</v>
      </c>
      <c r="F48" s="356">
        <f>E48/'- 3 -'!$D48*100</f>
        <v>0.60260862140519411</v>
      </c>
      <c r="G48" s="355">
        <f>E48/'- 7 -'!$F48</f>
        <v>70.028489542288654</v>
      </c>
      <c r="H48" s="355">
        <f>SUM(H11:H46)</f>
        <v>29812222</v>
      </c>
      <c r="I48" s="356">
        <f>H48/'- 3 -'!$D48*100</f>
        <v>1.4840762374222338</v>
      </c>
      <c r="J48" s="355">
        <f>H48/'- 7 -'!$F48</f>
        <v>172.46287819437129</v>
      </c>
    </row>
    <row r="49" spans="1:10" ht="5.0999999999999996" customHeight="1">
      <c r="A49" s="25" t="s">
        <v>3</v>
      </c>
      <c r="B49" s="26"/>
      <c r="C49" s="343"/>
      <c r="D49" s="26"/>
      <c r="E49" s="26"/>
      <c r="F49" s="343"/>
      <c r="H49" s="26"/>
      <c r="I49" s="343"/>
      <c r="J49" s="26"/>
    </row>
    <row r="50" spans="1:10" ht="14.1" customHeight="1">
      <c r="A50" s="23" t="s">
        <v>260</v>
      </c>
      <c r="B50" s="24">
        <v>0</v>
      </c>
      <c r="C50" s="344">
        <f>B50/'- 3 -'!$D50*100</f>
        <v>0</v>
      </c>
      <c r="D50" s="24">
        <f>B50/'- 7 -'!$C50</f>
        <v>0</v>
      </c>
      <c r="E50" s="24">
        <v>0</v>
      </c>
      <c r="F50" s="344">
        <f>E50/'- 3 -'!$D50*100</f>
        <v>0</v>
      </c>
      <c r="G50" s="24">
        <f>E50/'- 7 -'!$F50</f>
        <v>0</v>
      </c>
      <c r="H50" s="24">
        <v>21545</v>
      </c>
      <c r="I50" s="344">
        <f>H50/'- 3 -'!$D50*100</f>
        <v>0.66722927199386817</v>
      </c>
      <c r="J50" s="24">
        <f>H50/'- 7 -'!$F50</f>
        <v>119.03314917127072</v>
      </c>
    </row>
    <row r="51" spans="1:10" ht="14.1" customHeight="1">
      <c r="A51" s="351" t="s">
        <v>261</v>
      </c>
      <c r="B51" s="352">
        <v>0</v>
      </c>
      <c r="C51" s="353">
        <f>B51/'- 3 -'!$D51*100</f>
        <v>0</v>
      </c>
      <c r="D51" s="352">
        <f>B51/'- 7 -'!$C51</f>
        <v>0</v>
      </c>
      <c r="E51" s="352">
        <v>182408</v>
      </c>
      <c r="F51" s="353">
        <f>E51/'- 3 -'!$D51*100</f>
        <v>1.0342260512611163</v>
      </c>
      <c r="G51" s="352">
        <f>E51/'- 7 -'!$F51</f>
        <v>293.73268921095007</v>
      </c>
      <c r="H51" s="352">
        <v>90023</v>
      </c>
      <c r="I51" s="353">
        <f>H51/'- 3 -'!$D51*100</f>
        <v>0.51041693244089892</v>
      </c>
      <c r="J51" s="352">
        <f>H51/'- 7 -'!$F51</f>
        <v>144.9645732689211</v>
      </c>
    </row>
    <row r="52" spans="1:10" ht="50.1" customHeight="1">
      <c r="A52" s="206"/>
      <c r="B52" s="206"/>
      <c r="C52" s="206"/>
      <c r="D52" s="206"/>
      <c r="E52" s="206"/>
      <c r="F52" s="206"/>
      <c r="G52" s="206"/>
      <c r="H52" s="206"/>
      <c r="I52" s="206"/>
      <c r="J52" s="206"/>
    </row>
    <row r="53" spans="1:10" ht="15" customHeight="1">
      <c r="A53" s="158"/>
      <c r="B53" s="206"/>
      <c r="C53" s="206"/>
      <c r="D53" s="206"/>
      <c r="E53" s="206"/>
      <c r="F53" s="206"/>
      <c r="G53" s="206"/>
      <c r="H53" s="206"/>
      <c r="I53" s="206"/>
      <c r="J53" s="206"/>
    </row>
    <row r="54" spans="1:10" ht="14.45" customHeight="1"/>
    <row r="55" spans="1:10" ht="14.45" customHeight="1"/>
    <row r="56" spans="1:10" ht="14.45" customHeight="1"/>
    <row r="57" spans="1:10" ht="14.45" customHeight="1"/>
    <row r="58" spans="1:10" ht="14.45" customHeight="1"/>
    <row r="59" spans="1:10" ht="14.45" customHeight="1"/>
  </sheetData>
  <phoneticPr fontId="0" type="noConversion"/>
  <printOptions horizontalCentered="1"/>
  <pageMargins left="0.51181102362204722" right="0.51181102362204722" top="0.59055118110236227" bottom="0" header="0.31496062992125984" footer="0"/>
  <pageSetup scale="92" orientation="portrait" r:id="rId1"/>
  <headerFooter alignWithMargins="0">
    <oddHeader>&amp;C&amp;"Arial,Bold"&amp;10&amp;A</oddHeader>
  </headerFooter>
</worksheet>
</file>

<file path=xl/worksheets/sheet25.xml><?xml version="1.0" encoding="utf-8"?>
<worksheet xmlns="http://schemas.openxmlformats.org/spreadsheetml/2006/main" xmlns:r="http://schemas.openxmlformats.org/officeDocument/2006/relationships">
  <sheetPr codeName="Sheet25">
    <pageSetUpPr fitToPage="1"/>
  </sheetPr>
  <dimension ref="A1:G59"/>
  <sheetViews>
    <sheetView showGridLines="0" showZeros="0" workbookViewId="0"/>
  </sheetViews>
  <sheetFormatPr defaultColWidth="15.83203125" defaultRowHeight="12"/>
  <cols>
    <col min="1" max="1" width="35.83203125" style="1" customWidth="1"/>
    <col min="2" max="2" width="15.6640625" style="1" customWidth="1"/>
    <col min="3" max="3" width="8.6640625" style="1" customWidth="1"/>
    <col min="4" max="4" width="11.6640625" style="1" customWidth="1"/>
    <col min="5" max="5" width="16.83203125" style="1" customWidth="1"/>
    <col min="6" max="6" width="8.33203125" style="1" customWidth="1"/>
    <col min="7" max="7" width="11.6640625" style="1" customWidth="1"/>
    <col min="8" max="16384" width="15.83203125" style="1"/>
  </cols>
  <sheetData>
    <row r="1" spans="1:7" ht="6.95" customHeight="1">
      <c r="A1" s="3"/>
      <c r="B1" s="40"/>
      <c r="C1" s="40"/>
      <c r="D1" s="40"/>
      <c r="E1" s="40"/>
      <c r="F1" s="40"/>
      <c r="G1" s="40"/>
    </row>
    <row r="2" spans="1:7" ht="15.95" customHeight="1">
      <c r="A2" s="160"/>
      <c r="B2" s="5" t="s">
        <v>437</v>
      </c>
      <c r="C2" s="196"/>
      <c r="D2" s="43"/>
      <c r="E2" s="43"/>
      <c r="F2" s="43"/>
      <c r="G2" s="183" t="s">
        <v>387</v>
      </c>
    </row>
    <row r="3" spans="1:7" ht="15.95" customHeight="1">
      <c r="A3" s="163"/>
      <c r="B3" s="233" t="str">
        <f>OPYEAR</f>
        <v>OPERATING FUND 2012/2013 BUDGET</v>
      </c>
      <c r="C3" s="46"/>
      <c r="D3" s="197"/>
      <c r="E3" s="46"/>
      <c r="F3" s="46"/>
      <c r="G3" s="48"/>
    </row>
    <row r="4" spans="1:7" ht="15.95" customHeight="1">
      <c r="B4" s="40"/>
      <c r="C4" s="40"/>
      <c r="D4" s="40"/>
      <c r="E4" s="40"/>
      <c r="F4" s="40"/>
      <c r="G4" s="40"/>
    </row>
    <row r="5" spans="1:7" ht="15.95" customHeight="1">
      <c r="B5" s="512" t="s">
        <v>426</v>
      </c>
      <c r="C5" s="198"/>
      <c r="D5" s="199"/>
      <c r="E5" s="199"/>
      <c r="F5" s="199"/>
      <c r="G5" s="200"/>
    </row>
    <row r="6" spans="1:7" ht="15.95" customHeight="1">
      <c r="B6" s="401" t="s">
        <v>16</v>
      </c>
      <c r="C6" s="485"/>
      <c r="D6" s="486"/>
      <c r="E6" s="487"/>
      <c r="F6" s="488"/>
      <c r="G6" s="489"/>
    </row>
    <row r="7" spans="1:7" ht="15.95" customHeight="1">
      <c r="B7" s="395" t="s">
        <v>42</v>
      </c>
      <c r="C7" s="396"/>
      <c r="D7" s="397"/>
      <c r="E7" s="395" t="s">
        <v>503</v>
      </c>
      <c r="F7" s="396"/>
      <c r="G7" s="397"/>
    </row>
    <row r="8" spans="1:7" ht="15.95" customHeight="1">
      <c r="A8" s="101"/>
      <c r="B8" s="201"/>
      <c r="C8" s="202"/>
      <c r="D8" s="203" t="s">
        <v>59</v>
      </c>
      <c r="E8" s="204"/>
      <c r="F8" s="202"/>
      <c r="G8" s="203" t="s">
        <v>59</v>
      </c>
    </row>
    <row r="9" spans="1:7" ht="15.95" customHeight="1">
      <c r="A9" s="35" t="s">
        <v>79</v>
      </c>
      <c r="B9" s="53" t="s">
        <v>80</v>
      </c>
      <c r="C9" s="53" t="s">
        <v>81</v>
      </c>
      <c r="D9" s="53" t="s">
        <v>82</v>
      </c>
      <c r="E9" s="205" t="s">
        <v>80</v>
      </c>
      <c r="F9" s="53" t="s">
        <v>81</v>
      </c>
      <c r="G9" s="53" t="s">
        <v>82</v>
      </c>
    </row>
    <row r="10" spans="1:7" ht="5.0999999999999996" customHeight="1">
      <c r="A10" s="37"/>
      <c r="B10" s="65"/>
      <c r="C10" s="65"/>
      <c r="D10" s="65"/>
      <c r="E10" s="65"/>
      <c r="F10" s="65"/>
      <c r="G10" s="65"/>
    </row>
    <row r="11" spans="1:7" ht="14.1" customHeight="1">
      <c r="A11" s="351" t="s">
        <v>224</v>
      </c>
      <c r="B11" s="352">
        <v>135470</v>
      </c>
      <c r="C11" s="353">
        <f>B11/'- 3 -'!$D11*100</f>
        <v>0.85391589807722379</v>
      </c>
      <c r="D11" s="352">
        <f>B11/'- 7 -'!$F11</f>
        <v>91.595672751859368</v>
      </c>
      <c r="E11" s="352">
        <v>9540</v>
      </c>
      <c r="F11" s="353">
        <f>E11/'- 3 -'!$D11*100</f>
        <v>6.0134034602913666E-2</v>
      </c>
      <c r="G11" s="352">
        <f>E11/'- 7 -'!$F11</f>
        <v>6.4503042596348887</v>
      </c>
    </row>
    <row r="12" spans="1:7" ht="14.1" customHeight="1">
      <c r="A12" s="23" t="s">
        <v>225</v>
      </c>
      <c r="B12" s="24">
        <v>419156</v>
      </c>
      <c r="C12" s="344">
        <f>B12/'- 3 -'!$D12*100</f>
        <v>1.3971161588711822</v>
      </c>
      <c r="D12" s="24">
        <f>B12/'- 7 -'!$F12</f>
        <v>181.46695413495422</v>
      </c>
      <c r="E12" s="24">
        <v>182020</v>
      </c>
      <c r="F12" s="344">
        <f>E12/'- 3 -'!$D12*100</f>
        <v>0.60670271506964613</v>
      </c>
      <c r="G12" s="24">
        <f>E12/'- 7 -'!$F12</f>
        <v>78.802677264895095</v>
      </c>
    </row>
    <row r="13" spans="1:7" ht="14.1" customHeight="1">
      <c r="A13" s="351" t="s">
        <v>226</v>
      </c>
      <c r="B13" s="352">
        <v>861100</v>
      </c>
      <c r="C13" s="353">
        <f>B13/'- 3 -'!$D13*100</f>
        <v>1.0985408071359863</v>
      </c>
      <c r="D13" s="352">
        <f>B13/'- 7 -'!$F13</f>
        <v>111.425983436853</v>
      </c>
      <c r="E13" s="352">
        <v>74500</v>
      </c>
      <c r="F13" s="353">
        <f>E13/'- 3 -'!$D13*100</f>
        <v>9.5042724575114368E-2</v>
      </c>
      <c r="G13" s="352">
        <f>E13/'- 7 -'!$F13</f>
        <v>9.6402691511387157</v>
      </c>
    </row>
    <row r="14" spans="1:7" ht="14.1" customHeight="1">
      <c r="A14" s="23" t="s">
        <v>524</v>
      </c>
      <c r="B14" s="24">
        <v>531968</v>
      </c>
      <c r="C14" s="344">
        <f>B14/'- 3 -'!$D14*100</f>
        <v>0.74442047431140779</v>
      </c>
      <c r="D14" s="24">
        <f>B14/'- 7 -'!$F14</f>
        <v>105.54920634920634</v>
      </c>
      <c r="E14" s="24">
        <v>51007</v>
      </c>
      <c r="F14" s="344">
        <f>E14/'- 3 -'!$D14*100</f>
        <v>7.137770530032253E-2</v>
      </c>
      <c r="G14" s="24">
        <f>E14/'- 7 -'!$F14</f>
        <v>10.120436507936509</v>
      </c>
    </row>
    <row r="15" spans="1:7" ht="14.1" customHeight="1">
      <c r="A15" s="351" t="s">
        <v>227</v>
      </c>
      <c r="B15" s="352">
        <v>220160</v>
      </c>
      <c r="C15" s="353">
        <f>B15/'- 3 -'!$D15*100</f>
        <v>1.1769936867568376</v>
      </c>
      <c r="D15" s="352">
        <f>B15/'- 7 -'!$F15</f>
        <v>147.36278447121822</v>
      </c>
      <c r="E15" s="352">
        <v>5000</v>
      </c>
      <c r="F15" s="353">
        <f>E15/'- 3 -'!$D15*100</f>
        <v>2.6730416214499401E-2</v>
      </c>
      <c r="G15" s="352">
        <f>E15/'- 7 -'!$F15</f>
        <v>3.3467202141900936</v>
      </c>
    </row>
    <row r="16" spans="1:7" ht="14.1" customHeight="1">
      <c r="A16" s="23" t="s">
        <v>228</v>
      </c>
      <c r="B16" s="24">
        <v>132456</v>
      </c>
      <c r="C16" s="344">
        <f>B16/'- 3 -'!$D16*100</f>
        <v>1.046521108982434</v>
      </c>
      <c r="D16" s="24">
        <f>B16/'- 7 -'!$F16</f>
        <v>133.86154623547247</v>
      </c>
      <c r="E16" s="24">
        <v>100252</v>
      </c>
      <c r="F16" s="344">
        <f>E16/'- 3 -'!$D16*100</f>
        <v>0.79208064729198358</v>
      </c>
      <c r="G16" s="24">
        <f>E16/'- 7 -'!$F16</f>
        <v>101.31581606872157</v>
      </c>
    </row>
    <row r="17" spans="1:7" ht="14.1" customHeight="1">
      <c r="A17" s="351" t="s">
        <v>229</v>
      </c>
      <c r="B17" s="352">
        <v>115690</v>
      </c>
      <c r="C17" s="353">
        <f>B17/'- 3 -'!$D17*100</f>
        <v>0.70974319308487188</v>
      </c>
      <c r="D17" s="352">
        <f>B17/'- 7 -'!$F17</f>
        <v>89.996110462854915</v>
      </c>
      <c r="E17" s="352">
        <v>1500</v>
      </c>
      <c r="F17" s="353">
        <f>E17/'- 3 -'!$D17*100</f>
        <v>9.2023060733625022E-3</v>
      </c>
      <c r="G17" s="352">
        <f>E17/'- 7 -'!$F17</f>
        <v>1.1668611435239207</v>
      </c>
    </row>
    <row r="18" spans="1:7" ht="14.1" customHeight="1">
      <c r="A18" s="23" t="s">
        <v>230</v>
      </c>
      <c r="B18" s="24">
        <v>900720</v>
      </c>
      <c r="C18" s="344">
        <f>B18/'- 3 -'!$D18*100</f>
        <v>0.78210663798942326</v>
      </c>
      <c r="D18" s="24">
        <f>B18/'- 7 -'!$F18</f>
        <v>142.44010437257847</v>
      </c>
      <c r="E18" s="24">
        <v>1624679</v>
      </c>
      <c r="F18" s="344">
        <f>E18/'- 3 -'!$D18*100</f>
        <v>1.4107294503308667</v>
      </c>
      <c r="G18" s="24">
        <f>E18/'- 7 -'!$F18</f>
        <v>256.92717640547164</v>
      </c>
    </row>
    <row r="19" spans="1:7" ht="14.1" customHeight="1">
      <c r="A19" s="351" t="s">
        <v>231</v>
      </c>
      <c r="B19" s="352">
        <v>225900</v>
      </c>
      <c r="C19" s="353">
        <f>B19/'- 3 -'!$D19*100</f>
        <v>0.57788038131919162</v>
      </c>
      <c r="D19" s="352">
        <f>B19/'- 7 -'!$F19</f>
        <v>53.619748397816281</v>
      </c>
      <c r="E19" s="352">
        <v>148140</v>
      </c>
      <c r="F19" s="353">
        <f>E19/'- 3 -'!$D19*100</f>
        <v>0.37896060065792408</v>
      </c>
      <c r="G19" s="352">
        <f>E19/'- 7 -'!$F19</f>
        <v>35.162591977213388</v>
      </c>
    </row>
    <row r="20" spans="1:7" ht="14.1" customHeight="1">
      <c r="A20" s="23" t="s">
        <v>232</v>
      </c>
      <c r="B20" s="24">
        <v>462600</v>
      </c>
      <c r="C20" s="344">
        <f>B20/'- 3 -'!$D20*100</f>
        <v>0.68362174703335354</v>
      </c>
      <c r="D20" s="24">
        <f>B20/'- 7 -'!$F20</f>
        <v>62.303030303030305</v>
      </c>
      <c r="E20" s="24">
        <v>487700</v>
      </c>
      <c r="F20" s="344">
        <f>E20/'- 3 -'!$D20*100</f>
        <v>0.72071406404705252</v>
      </c>
      <c r="G20" s="24">
        <f>E20/'- 7 -'!$F20</f>
        <v>65.683501683501689</v>
      </c>
    </row>
    <row r="21" spans="1:7" ht="14.1" customHeight="1">
      <c r="A21" s="351" t="s">
        <v>233</v>
      </c>
      <c r="B21" s="352">
        <v>596550</v>
      </c>
      <c r="C21" s="353">
        <f>B21/'- 3 -'!$D21*100</f>
        <v>1.8325015835295722</v>
      </c>
      <c r="D21" s="352">
        <f>B21/'- 7 -'!$F21</f>
        <v>213.81720430107526</v>
      </c>
      <c r="E21" s="352">
        <v>164779</v>
      </c>
      <c r="F21" s="353">
        <f>E21/'- 3 -'!$D21*100</f>
        <v>0.50617346145741238</v>
      </c>
      <c r="G21" s="352">
        <f>E21/'- 7 -'!$F21</f>
        <v>59.060573476702508</v>
      </c>
    </row>
    <row r="22" spans="1:7" ht="14.1" customHeight="1">
      <c r="A22" s="23" t="s">
        <v>234</v>
      </c>
      <c r="B22" s="24">
        <v>102500</v>
      </c>
      <c r="C22" s="344">
        <f>B22/'- 3 -'!$D22*100</f>
        <v>0.53880202494942486</v>
      </c>
      <c r="D22" s="24">
        <f>B22/'- 7 -'!$F22</f>
        <v>63.487147723753488</v>
      </c>
      <c r="E22" s="24">
        <v>122835</v>
      </c>
      <c r="F22" s="344">
        <f>E22/'- 3 -'!$D22*100</f>
        <v>0.64569509009426929</v>
      </c>
      <c r="G22" s="24">
        <f>E22/'- 7 -'!$F22</f>
        <v>76.082378445339117</v>
      </c>
    </row>
    <row r="23" spans="1:7" ht="14.1" customHeight="1">
      <c r="A23" s="351" t="s">
        <v>235</v>
      </c>
      <c r="B23" s="352">
        <v>189000</v>
      </c>
      <c r="C23" s="353">
        <f>B23/'- 3 -'!$D23*100</f>
        <v>1.2141083241579291</v>
      </c>
      <c r="D23" s="352">
        <f>B23/'- 7 -'!$F23</f>
        <v>158.09284818067755</v>
      </c>
      <c r="E23" s="352">
        <v>7000</v>
      </c>
      <c r="F23" s="353">
        <f>E23/'- 3 -'!$D23*100</f>
        <v>4.496697496881219E-2</v>
      </c>
      <c r="G23" s="352">
        <f>E23/'- 7 -'!$F23</f>
        <v>5.8552906733584278</v>
      </c>
    </row>
    <row r="24" spans="1:7" ht="14.1" customHeight="1">
      <c r="A24" s="23" t="s">
        <v>236</v>
      </c>
      <c r="B24" s="24">
        <v>507010</v>
      </c>
      <c r="C24" s="344">
        <f>B24/'- 3 -'!$D24*100</f>
        <v>0.99399877722917229</v>
      </c>
      <c r="D24" s="24">
        <f>B24/'- 7 -'!$F24</f>
        <v>118.68211610486891</v>
      </c>
      <c r="E24" s="24">
        <v>92980</v>
      </c>
      <c r="F24" s="344">
        <f>E24/'- 3 -'!$D24*100</f>
        <v>0.18228833022379923</v>
      </c>
      <c r="G24" s="24">
        <f>E24/'- 7 -'!$F24</f>
        <v>21.764981273408239</v>
      </c>
    </row>
    <row r="25" spans="1:7" ht="14.1" customHeight="1">
      <c r="A25" s="351" t="s">
        <v>237</v>
      </c>
      <c r="B25" s="352">
        <v>1833265</v>
      </c>
      <c r="C25" s="353">
        <f>B25/'- 3 -'!$D25*100</f>
        <v>1.2209709009233629</v>
      </c>
      <c r="D25" s="352">
        <f>B25/'- 7 -'!$F25</f>
        <v>134.87823719835197</v>
      </c>
      <c r="E25" s="352">
        <v>203409</v>
      </c>
      <c r="F25" s="353">
        <f>E25/'- 3 -'!$D25*100</f>
        <v>0.13547221486578334</v>
      </c>
      <c r="G25" s="352">
        <f>E25/'- 7 -'!$F25</f>
        <v>14.965347263095939</v>
      </c>
    </row>
    <row r="26" spans="1:7" ht="14.1" customHeight="1">
      <c r="A26" s="23" t="s">
        <v>238</v>
      </c>
      <c r="B26" s="24">
        <v>260500</v>
      </c>
      <c r="C26" s="344">
        <f>B26/'- 3 -'!$D26*100</f>
        <v>0.70828637140922268</v>
      </c>
      <c r="D26" s="24">
        <f>B26/'- 7 -'!$F26</f>
        <v>87.152893944463031</v>
      </c>
      <c r="E26" s="24">
        <v>273827</v>
      </c>
      <c r="F26" s="344">
        <f>E26/'- 3 -'!$D26*100</f>
        <v>0.74452181275958995</v>
      </c>
      <c r="G26" s="24">
        <f>E26/'- 7 -'!$F26</f>
        <v>91.611575777852124</v>
      </c>
    </row>
    <row r="27" spans="1:7" ht="14.1" customHeight="1">
      <c r="A27" s="351" t="s">
        <v>239</v>
      </c>
      <c r="B27" s="352">
        <v>275230</v>
      </c>
      <c r="C27" s="353">
        <f>B27/'- 3 -'!$D27*100</f>
        <v>0.71885232065394644</v>
      </c>
      <c r="D27" s="352">
        <f>B27/'- 7 -'!$F27</f>
        <v>98.366690493209433</v>
      </c>
      <c r="E27" s="352">
        <v>4000</v>
      </c>
      <c r="F27" s="353">
        <f>E27/'- 3 -'!$D27*100</f>
        <v>1.0447296016479982E-2</v>
      </c>
      <c r="G27" s="352">
        <f>E27/'- 7 -'!$F27</f>
        <v>1.4295925661186561</v>
      </c>
    </row>
    <row r="28" spans="1:7" ht="14.1" customHeight="1">
      <c r="A28" s="23" t="s">
        <v>240</v>
      </c>
      <c r="B28" s="24">
        <v>256415</v>
      </c>
      <c r="C28" s="344">
        <f>B28/'- 3 -'!$D28*100</f>
        <v>1.0002446243019714</v>
      </c>
      <c r="D28" s="24">
        <f>B28/'- 7 -'!$F28</f>
        <v>131.15856777493607</v>
      </c>
      <c r="E28" s="24">
        <v>0</v>
      </c>
      <c r="F28" s="344">
        <f>E28/'- 3 -'!$D28*100</f>
        <v>0</v>
      </c>
      <c r="G28" s="24">
        <f>E28/'- 7 -'!$F28</f>
        <v>0</v>
      </c>
    </row>
    <row r="29" spans="1:7" ht="14.1" customHeight="1">
      <c r="A29" s="351" t="s">
        <v>241</v>
      </c>
      <c r="B29" s="352">
        <v>1466213</v>
      </c>
      <c r="C29" s="353">
        <f>B29/'- 3 -'!$D29*100</f>
        <v>1.0693203955901944</v>
      </c>
      <c r="D29" s="352">
        <f>B29/'- 7 -'!$F29</f>
        <v>120.73558959156786</v>
      </c>
      <c r="E29" s="352">
        <v>419266</v>
      </c>
      <c r="F29" s="353">
        <f>E29/'- 3 -'!$D29*100</f>
        <v>0.30577391209702715</v>
      </c>
      <c r="G29" s="352">
        <f>E29/'- 7 -'!$F29</f>
        <v>34.524538866930172</v>
      </c>
    </row>
    <row r="30" spans="1:7" ht="14.1" customHeight="1">
      <c r="A30" s="23" t="s">
        <v>242</v>
      </c>
      <c r="B30" s="24">
        <v>106015</v>
      </c>
      <c r="C30" s="344">
        <f>B30/'- 3 -'!$D30*100</f>
        <v>0.79941286154740809</v>
      </c>
      <c r="D30" s="24">
        <f>B30/'- 7 -'!$F30</f>
        <v>98.756404285048902</v>
      </c>
      <c r="E30" s="24">
        <v>4000</v>
      </c>
      <c r="F30" s="344">
        <f>E30/'- 3 -'!$D30*100</f>
        <v>3.0162254833652147E-2</v>
      </c>
      <c r="G30" s="24">
        <f>E30/'- 7 -'!$F30</f>
        <v>3.7261294829995344</v>
      </c>
    </row>
    <row r="31" spans="1:7" ht="14.1" customHeight="1">
      <c r="A31" s="351" t="s">
        <v>243</v>
      </c>
      <c r="B31" s="352">
        <v>215180</v>
      </c>
      <c r="C31" s="353">
        <f>B31/'- 3 -'!$D31*100</f>
        <v>0.670300957591487</v>
      </c>
      <c r="D31" s="352">
        <f>B31/'- 7 -'!$F31</f>
        <v>67.880126182965299</v>
      </c>
      <c r="E31" s="352">
        <v>412022</v>
      </c>
      <c r="F31" s="353">
        <f>E31/'- 3 -'!$D31*100</f>
        <v>1.2834777449054728</v>
      </c>
      <c r="G31" s="352">
        <f>E31/'- 7 -'!$F31</f>
        <v>129.97539432176657</v>
      </c>
    </row>
    <row r="32" spans="1:7" ht="14.1" customHeight="1">
      <c r="A32" s="23" t="s">
        <v>244</v>
      </c>
      <c r="B32" s="24">
        <v>299500</v>
      </c>
      <c r="C32" s="344">
        <f>B32/'- 3 -'!$D32*100</f>
        <v>1.2128044123889732</v>
      </c>
      <c r="D32" s="24">
        <f>B32/'- 7 -'!$F32</f>
        <v>146.02419272268079</v>
      </c>
      <c r="E32" s="24">
        <v>3700</v>
      </c>
      <c r="F32" s="344">
        <f>E32/'- 3 -'!$D32*100</f>
        <v>1.4982892573753593E-2</v>
      </c>
      <c r="G32" s="24">
        <f>E32/'- 7 -'!$F32</f>
        <v>1.8039716630180931</v>
      </c>
    </row>
    <row r="33" spans="1:7" ht="14.1" customHeight="1">
      <c r="A33" s="351" t="s">
        <v>245</v>
      </c>
      <c r="B33" s="352">
        <v>150800</v>
      </c>
      <c r="C33" s="353">
        <f>B33/'- 3 -'!$D33*100</f>
        <v>0.59098087933879118</v>
      </c>
      <c r="D33" s="352">
        <f>B33/'- 7 -'!$F33</f>
        <v>75.230730855574961</v>
      </c>
      <c r="E33" s="352">
        <v>0</v>
      </c>
      <c r="F33" s="353">
        <f>E33/'- 3 -'!$D33*100</f>
        <v>0</v>
      </c>
      <c r="G33" s="352">
        <f>E33/'- 7 -'!$F33</f>
        <v>0</v>
      </c>
    </row>
    <row r="34" spans="1:7" ht="14.1" customHeight="1">
      <c r="A34" s="23" t="s">
        <v>246</v>
      </c>
      <c r="B34" s="24">
        <v>144078</v>
      </c>
      <c r="C34" s="344">
        <f>B34/'- 3 -'!$D34*100</f>
        <v>0.60191762387296588</v>
      </c>
      <c r="D34" s="24">
        <f>B34/'- 7 -'!$F34</f>
        <v>72.064222477867261</v>
      </c>
      <c r="E34" s="24">
        <v>0</v>
      </c>
      <c r="F34" s="344">
        <f>E34/'- 3 -'!$D34*100</f>
        <v>0</v>
      </c>
      <c r="G34" s="24">
        <f>E34/'- 7 -'!$F34</f>
        <v>0</v>
      </c>
    </row>
    <row r="35" spans="1:7" ht="14.1" customHeight="1">
      <c r="A35" s="351" t="s">
        <v>247</v>
      </c>
      <c r="B35" s="352">
        <v>1903677</v>
      </c>
      <c r="C35" s="353">
        <f>B35/'- 3 -'!$D35*100</f>
        <v>1.1635521980455412</v>
      </c>
      <c r="D35" s="352">
        <f>B35/'- 7 -'!$F35</f>
        <v>122.07752981916121</v>
      </c>
      <c r="E35" s="352">
        <v>408000</v>
      </c>
      <c r="F35" s="353">
        <f>E35/'- 3 -'!$D35*100</f>
        <v>0.24937491854058269</v>
      </c>
      <c r="G35" s="352">
        <f>E35/'- 7 -'!$F35</f>
        <v>26.163909195844557</v>
      </c>
    </row>
    <row r="36" spans="1:7" ht="14.1" customHeight="1">
      <c r="A36" s="23" t="s">
        <v>248</v>
      </c>
      <c r="B36" s="24">
        <v>196600</v>
      </c>
      <c r="C36" s="344">
        <f>B36/'- 3 -'!$D36*100</f>
        <v>0.93108458567209529</v>
      </c>
      <c r="D36" s="24">
        <f>B36/'- 7 -'!$F36</f>
        <v>120.02442002442002</v>
      </c>
      <c r="E36" s="24">
        <v>10400</v>
      </c>
      <c r="F36" s="344">
        <f>E36/'- 3 -'!$D36*100</f>
        <v>4.9253711551321418E-2</v>
      </c>
      <c r="G36" s="24">
        <f>E36/'- 7 -'!$F36</f>
        <v>6.3492063492063489</v>
      </c>
    </row>
    <row r="37" spans="1:7" ht="14.1" customHeight="1">
      <c r="A37" s="351" t="s">
        <v>249</v>
      </c>
      <c r="B37" s="352">
        <v>340487</v>
      </c>
      <c r="C37" s="353">
        <f>B37/'- 3 -'!$D37*100</f>
        <v>0.85452991430682756</v>
      </c>
      <c r="D37" s="352">
        <f>B37/'- 7 -'!$F37</f>
        <v>92.586539768864725</v>
      </c>
      <c r="E37" s="352">
        <v>25392</v>
      </c>
      <c r="F37" s="353">
        <f>E37/'- 3 -'!$D37*100</f>
        <v>6.3727025067268253E-2</v>
      </c>
      <c r="G37" s="352">
        <f>E37/'- 7 -'!$F37</f>
        <v>6.9046906866077498</v>
      </c>
    </row>
    <row r="38" spans="1:7" ht="14.1" customHeight="1">
      <c r="A38" s="23" t="s">
        <v>250</v>
      </c>
      <c r="B38" s="24">
        <v>942220</v>
      </c>
      <c r="C38" s="344">
        <f>B38/'- 3 -'!$D38*100</f>
        <v>0.84173381693437443</v>
      </c>
      <c r="D38" s="24">
        <f>B38/'- 7 -'!$F38</f>
        <v>89.454096648628123</v>
      </c>
      <c r="E38" s="24">
        <v>1307450</v>
      </c>
      <c r="F38" s="344">
        <f>E38/'- 3 -'!$D38*100</f>
        <v>1.1680126498597438</v>
      </c>
      <c r="G38" s="24">
        <f>E38/'- 7 -'!$F38</f>
        <v>124.12892813063705</v>
      </c>
    </row>
    <row r="39" spans="1:7" ht="14.1" customHeight="1">
      <c r="A39" s="351" t="s">
        <v>251</v>
      </c>
      <c r="B39" s="352">
        <v>260533</v>
      </c>
      <c r="C39" s="353">
        <f>B39/'- 3 -'!$D39*100</f>
        <v>1.3089355868222305</v>
      </c>
      <c r="D39" s="352">
        <f>B39/'- 7 -'!$F39</f>
        <v>166.90134529147983</v>
      </c>
      <c r="E39" s="352">
        <v>18100</v>
      </c>
      <c r="F39" s="353">
        <f>E39/'- 3 -'!$D39*100</f>
        <v>9.093563625906266E-2</v>
      </c>
      <c r="G39" s="352">
        <f>E39/'- 7 -'!$F39</f>
        <v>11.59513132607303</v>
      </c>
    </row>
    <row r="40" spans="1:7" ht="14.1" customHeight="1">
      <c r="A40" s="23" t="s">
        <v>252</v>
      </c>
      <c r="B40" s="24">
        <v>694515</v>
      </c>
      <c r="C40" s="344">
        <f>B40/'- 3 -'!$D40*100</f>
        <v>0.73970568401535652</v>
      </c>
      <c r="D40" s="24">
        <f>B40/'- 7 -'!$F40</f>
        <v>85.421996457738871</v>
      </c>
      <c r="E40" s="24">
        <v>299008</v>
      </c>
      <c r="F40" s="344">
        <f>E40/'- 3 -'!$D40*100</f>
        <v>0.31846384479250084</v>
      </c>
      <c r="G40" s="24">
        <f>E40/'- 7 -'!$F40</f>
        <v>36.776542359539512</v>
      </c>
    </row>
    <row r="41" spans="1:7" ht="14.1" customHeight="1">
      <c r="A41" s="351" t="s">
        <v>253</v>
      </c>
      <c r="B41" s="352">
        <v>631419</v>
      </c>
      <c r="C41" s="353">
        <f>B41/'- 3 -'!$D41*100</f>
        <v>1.1111920438791147</v>
      </c>
      <c r="D41" s="352">
        <f>B41/'- 7 -'!$F41</f>
        <v>140.20628400133231</v>
      </c>
      <c r="E41" s="352">
        <v>17700</v>
      </c>
      <c r="F41" s="353">
        <f>E41/'- 3 -'!$D41*100</f>
        <v>3.1149045525491525E-2</v>
      </c>
      <c r="G41" s="352">
        <f>E41/'- 7 -'!$F41</f>
        <v>3.9302764516487176</v>
      </c>
    </row>
    <row r="42" spans="1:7" ht="14.1" customHeight="1">
      <c r="A42" s="23" t="s">
        <v>254</v>
      </c>
      <c r="B42" s="24">
        <v>87964</v>
      </c>
      <c r="C42" s="344">
        <f>B42/'- 3 -'!$D42*100</f>
        <v>0.44218462650871804</v>
      </c>
      <c r="D42" s="24">
        <f>B42/'- 7 -'!$F42</f>
        <v>60.331961591220853</v>
      </c>
      <c r="E42" s="24">
        <v>0</v>
      </c>
      <c r="F42" s="344">
        <f>E42/'- 3 -'!$D42*100</f>
        <v>0</v>
      </c>
      <c r="G42" s="24">
        <f>E42/'- 7 -'!$F42</f>
        <v>0</v>
      </c>
    </row>
    <row r="43" spans="1:7" ht="14.1" customHeight="1">
      <c r="A43" s="351" t="s">
        <v>255</v>
      </c>
      <c r="B43" s="352">
        <v>155444</v>
      </c>
      <c r="C43" s="353">
        <f>B43/'- 3 -'!$D43*100</f>
        <v>1.3154998436487764</v>
      </c>
      <c r="D43" s="352">
        <f>B43/'- 7 -'!$F43</f>
        <v>163.7761095746082</v>
      </c>
      <c r="E43" s="352">
        <v>71944</v>
      </c>
      <c r="F43" s="353">
        <f>E43/'- 3 -'!$D43*100</f>
        <v>0.60885155265862667</v>
      </c>
      <c r="G43" s="352">
        <f>E43/'- 7 -'!$F43</f>
        <v>75.800342420650594</v>
      </c>
    </row>
    <row r="44" spans="1:7" ht="14.1" customHeight="1">
      <c r="A44" s="23" t="s">
        <v>256</v>
      </c>
      <c r="B44" s="24">
        <v>47434</v>
      </c>
      <c r="C44" s="344">
        <f>B44/'- 3 -'!$D44*100</f>
        <v>0.47175393925578768</v>
      </c>
      <c r="D44" s="24">
        <f>B44/'- 7 -'!$F44</f>
        <v>63.414438502673796</v>
      </c>
      <c r="E44" s="24">
        <v>0</v>
      </c>
      <c r="F44" s="344">
        <f>E44/'- 3 -'!$D44*100</f>
        <v>0</v>
      </c>
      <c r="G44" s="24">
        <f>E44/'- 7 -'!$F44</f>
        <v>0</v>
      </c>
    </row>
    <row r="45" spans="1:7" ht="14.1" customHeight="1">
      <c r="A45" s="351" t="s">
        <v>257</v>
      </c>
      <c r="B45" s="352">
        <v>85039</v>
      </c>
      <c r="C45" s="353">
        <f>B45/'- 3 -'!$D45*100</f>
        <v>0.51943462077345115</v>
      </c>
      <c r="D45" s="352">
        <f>B45/'- 7 -'!$F45</f>
        <v>51.182064399638882</v>
      </c>
      <c r="E45" s="352">
        <v>179928</v>
      </c>
      <c r="F45" s="353">
        <f>E45/'- 3 -'!$D45*100</f>
        <v>1.0990349421621317</v>
      </c>
      <c r="G45" s="352">
        <f>E45/'- 7 -'!$F45</f>
        <v>108.29250677099007</v>
      </c>
    </row>
    <row r="46" spans="1:7" ht="14.1" customHeight="1">
      <c r="A46" s="23" t="s">
        <v>258</v>
      </c>
      <c r="B46" s="24">
        <v>2987500</v>
      </c>
      <c r="C46" s="344">
        <f>B46/'- 3 -'!$D46*100</f>
        <v>0.84724156579883603</v>
      </c>
      <c r="D46" s="24">
        <f>B46/'- 7 -'!$F46</f>
        <v>98.040824363349955</v>
      </c>
      <c r="E46" s="24">
        <v>2827500</v>
      </c>
      <c r="F46" s="344">
        <f>E46/'- 3 -'!$D46*100</f>
        <v>0.80186628528743398</v>
      </c>
      <c r="G46" s="24">
        <f>E46/'- 7 -'!$F46</f>
        <v>92.790102389078498</v>
      </c>
    </row>
    <row r="47" spans="1:7" ht="5.0999999999999996" customHeight="1">
      <c r="A47"/>
      <c r="B47"/>
      <c r="C47"/>
      <c r="D47"/>
      <c r="E47"/>
      <c r="F47"/>
      <c r="G47"/>
    </row>
    <row r="48" spans="1:7" ht="14.1" customHeight="1">
      <c r="A48" s="354" t="s">
        <v>259</v>
      </c>
      <c r="B48" s="355">
        <f>SUM(B11:B46)</f>
        <v>18740308</v>
      </c>
      <c r="C48" s="356">
        <f>B48/'- 3 -'!$D48*100</f>
        <v>0.93290750970436842</v>
      </c>
      <c r="D48" s="355">
        <f>B48/'- 7 -'!$F48</f>
        <v>108.41216249929313</v>
      </c>
      <c r="E48" s="355">
        <f>SUM(E11:E46)</f>
        <v>9557578</v>
      </c>
      <c r="F48" s="356">
        <f>E48/'- 3 -'!$D48*100</f>
        <v>0.47578387136354749</v>
      </c>
      <c r="G48" s="355">
        <f>E48/'- 7 -'!$F48</f>
        <v>55.290323896259821</v>
      </c>
    </row>
    <row r="49" spans="1:7" ht="5.0999999999999996" customHeight="1">
      <c r="A49" s="25" t="s">
        <v>3</v>
      </c>
      <c r="B49" s="26"/>
      <c r="C49" s="343"/>
      <c r="D49" s="26"/>
      <c r="E49" s="26"/>
      <c r="F49" s="343"/>
    </row>
    <row r="50" spans="1:7" ht="14.1" customHeight="1">
      <c r="A50" s="23" t="s">
        <v>260</v>
      </c>
      <c r="B50" s="24">
        <v>28650</v>
      </c>
      <c r="C50" s="344">
        <f>B50/'- 3 -'!$D50*100</f>
        <v>0.88726473161403219</v>
      </c>
      <c r="D50" s="24">
        <f>B50/'- 7 -'!$F50</f>
        <v>158.28729281767957</v>
      </c>
      <c r="E50" s="24">
        <v>9100</v>
      </c>
      <c r="F50" s="344">
        <f>E50/'- 3 -'!$D50*100</f>
        <v>0.28181881527705732</v>
      </c>
      <c r="G50" s="24">
        <f>E50/'- 7 -'!$F50</f>
        <v>50.276243093922652</v>
      </c>
    </row>
    <row r="51" spans="1:7" ht="14.1" customHeight="1">
      <c r="A51" s="351" t="s">
        <v>261</v>
      </c>
      <c r="B51" s="352">
        <v>58050</v>
      </c>
      <c r="C51" s="353">
        <f>B51/'- 3 -'!$D51*100</f>
        <v>0.3291348091953632</v>
      </c>
      <c r="D51" s="352">
        <f>B51/'- 7 -'!$F51</f>
        <v>93.478260869565219</v>
      </c>
      <c r="E51" s="352">
        <v>53200</v>
      </c>
      <c r="F51" s="353">
        <f>E51/'- 3 -'!$D51*100</f>
        <v>0.30163603530048788</v>
      </c>
      <c r="G51" s="352">
        <f>E51/'- 7 -'!$F51</f>
        <v>85.668276972624795</v>
      </c>
    </row>
    <row r="52" spans="1:7" ht="50.1" customHeight="1">
      <c r="A52" s="27"/>
      <c r="B52" s="70"/>
      <c r="C52" s="70"/>
      <c r="D52" s="70"/>
      <c r="E52" s="70"/>
      <c r="F52" s="70"/>
      <c r="G52" s="70"/>
    </row>
    <row r="53" spans="1:7" ht="15" customHeight="1">
      <c r="A53" s="159" t="s">
        <v>574</v>
      </c>
      <c r="C53" s="65"/>
      <c r="D53" s="65"/>
      <c r="E53" s="65"/>
      <c r="F53" s="65"/>
      <c r="G53" s="65"/>
    </row>
    <row r="54" spans="1:7">
      <c r="A54" s="1" t="s">
        <v>575</v>
      </c>
    </row>
    <row r="56" spans="1:7" ht="14.45" customHeight="1"/>
    <row r="57" spans="1:7" ht="14.45" customHeight="1"/>
    <row r="58" spans="1:7" ht="14.45" customHeight="1"/>
    <row r="59" spans="1:7" ht="14.45" customHeight="1"/>
  </sheetData>
  <phoneticPr fontId="0" type="noConversion"/>
  <printOptions horizontalCentered="1"/>
  <pageMargins left="0.51181102362204722" right="0.51181102362204722" top="0.59055118110236227" bottom="0" header="0.31496062992125984" footer="0"/>
  <pageSetup scale="91" orientation="portrait" r:id="rId1"/>
  <headerFooter alignWithMargins="0">
    <oddHeader>&amp;C&amp;"Arial,Bold"&amp;10&amp;A</oddHeader>
  </headerFooter>
</worksheet>
</file>

<file path=xl/worksheets/sheet26.xml><?xml version="1.0" encoding="utf-8"?>
<worksheet xmlns="http://schemas.openxmlformats.org/spreadsheetml/2006/main" xmlns:r="http://schemas.openxmlformats.org/officeDocument/2006/relationships">
  <sheetPr codeName="Sheet27">
    <pageSetUpPr fitToPage="1"/>
  </sheetPr>
  <dimension ref="A1:J66"/>
  <sheetViews>
    <sheetView showGridLines="0" showZeros="0" workbookViewId="0"/>
  </sheetViews>
  <sheetFormatPr defaultColWidth="15.83203125" defaultRowHeight="12"/>
  <cols>
    <col min="1" max="1" width="33.83203125" style="1" customWidth="1"/>
    <col min="2" max="2" width="16.83203125" style="1" customWidth="1"/>
    <col min="3" max="3" width="12.83203125" style="1" customWidth="1"/>
    <col min="4" max="4" width="16.83203125" style="1" customWidth="1"/>
    <col min="5" max="5" width="12.5" style="1" customWidth="1"/>
    <col min="6" max="6" width="17.83203125" style="1" customWidth="1"/>
    <col min="7" max="7" width="13.5" style="1" customWidth="1"/>
    <col min="8" max="16384" width="15.83203125" style="1"/>
  </cols>
  <sheetData>
    <row r="1" spans="1:10" ht="6.95" customHeight="1">
      <c r="A1" s="3"/>
      <c r="B1" s="4"/>
      <c r="C1" s="4"/>
      <c r="D1" s="4"/>
      <c r="E1" s="4"/>
      <c r="F1" s="4"/>
      <c r="G1" s="4"/>
    </row>
    <row r="2" spans="1:10" ht="15.95" customHeight="1">
      <c r="A2" s="160"/>
      <c r="B2" s="5" t="s">
        <v>437</v>
      </c>
      <c r="C2" s="6"/>
      <c r="D2" s="6"/>
      <c r="E2" s="6"/>
      <c r="F2" s="105"/>
      <c r="G2" s="183" t="s">
        <v>386</v>
      </c>
    </row>
    <row r="3" spans="1:10" ht="15.95" customHeight="1">
      <c r="A3" s="163"/>
      <c r="B3" s="7" t="str">
        <f>OPYEAR</f>
        <v>OPERATING FUND 2012/2013 BUDGET</v>
      </c>
      <c r="C3" s="8"/>
      <c r="D3" s="8"/>
      <c r="E3" s="8"/>
      <c r="F3" s="107"/>
      <c r="G3" s="100"/>
    </row>
    <row r="4" spans="1:10" ht="15.95" customHeight="1">
      <c r="B4" s="4"/>
      <c r="C4" s="4"/>
      <c r="D4" s="4"/>
      <c r="E4" s="4"/>
      <c r="F4" s="4"/>
      <c r="G4" s="4"/>
    </row>
    <row r="5" spans="1:10" ht="15.95" customHeight="1">
      <c r="B5" s="4"/>
      <c r="C5" s="4"/>
      <c r="D5" s="4"/>
      <c r="E5" s="4"/>
      <c r="F5" s="4"/>
      <c r="G5" s="4"/>
    </row>
    <row r="6" spans="1:10" ht="15.95" customHeight="1">
      <c r="B6" s="184" t="s">
        <v>19</v>
      </c>
      <c r="C6" s="185"/>
      <c r="D6" s="186"/>
      <c r="E6" s="186"/>
      <c r="F6" s="186"/>
      <c r="G6" s="187"/>
    </row>
    <row r="7" spans="1:10" ht="15.95" customHeight="1">
      <c r="B7" s="357"/>
      <c r="C7" s="347"/>
      <c r="D7" s="345"/>
      <c r="E7" s="347"/>
      <c r="F7" s="345" t="s">
        <v>45</v>
      </c>
      <c r="G7" s="347"/>
    </row>
    <row r="8" spans="1:10" ht="15.95" customHeight="1">
      <c r="A8" s="101"/>
      <c r="B8" s="349" t="s">
        <v>30</v>
      </c>
      <c r="C8" s="350"/>
      <c r="D8" s="348" t="s">
        <v>61</v>
      </c>
      <c r="E8" s="350"/>
      <c r="F8" s="348" t="s">
        <v>62</v>
      </c>
      <c r="G8" s="350"/>
    </row>
    <row r="9" spans="1:10" ht="15.95" customHeight="1">
      <c r="A9" s="35" t="s">
        <v>79</v>
      </c>
      <c r="B9" s="188" t="s">
        <v>80</v>
      </c>
      <c r="C9" s="188" t="s">
        <v>81</v>
      </c>
      <c r="D9" s="188" t="s">
        <v>80</v>
      </c>
      <c r="E9" s="188" t="s">
        <v>81</v>
      </c>
      <c r="F9" s="188" t="s">
        <v>80</v>
      </c>
      <c r="G9" s="188" t="s">
        <v>81</v>
      </c>
    </row>
    <row r="10" spans="1:10" ht="5.0999999999999996" customHeight="1">
      <c r="A10" s="37"/>
    </row>
    <row r="11" spans="1:10" ht="14.1" customHeight="1">
      <c r="A11" s="351" t="s">
        <v>224</v>
      </c>
      <c r="B11" s="352">
        <v>56334</v>
      </c>
      <c r="C11" s="353">
        <f>B11/'- 3 -'!$D11*100</f>
        <v>0.35509336533758268</v>
      </c>
      <c r="D11" s="352">
        <v>965690</v>
      </c>
      <c r="E11" s="353">
        <f>D11/'- 3 -'!$D11*100</f>
        <v>6.0870897144326728</v>
      </c>
      <c r="F11" s="352">
        <v>6000</v>
      </c>
      <c r="G11" s="353">
        <f>F11/'- 3 -'!$D11*100</f>
        <v>3.7820147549002307E-2</v>
      </c>
      <c r="J11" s="1">
        <f>+H11-I11</f>
        <v>0</v>
      </c>
    </row>
    <row r="12" spans="1:10" ht="14.1" customHeight="1">
      <c r="A12" s="23" t="s">
        <v>225</v>
      </c>
      <c r="B12" s="24">
        <v>81234</v>
      </c>
      <c r="C12" s="344">
        <f>B12/'- 3 -'!$D12*100</f>
        <v>0.27076633532561056</v>
      </c>
      <c r="D12" s="24">
        <v>2016886</v>
      </c>
      <c r="E12" s="344">
        <f>D12/'- 3 -'!$D12*100</f>
        <v>6.7226140654101654</v>
      </c>
      <c r="F12" s="24">
        <v>0</v>
      </c>
      <c r="G12" s="344">
        <f>F12/'- 3 -'!$D12*100</f>
        <v>0</v>
      </c>
      <c r="J12" s="1">
        <f t="shared" ref="J12:J48" si="0">+H12-I12</f>
        <v>0</v>
      </c>
    </row>
    <row r="13" spans="1:10" ht="14.1" customHeight="1">
      <c r="A13" s="351" t="s">
        <v>226</v>
      </c>
      <c r="B13" s="352">
        <v>179300</v>
      </c>
      <c r="C13" s="353">
        <f>B13/'- 3 -'!$D13*100</f>
        <v>0.22874040961500683</v>
      </c>
      <c r="D13" s="352">
        <v>1639700</v>
      </c>
      <c r="E13" s="353">
        <f>D13/'- 3 -'!$D13*100</f>
        <v>2.0918329595411413</v>
      </c>
      <c r="F13" s="352">
        <v>0</v>
      </c>
      <c r="G13" s="353">
        <f>F13/'- 3 -'!$D13*100</f>
        <v>0</v>
      </c>
      <c r="J13" s="1">
        <f t="shared" si="0"/>
        <v>0</v>
      </c>
    </row>
    <row r="14" spans="1:10" ht="14.1" customHeight="1">
      <c r="A14" s="23" t="s">
        <v>524</v>
      </c>
      <c r="B14" s="24">
        <v>233902</v>
      </c>
      <c r="C14" s="344">
        <f>B14/'- 3 -'!$D14*100</f>
        <v>0.32731562383900326</v>
      </c>
      <c r="D14" s="24">
        <v>7105761</v>
      </c>
      <c r="E14" s="344">
        <f>D14/'- 3 -'!$D14*100</f>
        <v>9.9435943025962139</v>
      </c>
      <c r="F14" s="24">
        <v>403919</v>
      </c>
      <c r="G14" s="344">
        <f>F14/'- 3 -'!$D14*100</f>
        <v>0.56523244549181439</v>
      </c>
      <c r="J14" s="1">
        <f t="shared" si="0"/>
        <v>0</v>
      </c>
    </row>
    <row r="15" spans="1:10" ht="14.1" customHeight="1">
      <c r="A15" s="351" t="s">
        <v>227</v>
      </c>
      <c r="B15" s="352">
        <v>71030</v>
      </c>
      <c r="C15" s="353">
        <f>B15/'- 3 -'!$D15*100</f>
        <v>0.37973229274317849</v>
      </c>
      <c r="D15" s="352">
        <v>1127250</v>
      </c>
      <c r="E15" s="353">
        <f>D15/'- 3 -'!$D15*100</f>
        <v>6.0263723355588894</v>
      </c>
      <c r="F15" s="352">
        <v>6000</v>
      </c>
      <c r="G15" s="353">
        <f>F15/'- 3 -'!$D15*100</f>
        <v>3.207649945739928E-2</v>
      </c>
      <c r="J15" s="1">
        <f t="shared" si="0"/>
        <v>0</v>
      </c>
    </row>
    <row r="16" spans="1:10" ht="14.1" customHeight="1">
      <c r="A16" s="23" t="s">
        <v>228</v>
      </c>
      <c r="B16" s="24">
        <v>0</v>
      </c>
      <c r="C16" s="344">
        <f>B16/'- 3 -'!$D16*100</f>
        <v>0</v>
      </c>
      <c r="D16" s="24">
        <v>292241</v>
      </c>
      <c r="E16" s="344">
        <f>D16/'- 3 -'!$D16*100</f>
        <v>2.3089658106098292</v>
      </c>
      <c r="F16" s="24">
        <v>0</v>
      </c>
      <c r="G16" s="344">
        <f>F16/'- 3 -'!$D16*100</f>
        <v>0</v>
      </c>
      <c r="J16" s="1">
        <f t="shared" si="0"/>
        <v>0</v>
      </c>
    </row>
    <row r="17" spans="1:10" ht="14.1" customHeight="1">
      <c r="A17" s="351" t="s">
        <v>229</v>
      </c>
      <c r="B17" s="352">
        <v>51380</v>
      </c>
      <c r="C17" s="353">
        <f>B17/'- 3 -'!$D17*100</f>
        <v>0.31520965736624357</v>
      </c>
      <c r="D17" s="352">
        <v>1237330</v>
      </c>
      <c r="E17" s="353">
        <f>D17/'- 3 -'!$D17*100</f>
        <v>7.5908595825024152</v>
      </c>
      <c r="F17" s="352">
        <v>1500</v>
      </c>
      <c r="G17" s="353">
        <f>F17/'- 3 -'!$D17*100</f>
        <v>9.2023060733625022E-3</v>
      </c>
      <c r="J17" s="1">
        <f t="shared" si="0"/>
        <v>0</v>
      </c>
    </row>
    <row r="18" spans="1:10" ht="14.1" customHeight="1">
      <c r="A18" s="23" t="s">
        <v>230</v>
      </c>
      <c r="B18" s="24">
        <v>296844</v>
      </c>
      <c r="C18" s="344">
        <f>B18/'- 3 -'!$D18*100</f>
        <v>0.2577534226478066</v>
      </c>
      <c r="D18" s="24">
        <v>6246674</v>
      </c>
      <c r="E18" s="344">
        <f>D18/'- 3 -'!$D18*100</f>
        <v>5.4240665253973956</v>
      </c>
      <c r="F18" s="24">
        <v>96433</v>
      </c>
      <c r="G18" s="344">
        <f>F18/'- 3 -'!$D18*100</f>
        <v>8.3734001044979633E-2</v>
      </c>
      <c r="J18" s="1">
        <f t="shared" si="0"/>
        <v>0</v>
      </c>
    </row>
    <row r="19" spans="1:10" ht="14.1" customHeight="1">
      <c r="A19" s="351" t="s">
        <v>231</v>
      </c>
      <c r="B19" s="352">
        <v>56100</v>
      </c>
      <c r="C19" s="353">
        <f>B19/'- 3 -'!$D19*100</f>
        <v>0.14351079854805954</v>
      </c>
      <c r="D19" s="352">
        <v>2019400</v>
      </c>
      <c r="E19" s="353">
        <f>D19/'- 3 -'!$D19*100</f>
        <v>5.1658771227798832</v>
      </c>
      <c r="F19" s="352">
        <v>30000</v>
      </c>
      <c r="G19" s="353">
        <f>F19/'- 3 -'!$D19*100</f>
        <v>7.6743742539069279E-2</v>
      </c>
      <c r="J19" s="1">
        <f t="shared" si="0"/>
        <v>0</v>
      </c>
    </row>
    <row r="20" spans="1:10" ht="14.1" customHeight="1">
      <c r="A20" s="23" t="s">
        <v>232</v>
      </c>
      <c r="B20" s="24">
        <v>223500</v>
      </c>
      <c r="C20" s="344">
        <f>B20/'- 3 -'!$D20*100</f>
        <v>0.33028417739289778</v>
      </c>
      <c r="D20" s="24">
        <v>2991200</v>
      </c>
      <c r="E20" s="344">
        <f>D20/'- 3 -'!$D20*100</f>
        <v>4.4203401853138073</v>
      </c>
      <c r="F20" s="24">
        <v>2100</v>
      </c>
      <c r="G20" s="344">
        <f>F20/'- 3 -'!$D20*100</f>
        <v>3.1033412640943414E-3</v>
      </c>
      <c r="J20" s="1">
        <f t="shared" si="0"/>
        <v>0</v>
      </c>
    </row>
    <row r="21" spans="1:10" ht="14.1" customHeight="1">
      <c r="A21" s="351" t="s">
        <v>233</v>
      </c>
      <c r="B21" s="352">
        <v>147000</v>
      </c>
      <c r="C21" s="353">
        <f>B21/'- 3 -'!$D21*100</f>
        <v>0.45155935425169247</v>
      </c>
      <c r="D21" s="352">
        <v>1754000</v>
      </c>
      <c r="E21" s="353">
        <f>D21/'- 3 -'!$D21*100</f>
        <v>5.3879939276018263</v>
      </c>
      <c r="F21" s="352">
        <v>7000</v>
      </c>
      <c r="G21" s="353">
        <f>F21/'- 3 -'!$D21*100</f>
        <v>2.1502826392937734E-2</v>
      </c>
      <c r="J21" s="1">
        <f t="shared" si="0"/>
        <v>0</v>
      </c>
    </row>
    <row r="22" spans="1:10" ht="14.1" customHeight="1">
      <c r="A22" s="23" t="s">
        <v>234</v>
      </c>
      <c r="B22" s="24">
        <v>107090</v>
      </c>
      <c r="C22" s="344">
        <f>B22/'- 3 -'!$D22*100</f>
        <v>0.56292984245691624</v>
      </c>
      <c r="D22" s="24">
        <v>455265</v>
      </c>
      <c r="E22" s="344">
        <f>D22/'- 3 -'!$D22*100</f>
        <v>2.393148330620487</v>
      </c>
      <c r="F22" s="24">
        <v>3500</v>
      </c>
      <c r="G22" s="344">
        <f>F22/'- 3 -'!$D22*100</f>
        <v>1.8398117925102313E-2</v>
      </c>
      <c r="J22" s="1">
        <f t="shared" si="0"/>
        <v>0</v>
      </c>
    </row>
    <row r="23" spans="1:10" ht="14.1" customHeight="1">
      <c r="A23" s="351" t="s">
        <v>235</v>
      </c>
      <c r="B23" s="352">
        <v>60825</v>
      </c>
      <c r="C23" s="353">
        <f>B23/'- 3 -'!$D23*100</f>
        <v>0.39073089321114307</v>
      </c>
      <c r="D23" s="352">
        <v>1484890</v>
      </c>
      <c r="E23" s="353">
        <f>D23/'- 3 -'!$D23*100</f>
        <v>9.5387159230627905</v>
      </c>
      <c r="F23" s="352">
        <v>1500</v>
      </c>
      <c r="G23" s="353">
        <f>F23/'- 3 -'!$D23*100</f>
        <v>9.635780350459755E-3</v>
      </c>
      <c r="J23" s="1">
        <f t="shared" si="0"/>
        <v>0</v>
      </c>
    </row>
    <row r="24" spans="1:10" ht="14.1" customHeight="1">
      <c r="A24" s="23" t="s">
        <v>236</v>
      </c>
      <c r="B24" s="24">
        <v>161155</v>
      </c>
      <c r="C24" s="344">
        <f>B24/'- 3 -'!$D24*100</f>
        <v>0.31594618043898004</v>
      </c>
      <c r="D24" s="24">
        <v>2187485</v>
      </c>
      <c r="E24" s="344">
        <f>D24/'- 3 -'!$D24*100</f>
        <v>4.288588815224859</v>
      </c>
      <c r="F24" s="24">
        <v>7800</v>
      </c>
      <c r="G24" s="344">
        <f>F24/'- 3 -'!$D24*100</f>
        <v>1.5291987263343017E-2</v>
      </c>
      <c r="J24" s="1">
        <f t="shared" si="0"/>
        <v>0</v>
      </c>
    </row>
    <row r="25" spans="1:10" ht="14.1" customHeight="1">
      <c r="A25" s="351" t="s">
        <v>237</v>
      </c>
      <c r="B25" s="352">
        <v>234376</v>
      </c>
      <c r="C25" s="353">
        <f>B25/'- 3 -'!$D25*100</f>
        <v>0.15609651407451408</v>
      </c>
      <c r="D25" s="352">
        <v>2994668</v>
      </c>
      <c r="E25" s="353">
        <f>D25/'- 3 -'!$D25*100</f>
        <v>1.9944756955084864</v>
      </c>
      <c r="F25" s="352">
        <v>10000</v>
      </c>
      <c r="G25" s="353">
        <f>F25/'- 3 -'!$D25*100</f>
        <v>6.6600895174639936E-3</v>
      </c>
      <c r="J25" s="1">
        <f t="shared" si="0"/>
        <v>0</v>
      </c>
    </row>
    <row r="26" spans="1:10" ht="14.1" customHeight="1">
      <c r="A26" s="23" t="s">
        <v>238</v>
      </c>
      <c r="B26" s="24">
        <v>160271</v>
      </c>
      <c r="C26" s="344">
        <f>B26/'- 3 -'!$D26*100</f>
        <v>0.43576877171642037</v>
      </c>
      <c r="D26" s="24">
        <v>2481137</v>
      </c>
      <c r="E26" s="344">
        <f>D26/'- 3 -'!$D26*100</f>
        <v>6.7460864594977519</v>
      </c>
      <c r="F26" s="24">
        <v>4500</v>
      </c>
      <c r="G26" s="344">
        <f>F26/'- 3 -'!$D26*100</f>
        <v>1.2235273210523999E-2</v>
      </c>
      <c r="J26" s="1">
        <f t="shared" si="0"/>
        <v>0</v>
      </c>
    </row>
    <row r="27" spans="1:10" ht="14.1" customHeight="1">
      <c r="A27" s="351" t="s">
        <v>239</v>
      </c>
      <c r="B27" s="352">
        <v>0</v>
      </c>
      <c r="C27" s="353">
        <f>B27/'- 3 -'!$D27*100</f>
        <v>0</v>
      </c>
      <c r="D27" s="352">
        <v>3900</v>
      </c>
      <c r="E27" s="353">
        <f>D27/'- 3 -'!$D27*100</f>
        <v>1.0186113616067983E-2</v>
      </c>
      <c r="F27" s="352">
        <v>136100</v>
      </c>
      <c r="G27" s="353">
        <f>F27/'- 3 -'!$D27*100</f>
        <v>0.3554692469607314</v>
      </c>
      <c r="J27" s="1">
        <f t="shared" si="0"/>
        <v>0</v>
      </c>
    </row>
    <row r="28" spans="1:10" ht="14.1" customHeight="1">
      <c r="A28" s="23" t="s">
        <v>240</v>
      </c>
      <c r="B28" s="24">
        <v>69161</v>
      </c>
      <c r="C28" s="344">
        <f>B28/'- 3 -'!$D28*100</f>
        <v>0.26978889090477798</v>
      </c>
      <c r="D28" s="24">
        <v>1964506</v>
      </c>
      <c r="E28" s="344">
        <f>D28/'- 3 -'!$D28*100</f>
        <v>7.6633058358870132</v>
      </c>
      <c r="F28" s="24">
        <v>23650</v>
      </c>
      <c r="G28" s="344">
        <f>F28/'- 3 -'!$D28*100</f>
        <v>9.2255856189152829E-2</v>
      </c>
      <c r="J28" s="1">
        <f t="shared" si="0"/>
        <v>0</v>
      </c>
    </row>
    <row r="29" spans="1:10" ht="14.1" customHeight="1">
      <c r="A29" s="351" t="s">
        <v>241</v>
      </c>
      <c r="B29" s="352">
        <v>165940</v>
      </c>
      <c r="C29" s="353">
        <f>B29/'- 3 -'!$D29*100</f>
        <v>0.12102131575987722</v>
      </c>
      <c r="D29" s="352">
        <v>1968813</v>
      </c>
      <c r="E29" s="353">
        <f>D29/'- 3 -'!$D29*100</f>
        <v>1.435870433561234</v>
      </c>
      <c r="F29" s="352">
        <v>70000</v>
      </c>
      <c r="G29" s="353">
        <f>F29/'- 3 -'!$D29*100</f>
        <v>5.1051537321871801E-2</v>
      </c>
      <c r="J29" s="1">
        <f t="shared" si="0"/>
        <v>0</v>
      </c>
    </row>
    <row r="30" spans="1:10" ht="14.1" customHeight="1">
      <c r="A30" s="23" t="s">
        <v>242</v>
      </c>
      <c r="B30" s="24">
        <v>57425</v>
      </c>
      <c r="C30" s="344">
        <f>B30/'- 3 -'!$D30*100</f>
        <v>0.43301687095561869</v>
      </c>
      <c r="D30" s="24">
        <v>1090500</v>
      </c>
      <c r="E30" s="344">
        <f>D30/'- 3 -'!$D30*100</f>
        <v>8.2229847240244158</v>
      </c>
      <c r="F30" s="24">
        <v>0</v>
      </c>
      <c r="G30" s="344">
        <f>F30/'- 3 -'!$D30*100</f>
        <v>0</v>
      </c>
      <c r="J30" s="1">
        <f t="shared" si="0"/>
        <v>0</v>
      </c>
    </row>
    <row r="31" spans="1:10" ht="14.1" customHeight="1">
      <c r="A31" s="351" t="s">
        <v>243</v>
      </c>
      <c r="B31" s="352">
        <v>82274</v>
      </c>
      <c r="C31" s="353">
        <f>B31/'- 3 -'!$D31*100</f>
        <v>0.2562893437349289</v>
      </c>
      <c r="D31" s="352">
        <v>854788</v>
      </c>
      <c r="E31" s="353">
        <f>D31/'- 3 -'!$D31*100</f>
        <v>2.6627252297504973</v>
      </c>
      <c r="F31" s="352">
        <v>5000</v>
      </c>
      <c r="G31" s="353">
        <f>F31/'- 3 -'!$D31*100</f>
        <v>1.5575354530892439E-2</v>
      </c>
      <c r="J31" s="1">
        <f t="shared" si="0"/>
        <v>0</v>
      </c>
    </row>
    <row r="32" spans="1:10" ht="14.1" customHeight="1">
      <c r="A32" s="23" t="s">
        <v>244</v>
      </c>
      <c r="B32" s="24">
        <v>107650</v>
      </c>
      <c r="C32" s="344">
        <f>B32/'- 3 -'!$D32*100</f>
        <v>0.43592118528772278</v>
      </c>
      <c r="D32" s="24">
        <v>1722700</v>
      </c>
      <c r="E32" s="344">
        <f>D32/'- 3 -'!$D32*100</f>
        <v>6.9759537937311658</v>
      </c>
      <c r="F32" s="24">
        <v>11000</v>
      </c>
      <c r="G32" s="344">
        <f>F32/'- 3 -'!$D32*100</f>
        <v>4.4543734678726896E-2</v>
      </c>
      <c r="J32" s="1">
        <f t="shared" si="0"/>
        <v>0</v>
      </c>
    </row>
    <row r="33" spans="1:10" ht="14.1" customHeight="1">
      <c r="A33" s="351" t="s">
        <v>245</v>
      </c>
      <c r="B33" s="352">
        <v>53500</v>
      </c>
      <c r="C33" s="353">
        <f>B33/'- 3 -'!$D33*100</f>
        <v>0.20966496713942526</v>
      </c>
      <c r="D33" s="352">
        <v>2108900</v>
      </c>
      <c r="E33" s="353">
        <f>D33/'- 3 -'!$D33*100</f>
        <v>8.2647186766417544</v>
      </c>
      <c r="F33" s="352">
        <v>0</v>
      </c>
      <c r="G33" s="353">
        <f>F33/'- 3 -'!$D33*100</f>
        <v>0</v>
      </c>
      <c r="J33" s="1">
        <f t="shared" si="0"/>
        <v>0</v>
      </c>
    </row>
    <row r="34" spans="1:10" ht="14.1" customHeight="1">
      <c r="A34" s="23" t="s">
        <v>246</v>
      </c>
      <c r="B34" s="24">
        <v>87094</v>
      </c>
      <c r="C34" s="344">
        <f>B34/'- 3 -'!$D34*100</f>
        <v>0.36385439507483508</v>
      </c>
      <c r="D34" s="24">
        <v>2271796</v>
      </c>
      <c r="E34" s="344">
        <f>D34/'- 3 -'!$D34*100</f>
        <v>9.4909288735553545</v>
      </c>
      <c r="F34" s="24">
        <v>0</v>
      </c>
      <c r="G34" s="344">
        <f>F34/'- 3 -'!$D34*100</f>
        <v>0</v>
      </c>
      <c r="J34" s="1">
        <f t="shared" si="0"/>
        <v>0</v>
      </c>
    </row>
    <row r="35" spans="1:10" ht="14.1" customHeight="1">
      <c r="A35" s="351" t="s">
        <v>247</v>
      </c>
      <c r="B35" s="352">
        <v>342000</v>
      </c>
      <c r="C35" s="353">
        <f>B35/'- 3 -'!$D35*100</f>
        <v>0.2090348581884296</v>
      </c>
      <c r="D35" s="352">
        <v>2875000</v>
      </c>
      <c r="E35" s="353">
        <f>D35/'- 3 -'!$D35*100</f>
        <v>1.7572374774612136</v>
      </c>
      <c r="F35" s="352">
        <v>40700</v>
      </c>
      <c r="G35" s="353">
        <f>F35/'- 3 -'!$D35*100</f>
        <v>2.4876370550494402E-2</v>
      </c>
      <c r="J35" s="1">
        <f t="shared" si="0"/>
        <v>0</v>
      </c>
    </row>
    <row r="36" spans="1:10" ht="14.1" customHeight="1">
      <c r="A36" s="23" t="s">
        <v>248</v>
      </c>
      <c r="B36" s="24">
        <v>57530</v>
      </c>
      <c r="C36" s="344">
        <f>B36/'- 3 -'!$D36*100</f>
        <v>0.27245827168726167</v>
      </c>
      <c r="D36" s="24">
        <v>1432550</v>
      </c>
      <c r="E36" s="344">
        <f>D36/'- 3 -'!$D36*100</f>
        <v>6.7844619695043757</v>
      </c>
      <c r="F36" s="24">
        <v>3500</v>
      </c>
      <c r="G36" s="344">
        <f>F36/'- 3 -'!$D36*100</f>
        <v>1.6575768310540862E-2</v>
      </c>
      <c r="J36" s="1">
        <f t="shared" si="0"/>
        <v>0</v>
      </c>
    </row>
    <row r="37" spans="1:10" ht="14.1" customHeight="1">
      <c r="A37" s="351" t="s">
        <v>249</v>
      </c>
      <c r="B37" s="352">
        <v>154182</v>
      </c>
      <c r="C37" s="353">
        <f>B37/'- 3 -'!$D37*100</f>
        <v>0.38695495348619852</v>
      </c>
      <c r="D37" s="352">
        <v>2101689</v>
      </c>
      <c r="E37" s="353">
        <f>D37/'- 3 -'!$D37*100</f>
        <v>5.2746686982751232</v>
      </c>
      <c r="F37" s="352">
        <v>8000</v>
      </c>
      <c r="G37" s="353">
        <f>F37/'- 3 -'!$D37*100</f>
        <v>2.0077827683449356E-2</v>
      </c>
      <c r="J37" s="1">
        <f t="shared" si="0"/>
        <v>0</v>
      </c>
    </row>
    <row r="38" spans="1:10" ht="14.1" customHeight="1">
      <c r="A38" s="23" t="s">
        <v>250</v>
      </c>
      <c r="B38" s="24">
        <v>270880</v>
      </c>
      <c r="C38" s="344">
        <f>B38/'- 3 -'!$D38*100</f>
        <v>0.24199110221729886</v>
      </c>
      <c r="D38" s="24">
        <v>2610560</v>
      </c>
      <c r="E38" s="344">
        <f>D38/'- 3 -'!$D38*100</f>
        <v>2.332148153442084</v>
      </c>
      <c r="F38" s="24">
        <v>100000</v>
      </c>
      <c r="G38" s="344">
        <f>F38/'- 3 -'!$D38*100</f>
        <v>8.9335167682109737E-2</v>
      </c>
      <c r="J38" s="1">
        <f t="shared" si="0"/>
        <v>0</v>
      </c>
    </row>
    <row r="39" spans="1:10" ht="14.1" customHeight="1">
      <c r="A39" s="351" t="s">
        <v>251</v>
      </c>
      <c r="B39" s="352">
        <v>61638</v>
      </c>
      <c r="C39" s="353">
        <f>B39/'- 3 -'!$D39*100</f>
        <v>0.30967352197437042</v>
      </c>
      <c r="D39" s="352">
        <v>1875344</v>
      </c>
      <c r="E39" s="353">
        <f>D39/'- 3 -'!$D39*100</f>
        <v>9.4218563450063879</v>
      </c>
      <c r="F39" s="352">
        <v>10474</v>
      </c>
      <c r="G39" s="353">
        <f>F39/'- 3 -'!$D39*100</f>
        <v>5.2622091391017811E-2</v>
      </c>
      <c r="J39" s="1">
        <f t="shared" si="0"/>
        <v>0</v>
      </c>
    </row>
    <row r="40" spans="1:10" ht="14.1" customHeight="1">
      <c r="A40" s="23" t="s">
        <v>252</v>
      </c>
      <c r="B40" s="24">
        <v>110410</v>
      </c>
      <c r="C40" s="344">
        <f>B40/'- 3 -'!$D40*100</f>
        <v>0.11759415501772534</v>
      </c>
      <c r="D40" s="24">
        <v>1567504</v>
      </c>
      <c r="E40" s="344">
        <f>D40/'- 3 -'!$D40*100</f>
        <v>1.6694983096359437</v>
      </c>
      <c r="F40" s="24">
        <v>25600</v>
      </c>
      <c r="G40" s="344">
        <f>F40/'- 3 -'!$D40*100</f>
        <v>2.7265740136344252E-2</v>
      </c>
      <c r="J40" s="1">
        <f t="shared" si="0"/>
        <v>0</v>
      </c>
    </row>
    <row r="41" spans="1:10" ht="14.1" customHeight="1">
      <c r="A41" s="351" t="s">
        <v>253</v>
      </c>
      <c r="B41" s="352">
        <v>261834</v>
      </c>
      <c r="C41" s="353">
        <f>B41/'- 3 -'!$D41*100</f>
        <v>0.460784134809127</v>
      </c>
      <c r="D41" s="352">
        <v>3993931</v>
      </c>
      <c r="E41" s="353">
        <f>D41/'- 3 -'!$D41*100</f>
        <v>7.0286518951792027</v>
      </c>
      <c r="F41" s="352">
        <v>8000</v>
      </c>
      <c r="G41" s="353">
        <f>F41/'- 3 -'!$D41*100</f>
        <v>1.4078664644289954E-2</v>
      </c>
      <c r="J41" s="1">
        <f t="shared" si="0"/>
        <v>0</v>
      </c>
    </row>
    <row r="42" spans="1:10" ht="14.1" customHeight="1">
      <c r="A42" s="23" t="s">
        <v>254</v>
      </c>
      <c r="B42" s="24">
        <v>94190</v>
      </c>
      <c r="C42" s="344">
        <f>B42/'- 3 -'!$D42*100</f>
        <v>0.47348199230203436</v>
      </c>
      <c r="D42" s="24">
        <v>1470901</v>
      </c>
      <c r="E42" s="344">
        <f>D42/'- 3 -'!$D42*100</f>
        <v>7.3940453971658844</v>
      </c>
      <c r="F42" s="24">
        <v>0</v>
      </c>
      <c r="G42" s="344">
        <f>F42/'- 3 -'!$D42*100</f>
        <v>0</v>
      </c>
      <c r="J42" s="1">
        <f t="shared" si="0"/>
        <v>0</v>
      </c>
    </row>
    <row r="43" spans="1:10" ht="14.1" customHeight="1">
      <c r="A43" s="351" t="s">
        <v>255</v>
      </c>
      <c r="B43" s="352">
        <v>10620</v>
      </c>
      <c r="C43" s="353">
        <f>B43/'- 3 -'!$D43*100</f>
        <v>8.9875507189405859E-2</v>
      </c>
      <c r="D43" s="352">
        <v>893598</v>
      </c>
      <c r="E43" s="353">
        <f>D43/'- 3 -'!$D43*100</f>
        <v>7.5623892159546795</v>
      </c>
      <c r="F43" s="352">
        <v>0</v>
      </c>
      <c r="G43" s="353">
        <f>F43/'- 3 -'!$D43*100</f>
        <v>0</v>
      </c>
      <c r="J43" s="1">
        <f t="shared" si="0"/>
        <v>0</v>
      </c>
    </row>
    <row r="44" spans="1:10" ht="14.1" customHeight="1">
      <c r="A44" s="23" t="s">
        <v>256</v>
      </c>
      <c r="B44" s="24">
        <v>26478</v>
      </c>
      <c r="C44" s="344">
        <f>B44/'- 3 -'!$D44*100</f>
        <v>0.26333644229065112</v>
      </c>
      <c r="D44" s="24">
        <v>924485</v>
      </c>
      <c r="E44" s="344">
        <f>D44/'- 3 -'!$D44*100</f>
        <v>9.1944478756353423</v>
      </c>
      <c r="F44" s="24">
        <v>0</v>
      </c>
      <c r="G44" s="344">
        <f>F44/'- 3 -'!$D44*100</f>
        <v>0</v>
      </c>
      <c r="J44" s="1">
        <f t="shared" si="0"/>
        <v>0</v>
      </c>
    </row>
    <row r="45" spans="1:10" ht="14.1" customHeight="1">
      <c r="A45" s="351" t="s">
        <v>257</v>
      </c>
      <c r="B45" s="352">
        <v>44428</v>
      </c>
      <c r="C45" s="353">
        <f>B45/'- 3 -'!$D45*100</f>
        <v>0.27137479664298603</v>
      </c>
      <c r="D45" s="352">
        <v>598153</v>
      </c>
      <c r="E45" s="353">
        <f>D45/'- 3 -'!$D45*100</f>
        <v>3.6536339411270373</v>
      </c>
      <c r="F45" s="352">
        <v>18000</v>
      </c>
      <c r="G45" s="353">
        <f>F45/'- 3 -'!$D45*100</f>
        <v>0.10994747320549537</v>
      </c>
      <c r="J45" s="1">
        <f t="shared" si="0"/>
        <v>0</v>
      </c>
    </row>
    <row r="46" spans="1:10" ht="14.1" customHeight="1">
      <c r="A46" s="23" t="s">
        <v>258</v>
      </c>
      <c r="B46" s="24">
        <v>259600</v>
      </c>
      <c r="C46" s="344">
        <f>B46/'- 3 -'!$D46*100</f>
        <v>7.3621392629749913E-2</v>
      </c>
      <c r="D46" s="24">
        <v>4854000</v>
      </c>
      <c r="E46" s="344">
        <f>D46/'- 3 -'!$D46*100</f>
        <v>1.3765725725146611</v>
      </c>
      <c r="F46" s="24">
        <v>0</v>
      </c>
      <c r="G46" s="344">
        <f>F46/'- 3 -'!$D46*100</f>
        <v>0</v>
      </c>
      <c r="J46" s="1">
        <f t="shared" si="0"/>
        <v>0</v>
      </c>
    </row>
    <row r="47" spans="1:10" ht="5.0999999999999996" customHeight="1">
      <c r="A47"/>
      <c r="B47"/>
      <c r="C47"/>
      <c r="D47"/>
      <c r="E47"/>
      <c r="F47"/>
      <c r="G47"/>
      <c r="J47" s="1">
        <f t="shared" si="0"/>
        <v>0</v>
      </c>
    </row>
    <row r="48" spans="1:10" ht="14.1" customHeight="1">
      <c r="A48" s="354" t="s">
        <v>259</v>
      </c>
      <c r="B48" s="355">
        <f>SUM(B11:B46)</f>
        <v>4437175</v>
      </c>
      <c r="C48" s="356">
        <f>B48/'- 3 -'!$D48*100</f>
        <v>0.22088611774003294</v>
      </c>
      <c r="D48" s="355">
        <f>SUM(D11:D46)</f>
        <v>74183195</v>
      </c>
      <c r="E48" s="356">
        <f>D48/'- 3 -'!$D48*100</f>
        <v>3.6928987351415761</v>
      </c>
      <c r="F48" s="355">
        <f>SUM(F11:F46)</f>
        <v>1040276</v>
      </c>
      <c r="G48" s="356">
        <f>F48/'- 3 -'!$D48*100</f>
        <v>5.1785770680248248E-2</v>
      </c>
      <c r="J48" s="1">
        <f t="shared" si="0"/>
        <v>0</v>
      </c>
    </row>
    <row r="49" spans="1:7" ht="5.0999999999999996" customHeight="1">
      <c r="A49" s="25" t="s">
        <v>3</v>
      </c>
      <c r="B49" s="26"/>
      <c r="C49" s="343"/>
      <c r="D49" s="26"/>
      <c r="E49" s="343"/>
      <c r="F49" s="26"/>
      <c r="G49" s="343"/>
    </row>
    <row r="50" spans="1:7" ht="14.1" customHeight="1">
      <c r="A50" s="23" t="s">
        <v>260</v>
      </c>
      <c r="B50" s="24">
        <v>0</v>
      </c>
      <c r="C50" s="344">
        <f>B50/'- 3 -'!$D50*100</f>
        <v>0</v>
      </c>
      <c r="D50" s="24">
        <v>0</v>
      </c>
      <c r="E50" s="344">
        <f>D50/'- 3 -'!$D50*100</f>
        <v>0</v>
      </c>
      <c r="F50" s="24">
        <v>15000</v>
      </c>
      <c r="G50" s="344">
        <f>F50/'- 3 -'!$D50*100</f>
        <v>0.46453650869844615</v>
      </c>
    </row>
    <row r="51" spans="1:7" ht="14.1" customHeight="1">
      <c r="A51" s="351" t="s">
        <v>261</v>
      </c>
      <c r="B51" s="352">
        <v>0</v>
      </c>
      <c r="C51" s="353">
        <f>B51/'- 3 -'!$D51*100</f>
        <v>0</v>
      </c>
      <c r="D51" s="352">
        <v>0</v>
      </c>
      <c r="E51" s="353">
        <f>D51/'- 3 -'!$D51*100</f>
        <v>0</v>
      </c>
      <c r="F51" s="352">
        <v>0</v>
      </c>
      <c r="G51" s="353">
        <f>F51/'- 3 -'!$D51*100</f>
        <v>0</v>
      </c>
    </row>
    <row r="52" spans="1:7" ht="50.1" customHeight="1"/>
    <row r="53" spans="1:7" ht="15" customHeight="1">
      <c r="D53" s="91"/>
      <c r="E53" s="91"/>
    </row>
    <row r="54" spans="1:7" ht="14.45" customHeight="1">
      <c r="D54" s="91"/>
      <c r="E54" s="91"/>
    </row>
    <row r="55" spans="1:7" ht="14.45" customHeight="1">
      <c r="D55" s="91"/>
      <c r="E55" s="91"/>
    </row>
    <row r="56" spans="1:7" ht="14.45" customHeight="1">
      <c r="D56" s="91"/>
      <c r="E56" s="91"/>
    </row>
    <row r="57" spans="1:7" ht="14.45" customHeight="1"/>
    <row r="58" spans="1:7" ht="14.45" customHeight="1"/>
    <row r="59" spans="1:7" ht="14.45" customHeight="1"/>
    <row r="60" spans="1:7" ht="12" customHeight="1"/>
    <row r="61" spans="1:7" ht="12" customHeight="1"/>
    <row r="62" spans="1:7" ht="12" customHeight="1"/>
    <row r="63" spans="1:7" ht="12" customHeight="1"/>
    <row r="64" spans="1:7" ht="12" customHeight="1"/>
    <row r="65" ht="12" customHeight="1"/>
    <row r="66" ht="12" customHeight="1"/>
  </sheetData>
  <phoneticPr fontId="0" type="noConversion"/>
  <printOptions horizontalCentered="1"/>
  <pageMargins left="0.51181102362204722" right="0.51181102362204722" top="0.59055118110236227" bottom="0" header="0.31496062992125984" footer="0"/>
  <pageSetup scale="92" orientation="portrait" r:id="rId1"/>
  <headerFooter alignWithMargins="0">
    <oddHeader>&amp;C&amp;"Arial,Bold"&amp;10&amp;A</oddHeader>
  </headerFooter>
</worksheet>
</file>

<file path=xl/worksheets/sheet27.xml><?xml version="1.0" encoding="utf-8"?>
<worksheet xmlns="http://schemas.openxmlformats.org/spreadsheetml/2006/main" xmlns:r="http://schemas.openxmlformats.org/officeDocument/2006/relationships">
  <sheetPr codeName="Sheet28">
    <pageSetUpPr fitToPage="1"/>
  </sheetPr>
  <dimension ref="A1:F59"/>
  <sheetViews>
    <sheetView showGridLines="0" showZeros="0" workbookViewId="0"/>
  </sheetViews>
  <sheetFormatPr defaultColWidth="15.83203125" defaultRowHeight="12"/>
  <cols>
    <col min="1" max="1" width="35.83203125" style="1" customWidth="1"/>
    <col min="2" max="2" width="19.83203125" style="1" customWidth="1"/>
    <col min="3" max="3" width="12" style="1" customWidth="1"/>
    <col min="4" max="4" width="19.83203125" style="1" customWidth="1"/>
    <col min="5" max="5" width="12.1640625" style="1" customWidth="1"/>
    <col min="6" max="6" width="25.83203125" style="1" customWidth="1"/>
    <col min="7" max="16384" width="15.83203125" style="1"/>
  </cols>
  <sheetData>
    <row r="1" spans="1:6" ht="6.95" customHeight="1">
      <c r="A1" s="3"/>
      <c r="B1" s="4"/>
      <c r="C1" s="4"/>
      <c r="D1" s="4"/>
      <c r="E1" s="4"/>
      <c r="F1" s="4"/>
    </row>
    <row r="2" spans="1:6" ht="15.95" customHeight="1">
      <c r="A2" s="160"/>
      <c r="B2" s="5" t="s">
        <v>437</v>
      </c>
      <c r="C2" s="6"/>
      <c r="D2" s="6"/>
      <c r="E2" s="6"/>
      <c r="F2" s="183" t="s">
        <v>385</v>
      </c>
    </row>
    <row r="3" spans="1:6" ht="15.95" customHeight="1">
      <c r="A3" s="163"/>
      <c r="B3" s="7" t="str">
        <f>OPYEAR</f>
        <v>OPERATING FUND 2012/2013 BUDGET</v>
      </c>
      <c r="C3" s="8"/>
      <c r="D3" s="8"/>
      <c r="E3" s="8"/>
      <c r="F3" s="100"/>
    </row>
    <row r="4" spans="1:6" ht="15.95" customHeight="1">
      <c r="B4" s="4"/>
      <c r="C4" s="4"/>
      <c r="D4" s="4"/>
      <c r="E4" s="4"/>
      <c r="F4" s="4"/>
    </row>
    <row r="5" spans="1:6" ht="15.95" customHeight="1">
      <c r="B5" s="4"/>
      <c r="C5" s="4"/>
      <c r="D5" s="4"/>
      <c r="E5" s="4"/>
      <c r="F5" s="4"/>
    </row>
    <row r="6" spans="1:6" ht="15.95" customHeight="1">
      <c r="B6" s="184" t="s">
        <v>350</v>
      </c>
      <c r="C6" s="193"/>
      <c r="D6" s="194"/>
      <c r="E6" s="195"/>
      <c r="F6" s="74"/>
    </row>
    <row r="7" spans="1:6" ht="15.95" customHeight="1">
      <c r="B7" s="345" t="s">
        <v>46</v>
      </c>
      <c r="C7" s="347"/>
      <c r="D7" s="345" t="s">
        <v>266</v>
      </c>
      <c r="E7" s="347"/>
      <c r="F7" s="4"/>
    </row>
    <row r="8" spans="1:6" ht="15.95" customHeight="1">
      <c r="A8" s="101"/>
      <c r="B8" s="348" t="s">
        <v>63</v>
      </c>
      <c r="C8" s="350"/>
      <c r="D8" s="348" t="s">
        <v>208</v>
      </c>
      <c r="E8" s="350"/>
      <c r="F8" s="4"/>
    </row>
    <row r="9" spans="1:6" ht="15.95" customHeight="1">
      <c r="A9" s="35" t="s">
        <v>79</v>
      </c>
      <c r="B9" s="188" t="s">
        <v>80</v>
      </c>
      <c r="C9" s="188" t="s">
        <v>81</v>
      </c>
      <c r="D9" s="188" t="s">
        <v>80</v>
      </c>
      <c r="E9" s="188" t="s">
        <v>81</v>
      </c>
    </row>
    <row r="10" spans="1:6" ht="5.0999999999999996" customHeight="1">
      <c r="A10" s="37"/>
    </row>
    <row r="11" spans="1:6" ht="14.1" customHeight="1">
      <c r="A11" s="351" t="s">
        <v>224</v>
      </c>
      <c r="B11" s="352">
        <v>0</v>
      </c>
      <c r="C11" s="353">
        <f>B11/'- 3 -'!$D11*100</f>
        <v>0</v>
      </c>
      <c r="D11" s="352">
        <v>116000</v>
      </c>
      <c r="E11" s="353">
        <f>D11/'- 3 -'!$D11*100</f>
        <v>0.73118951928071119</v>
      </c>
    </row>
    <row r="12" spans="1:6" ht="14.1" customHeight="1">
      <c r="A12" s="23" t="s">
        <v>225</v>
      </c>
      <c r="B12" s="24">
        <v>0</v>
      </c>
      <c r="C12" s="344">
        <f>B12/'- 3 -'!$D12*100</f>
        <v>0</v>
      </c>
      <c r="D12" s="24">
        <v>187500</v>
      </c>
      <c r="E12" s="344">
        <f>D12/'- 3 -'!$D12*100</f>
        <v>0.62496845992505579</v>
      </c>
    </row>
    <row r="13" spans="1:6" ht="14.1" customHeight="1">
      <c r="A13" s="351" t="s">
        <v>226</v>
      </c>
      <c r="B13" s="352">
        <v>4800</v>
      </c>
      <c r="C13" s="353">
        <f>B13/'- 3 -'!$D13*100</f>
        <v>6.1235580934301875E-3</v>
      </c>
      <c r="D13" s="352">
        <v>65300</v>
      </c>
      <c r="E13" s="353">
        <f>D13/'- 3 -'!$D13*100</f>
        <v>8.3305904896039853E-2</v>
      </c>
    </row>
    <row r="14" spans="1:6" ht="14.1" customHeight="1">
      <c r="A14" s="23" t="s">
        <v>524</v>
      </c>
      <c r="B14" s="24">
        <v>9600</v>
      </c>
      <c r="C14" s="344">
        <f>B14/'- 3 -'!$D14*100</f>
        <v>1.3433959473858418E-2</v>
      </c>
      <c r="D14" s="24">
        <v>206961</v>
      </c>
      <c r="E14" s="344">
        <f>D14/'- 3 -'!$D14*100</f>
        <v>0.28961517569470957</v>
      </c>
    </row>
    <row r="15" spans="1:6" ht="14.1" customHeight="1">
      <c r="A15" s="351" t="s">
        <v>227</v>
      </c>
      <c r="B15" s="352">
        <v>0</v>
      </c>
      <c r="C15" s="353">
        <f>B15/'- 3 -'!$D15*100</f>
        <v>0</v>
      </c>
      <c r="D15" s="352">
        <v>24000</v>
      </c>
      <c r="E15" s="353">
        <f>D15/'- 3 -'!$D15*100</f>
        <v>0.12830599782959712</v>
      </c>
    </row>
    <row r="16" spans="1:6" ht="14.1" customHeight="1">
      <c r="A16" s="23" t="s">
        <v>228</v>
      </c>
      <c r="B16" s="24">
        <v>0</v>
      </c>
      <c r="C16" s="344">
        <f>B16/'- 3 -'!$D16*100</f>
        <v>0</v>
      </c>
      <c r="D16" s="24">
        <v>153031</v>
      </c>
      <c r="E16" s="344">
        <f>D16/'- 3 -'!$D16*100</f>
        <v>1.2090820485949363</v>
      </c>
    </row>
    <row r="17" spans="1:5" ht="14.1" customHeight="1">
      <c r="A17" s="351" t="s">
        <v>229</v>
      </c>
      <c r="B17" s="352">
        <v>0</v>
      </c>
      <c r="C17" s="353">
        <f>B17/'- 3 -'!$D17*100</f>
        <v>0</v>
      </c>
      <c r="D17" s="352">
        <v>36750</v>
      </c>
      <c r="E17" s="353">
        <f>D17/'- 3 -'!$D17*100</f>
        <v>0.22545649879738131</v>
      </c>
    </row>
    <row r="18" spans="1:5" ht="14.1" customHeight="1">
      <c r="A18" s="23" t="s">
        <v>230</v>
      </c>
      <c r="B18" s="24">
        <v>2323866</v>
      </c>
      <c r="C18" s="344">
        <f>B18/'- 3 -'!$D18*100</f>
        <v>2.0178424198396048</v>
      </c>
      <c r="D18" s="24">
        <v>670503</v>
      </c>
      <c r="E18" s="344">
        <f>D18/'- 3 -'!$D18*100</f>
        <v>0.58220628729441148</v>
      </c>
    </row>
    <row r="19" spans="1:5" ht="14.1" customHeight="1">
      <c r="A19" s="351" t="s">
        <v>231</v>
      </c>
      <c r="B19" s="352">
        <v>4800</v>
      </c>
      <c r="C19" s="353">
        <f>B19/'- 3 -'!$D19*100</f>
        <v>1.2278998806251084E-2</v>
      </c>
      <c r="D19" s="352">
        <v>92000</v>
      </c>
      <c r="E19" s="353">
        <f>D19/'- 3 -'!$D19*100</f>
        <v>0.23534747711981244</v>
      </c>
    </row>
    <row r="20" spans="1:5" ht="14.1" customHeight="1">
      <c r="A20" s="23" t="s">
        <v>232</v>
      </c>
      <c r="B20" s="24">
        <v>0</v>
      </c>
      <c r="C20" s="344">
        <f>B20/'- 3 -'!$D20*100</f>
        <v>0</v>
      </c>
      <c r="D20" s="24">
        <v>186800</v>
      </c>
      <c r="E20" s="344">
        <f>D20/'- 3 -'!$D20*100</f>
        <v>0.27604959434896331</v>
      </c>
    </row>
    <row r="21" spans="1:5" ht="14.1" customHeight="1">
      <c r="A21" s="351" t="s">
        <v>233</v>
      </c>
      <c r="B21" s="352">
        <v>0</v>
      </c>
      <c r="C21" s="353">
        <f>B21/'- 3 -'!$D21*100</f>
        <v>0</v>
      </c>
      <c r="D21" s="352">
        <v>140000</v>
      </c>
      <c r="E21" s="353">
        <f>D21/'- 3 -'!$D21*100</f>
        <v>0.4300565278587547</v>
      </c>
    </row>
    <row r="22" spans="1:5" ht="14.1" customHeight="1">
      <c r="A22" s="23" t="s">
        <v>234</v>
      </c>
      <c r="B22" s="24">
        <v>0</v>
      </c>
      <c r="C22" s="344">
        <f>B22/'- 3 -'!$D22*100</f>
        <v>0</v>
      </c>
      <c r="D22" s="24">
        <v>49300</v>
      </c>
      <c r="E22" s="344">
        <f>D22/'- 3 -'!$D22*100</f>
        <v>0.25915063248786974</v>
      </c>
    </row>
    <row r="23" spans="1:5" ht="14.1" customHeight="1">
      <c r="A23" s="351" t="s">
        <v>235</v>
      </c>
      <c r="B23" s="352">
        <v>0</v>
      </c>
      <c r="C23" s="353">
        <f>B23/'- 3 -'!$D23*100</f>
        <v>0</v>
      </c>
      <c r="D23" s="352">
        <v>20000</v>
      </c>
      <c r="E23" s="353">
        <f>D23/'- 3 -'!$D23*100</f>
        <v>0.1284770713394634</v>
      </c>
    </row>
    <row r="24" spans="1:5" ht="14.1" customHeight="1">
      <c r="A24" s="23" t="s">
        <v>236</v>
      </c>
      <c r="B24" s="24">
        <v>0</v>
      </c>
      <c r="C24" s="344">
        <f>B24/'- 3 -'!$D24*100</f>
        <v>0</v>
      </c>
      <c r="D24" s="24">
        <v>86000</v>
      </c>
      <c r="E24" s="344">
        <f>D24/'- 3 -'!$D24*100</f>
        <v>0.16860396213429482</v>
      </c>
    </row>
    <row r="25" spans="1:5" ht="14.1" customHeight="1">
      <c r="A25" s="351" t="s">
        <v>237</v>
      </c>
      <c r="B25" s="352">
        <v>0</v>
      </c>
      <c r="C25" s="353">
        <f>B25/'- 3 -'!$D25*100</f>
        <v>0</v>
      </c>
      <c r="D25" s="352">
        <v>40500</v>
      </c>
      <c r="E25" s="353">
        <f>D25/'- 3 -'!$D25*100</f>
        <v>2.6973362545729171E-2</v>
      </c>
    </row>
    <row r="26" spans="1:5" ht="14.1" customHeight="1">
      <c r="A26" s="23" t="s">
        <v>238</v>
      </c>
      <c r="B26" s="24">
        <v>0</v>
      </c>
      <c r="C26" s="344">
        <f>B26/'- 3 -'!$D26*100</f>
        <v>0</v>
      </c>
      <c r="D26" s="24">
        <v>173672</v>
      </c>
      <c r="E26" s="344">
        <f>D26/'- 3 -'!$D26*100</f>
        <v>0.47220541533736088</v>
      </c>
    </row>
    <row r="27" spans="1:5" ht="14.1" customHeight="1">
      <c r="A27" s="351" t="s">
        <v>239</v>
      </c>
      <c r="B27" s="352">
        <v>0</v>
      </c>
      <c r="C27" s="353">
        <f>B27/'- 3 -'!$D27*100</f>
        <v>0</v>
      </c>
      <c r="D27" s="352">
        <v>70000</v>
      </c>
      <c r="E27" s="353">
        <f>D27/'- 3 -'!$D27*100</f>
        <v>0.18282768028839969</v>
      </c>
    </row>
    <row r="28" spans="1:5" ht="14.1" customHeight="1">
      <c r="A28" s="23" t="s">
        <v>240</v>
      </c>
      <c r="B28" s="24">
        <v>0</v>
      </c>
      <c r="C28" s="344">
        <f>B28/'- 3 -'!$D28*100</f>
        <v>0</v>
      </c>
      <c r="D28" s="24">
        <v>77931</v>
      </c>
      <c r="E28" s="344">
        <f>D28/'- 3 -'!$D28*100</f>
        <v>0.30399962489119953</v>
      </c>
    </row>
    <row r="29" spans="1:5" ht="14.1" customHeight="1">
      <c r="A29" s="351" t="s">
        <v>241</v>
      </c>
      <c r="B29" s="352">
        <v>0</v>
      </c>
      <c r="C29" s="353">
        <f>B29/'- 3 -'!$D29*100</f>
        <v>0</v>
      </c>
      <c r="D29" s="352">
        <v>88000</v>
      </c>
      <c r="E29" s="353">
        <f>D29/'- 3 -'!$D29*100</f>
        <v>6.4179075490353107E-2</v>
      </c>
    </row>
    <row r="30" spans="1:5" ht="14.1" customHeight="1">
      <c r="A30" s="23" t="s">
        <v>242</v>
      </c>
      <c r="B30" s="24">
        <v>0</v>
      </c>
      <c r="C30" s="344">
        <f>B30/'- 3 -'!$D30*100</f>
        <v>0</v>
      </c>
      <c r="D30" s="24">
        <v>45241</v>
      </c>
      <c r="E30" s="344">
        <f>D30/'- 3 -'!$D30*100</f>
        <v>0.34114264273231421</v>
      </c>
    </row>
    <row r="31" spans="1:5" ht="14.1" customHeight="1">
      <c r="A31" s="351" t="s">
        <v>243</v>
      </c>
      <c r="B31" s="352">
        <v>0</v>
      </c>
      <c r="C31" s="353">
        <f>B31/'- 3 -'!$D31*100</f>
        <v>0</v>
      </c>
      <c r="D31" s="352">
        <v>34200</v>
      </c>
      <c r="E31" s="353">
        <f>D31/'- 3 -'!$D31*100</f>
        <v>0.10653542499130429</v>
      </c>
    </row>
    <row r="32" spans="1:5" ht="14.1" customHeight="1">
      <c r="A32" s="23" t="s">
        <v>244</v>
      </c>
      <c r="B32" s="24">
        <v>0</v>
      </c>
      <c r="C32" s="344">
        <f>B32/'- 3 -'!$D32*100</f>
        <v>0</v>
      </c>
      <c r="D32" s="24">
        <v>55000</v>
      </c>
      <c r="E32" s="344">
        <f>D32/'- 3 -'!$D32*100</f>
        <v>0.22271867339363449</v>
      </c>
    </row>
    <row r="33" spans="1:5" ht="14.1" customHeight="1">
      <c r="A33" s="351" t="s">
        <v>245</v>
      </c>
      <c r="B33" s="352">
        <v>0</v>
      </c>
      <c r="C33" s="353">
        <f>B33/'- 3 -'!$D33*100</f>
        <v>0</v>
      </c>
      <c r="D33" s="352">
        <v>70000</v>
      </c>
      <c r="E33" s="353">
        <f>D33/'- 3 -'!$D33*100</f>
        <v>0.27432799438803301</v>
      </c>
    </row>
    <row r="34" spans="1:5" ht="14.1" customHeight="1">
      <c r="A34" s="23" t="s">
        <v>246</v>
      </c>
      <c r="B34" s="24">
        <v>0</v>
      </c>
      <c r="C34" s="344">
        <f>B34/'- 3 -'!$D34*100</f>
        <v>0</v>
      </c>
      <c r="D34" s="24">
        <v>145243</v>
      </c>
      <c r="E34" s="344">
        <f>D34/'- 3 -'!$D34*100</f>
        <v>0.6067846683336886</v>
      </c>
    </row>
    <row r="35" spans="1:5" ht="14.1" customHeight="1">
      <c r="A35" s="351" t="s">
        <v>247</v>
      </c>
      <c r="B35" s="352">
        <v>0</v>
      </c>
      <c r="C35" s="353">
        <f>B35/'- 3 -'!$D35*100</f>
        <v>0</v>
      </c>
      <c r="D35" s="352">
        <v>135250</v>
      </c>
      <c r="E35" s="353">
        <f>D35/'- 3 -'!$D35*100</f>
        <v>8.2666563070131885E-2</v>
      </c>
    </row>
    <row r="36" spans="1:5" ht="14.1" customHeight="1">
      <c r="A36" s="23" t="s">
        <v>248</v>
      </c>
      <c r="B36" s="24">
        <v>0</v>
      </c>
      <c r="C36" s="344">
        <f>B36/'- 3 -'!$D36*100</f>
        <v>0</v>
      </c>
      <c r="D36" s="24">
        <v>58500</v>
      </c>
      <c r="E36" s="344">
        <f>D36/'- 3 -'!$D36*100</f>
        <v>0.27705212747618296</v>
      </c>
    </row>
    <row r="37" spans="1:5" ht="14.1" customHeight="1">
      <c r="A37" s="351" t="s">
        <v>249</v>
      </c>
      <c r="B37" s="352">
        <v>0</v>
      </c>
      <c r="C37" s="353">
        <f>B37/'- 3 -'!$D37*100</f>
        <v>0</v>
      </c>
      <c r="D37" s="352">
        <v>73341</v>
      </c>
      <c r="E37" s="353">
        <f>D37/'- 3 -'!$D37*100</f>
        <v>0.18406599501648238</v>
      </c>
    </row>
    <row r="38" spans="1:5" ht="14.1" customHeight="1">
      <c r="A38" s="23" t="s">
        <v>250</v>
      </c>
      <c r="B38" s="24">
        <v>0</v>
      </c>
      <c r="C38" s="344">
        <f>B38/'- 3 -'!$D38*100</f>
        <v>0</v>
      </c>
      <c r="D38" s="24">
        <v>218000</v>
      </c>
      <c r="E38" s="344">
        <f>D38/'- 3 -'!$D38*100</f>
        <v>0.19475066554699924</v>
      </c>
    </row>
    <row r="39" spans="1:5" ht="14.1" customHeight="1">
      <c r="A39" s="351" t="s">
        <v>251</v>
      </c>
      <c r="B39" s="352">
        <v>0</v>
      </c>
      <c r="C39" s="353">
        <f>B39/'- 3 -'!$D39*100</f>
        <v>0</v>
      </c>
      <c r="D39" s="352">
        <v>40513</v>
      </c>
      <c r="E39" s="353">
        <f>D39/'- 3 -'!$D39*100</f>
        <v>0.20354007910295061</v>
      </c>
    </row>
    <row r="40" spans="1:5" ht="14.1" customHeight="1">
      <c r="A40" s="23" t="s">
        <v>252</v>
      </c>
      <c r="B40" s="24">
        <v>0</v>
      </c>
      <c r="C40" s="344">
        <f>B40/'- 3 -'!$D40*100</f>
        <v>0</v>
      </c>
      <c r="D40" s="24">
        <v>75922</v>
      </c>
      <c r="E40" s="344">
        <f>D40/'- 3 -'!$D40*100</f>
        <v>8.0862090727794073E-2</v>
      </c>
    </row>
    <row r="41" spans="1:5" ht="14.1" customHeight="1">
      <c r="A41" s="351" t="s">
        <v>253</v>
      </c>
      <c r="B41" s="352">
        <v>0</v>
      </c>
      <c r="C41" s="353">
        <f>B41/'- 3 -'!$D41*100</f>
        <v>0</v>
      </c>
      <c r="D41" s="352">
        <v>84204</v>
      </c>
      <c r="E41" s="353">
        <f>D41/'- 3 -'!$D41*100</f>
        <v>0.14818498471347391</v>
      </c>
    </row>
    <row r="42" spans="1:5" ht="14.1" customHeight="1">
      <c r="A42" s="23" t="s">
        <v>254</v>
      </c>
      <c r="B42" s="24">
        <v>0</v>
      </c>
      <c r="C42" s="344">
        <f>B42/'- 3 -'!$D42*100</f>
        <v>0</v>
      </c>
      <c r="D42" s="24">
        <v>53249</v>
      </c>
      <c r="E42" s="344">
        <f>D42/'- 3 -'!$D42*100</f>
        <v>0.26767642645812745</v>
      </c>
    </row>
    <row r="43" spans="1:5" ht="14.1" customHeight="1">
      <c r="A43" s="351" t="s">
        <v>255</v>
      </c>
      <c r="B43" s="352">
        <v>0</v>
      </c>
      <c r="C43" s="353">
        <f>B43/'- 3 -'!$D43*100</f>
        <v>0</v>
      </c>
      <c r="D43" s="352">
        <v>14635</v>
      </c>
      <c r="E43" s="353">
        <f>D43/'- 3 -'!$D43*100</f>
        <v>0.12385386513342324</v>
      </c>
    </row>
    <row r="44" spans="1:5" ht="14.1" customHeight="1">
      <c r="A44" s="23" t="s">
        <v>256</v>
      </c>
      <c r="B44" s="24">
        <v>0</v>
      </c>
      <c r="C44" s="344">
        <f>B44/'- 3 -'!$D44*100</f>
        <v>0</v>
      </c>
      <c r="D44" s="24">
        <v>42953</v>
      </c>
      <c r="E44" s="344">
        <f>D44/'- 3 -'!$D44*100</f>
        <v>0.42718823950866136</v>
      </c>
    </row>
    <row r="45" spans="1:5" ht="14.1" customHeight="1">
      <c r="A45" s="351" t="s">
        <v>257</v>
      </c>
      <c r="B45" s="352">
        <v>0</v>
      </c>
      <c r="C45" s="353">
        <f>B45/'- 3 -'!$D45*100</f>
        <v>0</v>
      </c>
      <c r="D45" s="352">
        <v>33312</v>
      </c>
      <c r="E45" s="353">
        <f>D45/'- 3 -'!$D45*100</f>
        <v>0.20347612374563676</v>
      </c>
    </row>
    <row r="46" spans="1:5" ht="14.1" customHeight="1">
      <c r="A46" s="23" t="s">
        <v>258</v>
      </c>
      <c r="B46" s="24">
        <v>354400</v>
      </c>
      <c r="C46" s="344">
        <f>B46/'- 3 -'!$D46*100</f>
        <v>0.10050624633275566</v>
      </c>
      <c r="D46" s="24">
        <v>0</v>
      </c>
      <c r="E46" s="344">
        <f>D46/'- 3 -'!$D46*100</f>
        <v>0</v>
      </c>
    </row>
    <row r="47" spans="1:5" ht="5.0999999999999996" customHeight="1">
      <c r="A47"/>
      <c r="B47"/>
      <c r="C47"/>
      <c r="D47"/>
      <c r="E47"/>
    </row>
    <row r="48" spans="1:5" ht="14.1" customHeight="1">
      <c r="A48" s="354" t="s">
        <v>259</v>
      </c>
      <c r="B48" s="355">
        <f>SUM(B11:B46)</f>
        <v>2697466</v>
      </c>
      <c r="C48" s="356">
        <f>B48/'- 3 -'!$D48*100</f>
        <v>0.13428201332508538</v>
      </c>
      <c r="D48" s="355">
        <f>SUM(D11:D46)</f>
        <v>3663811</v>
      </c>
      <c r="E48" s="356">
        <f>D48/'- 3 -'!$D48*100</f>
        <v>0.18238743973884913</v>
      </c>
    </row>
    <row r="49" spans="1:5" ht="5.0999999999999996" customHeight="1">
      <c r="A49" s="25" t="s">
        <v>3</v>
      </c>
      <c r="B49" s="26"/>
      <c r="C49" s="343"/>
      <c r="D49" s="26"/>
      <c r="E49" s="343"/>
    </row>
    <row r="50" spans="1:5" ht="14.1" customHeight="1">
      <c r="A50" s="23" t="s">
        <v>260</v>
      </c>
      <c r="B50" s="24">
        <v>0</v>
      </c>
      <c r="C50" s="344">
        <f>B50/'- 3 -'!$D50*100</f>
        <v>0</v>
      </c>
      <c r="D50" s="24">
        <v>19000</v>
      </c>
      <c r="E50" s="344">
        <f>D50/'- 3 -'!$D50*100</f>
        <v>0.58841291101803173</v>
      </c>
    </row>
    <row r="51" spans="1:5" ht="14.1" customHeight="1">
      <c r="A51" s="351" t="s">
        <v>261</v>
      </c>
      <c r="B51" s="352">
        <v>0</v>
      </c>
      <c r="C51" s="353">
        <f>B51/'- 3 -'!$D51*100</f>
        <v>0</v>
      </c>
      <c r="D51" s="352">
        <v>0</v>
      </c>
      <c r="E51" s="353">
        <f>D51/'- 3 -'!$D51*100</f>
        <v>0</v>
      </c>
    </row>
    <row r="52" spans="1:5" ht="50.1" customHeight="1"/>
    <row r="53" spans="1:5" ht="15" customHeight="1"/>
    <row r="54" spans="1:5" ht="14.45" customHeight="1"/>
    <row r="55" spans="1:5" ht="14.45" customHeight="1"/>
    <row r="56" spans="1:5" ht="14.45" customHeight="1"/>
    <row r="57" spans="1:5" ht="14.45" customHeight="1"/>
    <row r="58" spans="1:5" ht="14.45" customHeight="1"/>
    <row r="59" spans="1:5" ht="14.45" customHeight="1"/>
  </sheetData>
  <phoneticPr fontId="0" type="noConversion"/>
  <printOptions horizontalCentered="1"/>
  <pageMargins left="0.51181102362204722" right="0.51181102362204722" top="0.59055118110236227" bottom="0" header="0.31496062992125984" footer="0"/>
  <pageSetup scale="92" orientation="portrait" r:id="rId1"/>
  <headerFooter alignWithMargins="0">
    <oddHeader>&amp;C&amp;"Arial,Bold"&amp;10&amp;A</oddHeader>
  </headerFooter>
</worksheet>
</file>

<file path=xl/worksheets/sheet28.xml><?xml version="1.0" encoding="utf-8"?>
<worksheet xmlns="http://schemas.openxmlformats.org/spreadsheetml/2006/main" xmlns:r="http://schemas.openxmlformats.org/officeDocument/2006/relationships">
  <sheetPr codeName="Sheet29">
    <pageSetUpPr fitToPage="1"/>
  </sheetPr>
  <dimension ref="A1:G59"/>
  <sheetViews>
    <sheetView showGridLines="0" showZeros="0" workbookViewId="0"/>
  </sheetViews>
  <sheetFormatPr defaultColWidth="15.83203125" defaultRowHeight="12"/>
  <cols>
    <col min="1" max="1" width="31.83203125" style="1" customWidth="1"/>
    <col min="2" max="2" width="17.83203125" style="1" customWidth="1"/>
    <col min="3" max="3" width="11.5" style="1" customWidth="1"/>
    <col min="4" max="4" width="17.83203125" style="1" customWidth="1"/>
    <col min="5" max="5" width="12.1640625" style="1" customWidth="1"/>
    <col min="6" max="6" width="17.83203125" style="1" customWidth="1"/>
    <col min="7" max="7" width="12" style="1" customWidth="1"/>
    <col min="8" max="16384" width="15.83203125" style="1"/>
  </cols>
  <sheetData>
    <row r="1" spans="1:7" ht="6.95" customHeight="1">
      <c r="A1" s="3"/>
      <c r="B1" s="4"/>
      <c r="C1" s="4"/>
      <c r="D1" s="4"/>
      <c r="E1" s="4"/>
      <c r="F1" s="4"/>
      <c r="G1" s="4"/>
    </row>
    <row r="2" spans="1:7" ht="15.95" customHeight="1">
      <c r="A2" s="160"/>
      <c r="B2" s="5" t="s">
        <v>437</v>
      </c>
      <c r="C2" s="6"/>
      <c r="D2" s="161"/>
      <c r="E2" s="6"/>
      <c r="F2" s="105"/>
      <c r="G2" s="183" t="s">
        <v>384</v>
      </c>
    </row>
    <row r="3" spans="1:7" ht="15.95" customHeight="1">
      <c r="A3" s="163"/>
      <c r="B3" s="7" t="str">
        <f>OPYEAR</f>
        <v>OPERATING FUND 2012/2013 BUDGET</v>
      </c>
      <c r="C3" s="8"/>
      <c r="D3" s="176"/>
      <c r="E3" s="8"/>
      <c r="F3" s="107"/>
      <c r="G3" s="107"/>
    </row>
    <row r="4" spans="1:7" ht="15.95" customHeight="1">
      <c r="B4" s="4"/>
      <c r="C4" s="4"/>
      <c r="D4" s="4"/>
      <c r="E4" s="4"/>
      <c r="F4" s="4"/>
      <c r="G4" s="4"/>
    </row>
    <row r="5" spans="1:7" ht="15.95" customHeight="1">
      <c r="B5" s="4"/>
      <c r="C5" s="4"/>
      <c r="D5" s="4"/>
      <c r="E5" s="4"/>
      <c r="F5" s="4"/>
      <c r="G5" s="4"/>
    </row>
    <row r="6" spans="1:7" ht="15.95" customHeight="1">
      <c r="B6" s="165" t="s">
        <v>20</v>
      </c>
      <c r="C6" s="185"/>
      <c r="D6" s="186"/>
      <c r="E6" s="186"/>
      <c r="F6" s="186"/>
      <c r="G6" s="187"/>
    </row>
    <row r="7" spans="1:7" ht="15.95" customHeight="1">
      <c r="B7" s="357"/>
      <c r="C7" s="347"/>
      <c r="D7" s="346" t="s">
        <v>47</v>
      </c>
      <c r="E7" s="346"/>
      <c r="F7" s="346"/>
      <c r="G7" s="347"/>
    </row>
    <row r="8" spans="1:7" ht="15.95" customHeight="1">
      <c r="A8" s="101"/>
      <c r="B8" s="349" t="s">
        <v>30</v>
      </c>
      <c r="C8" s="350"/>
      <c r="D8" s="348" t="s">
        <v>52</v>
      </c>
      <c r="E8" s="350"/>
      <c r="F8" s="348" t="s">
        <v>221</v>
      </c>
      <c r="G8" s="350"/>
    </row>
    <row r="9" spans="1:7" ht="15.95" customHeight="1">
      <c r="A9" s="35" t="s">
        <v>79</v>
      </c>
      <c r="B9" s="188" t="s">
        <v>80</v>
      </c>
      <c r="C9" s="188" t="s">
        <v>81</v>
      </c>
      <c r="D9" s="188" t="s">
        <v>80</v>
      </c>
      <c r="E9" s="188" t="s">
        <v>81</v>
      </c>
      <c r="F9" s="188" t="s">
        <v>80</v>
      </c>
      <c r="G9" s="188" t="s">
        <v>81</v>
      </c>
    </row>
    <row r="10" spans="1:7" ht="5.0999999999999996" customHeight="1">
      <c r="A10" s="37"/>
    </row>
    <row r="11" spans="1:7" ht="14.1" customHeight="1">
      <c r="A11" s="351" t="s">
        <v>224</v>
      </c>
      <c r="B11" s="352">
        <v>57940</v>
      </c>
      <c r="C11" s="353">
        <f>B11/'- 3 -'!$D11*100</f>
        <v>0.36521655816486559</v>
      </c>
      <c r="D11" s="352">
        <v>1378270</v>
      </c>
      <c r="E11" s="353">
        <f>D11/'- 3 -'!$D11*100</f>
        <v>8.6877291270605674</v>
      </c>
      <c r="F11" s="352">
        <v>243500</v>
      </c>
      <c r="G11" s="353">
        <f>F11/'- 3 -'!$D11*100</f>
        <v>1.5348676546970101</v>
      </c>
    </row>
    <row r="12" spans="1:7" ht="14.1" customHeight="1">
      <c r="A12" s="23" t="s">
        <v>225</v>
      </c>
      <c r="B12" s="24">
        <v>79350</v>
      </c>
      <c r="C12" s="344">
        <f>B12/'- 3 -'!$D12*100</f>
        <v>0.26448665224028362</v>
      </c>
      <c r="D12" s="24">
        <v>2351435</v>
      </c>
      <c r="E12" s="344">
        <f>D12/'- 3 -'!$D12*100</f>
        <v>7.8377211230073254</v>
      </c>
      <c r="F12" s="24">
        <v>517730</v>
      </c>
      <c r="G12" s="344">
        <f>F12/'- 3 -'!$D12*100</f>
        <v>1.7256795773706621</v>
      </c>
    </row>
    <row r="13" spans="1:7" ht="14.1" customHeight="1">
      <c r="A13" s="351" t="s">
        <v>226</v>
      </c>
      <c r="B13" s="352">
        <v>203400</v>
      </c>
      <c r="C13" s="353">
        <f>B13/'- 3 -'!$D13*100</f>
        <v>0.25948577420910424</v>
      </c>
      <c r="D13" s="352">
        <v>5639900</v>
      </c>
      <c r="E13" s="353">
        <f>D13/'- 3 -'!$D13*100</f>
        <v>7.1950531856535243</v>
      </c>
      <c r="F13" s="352">
        <v>525600</v>
      </c>
      <c r="G13" s="353">
        <f>F13/'- 3 -'!$D13*100</f>
        <v>0.6705296112306055</v>
      </c>
    </row>
    <row r="14" spans="1:7" ht="14.1" customHeight="1">
      <c r="A14" s="23" t="s">
        <v>524</v>
      </c>
      <c r="B14" s="24">
        <v>283994</v>
      </c>
      <c r="C14" s="344">
        <f>B14/'- 3 -'!$D14*100</f>
        <v>0.39741290487697373</v>
      </c>
      <c r="D14" s="24">
        <v>6088818</v>
      </c>
      <c r="E14" s="344">
        <f>D14/'- 3 -'!$D14*100</f>
        <v>8.5205139849687157</v>
      </c>
      <c r="F14" s="24">
        <v>500370</v>
      </c>
      <c r="G14" s="344">
        <f>F14/'- 3 -'!$D14*100</f>
        <v>0.70020315645151421</v>
      </c>
    </row>
    <row r="15" spans="1:7" ht="14.1" customHeight="1">
      <c r="A15" s="351" t="s">
        <v>227</v>
      </c>
      <c r="B15" s="352">
        <v>71030</v>
      </c>
      <c r="C15" s="353">
        <f>B15/'- 3 -'!$D15*100</f>
        <v>0.37973229274317849</v>
      </c>
      <c r="D15" s="352">
        <v>1913525</v>
      </c>
      <c r="E15" s="353">
        <f>D15/'- 3 -'!$D15*100</f>
        <v>10.229863937369993</v>
      </c>
      <c r="F15" s="352">
        <v>244000</v>
      </c>
      <c r="G15" s="353">
        <f>F15/'- 3 -'!$D15*100</f>
        <v>1.3044443112675708</v>
      </c>
    </row>
    <row r="16" spans="1:7" ht="14.1" customHeight="1">
      <c r="A16" s="23" t="s">
        <v>228</v>
      </c>
      <c r="B16" s="24">
        <v>66172</v>
      </c>
      <c r="C16" s="344">
        <f>B16/'- 3 -'!$D16*100</f>
        <v>0.5228181043032073</v>
      </c>
      <c r="D16" s="24">
        <v>1700352</v>
      </c>
      <c r="E16" s="344">
        <f>D16/'- 3 -'!$D16*100</f>
        <v>13.434304680048466</v>
      </c>
      <c r="F16" s="24">
        <v>122000</v>
      </c>
      <c r="G16" s="344">
        <f>F16/'- 3 -'!$D16*100</f>
        <v>0.96390933816404656</v>
      </c>
    </row>
    <row r="17" spans="1:7" ht="14.1" customHeight="1">
      <c r="A17" s="351" t="s">
        <v>229</v>
      </c>
      <c r="B17" s="352">
        <v>69730</v>
      </c>
      <c r="C17" s="353">
        <f>B17/'- 3 -'!$D17*100</f>
        <v>0.42778453499704483</v>
      </c>
      <c r="D17" s="352">
        <v>1472405</v>
      </c>
      <c r="E17" s="353">
        <f>D17/'- 3 -'!$D17*100</f>
        <v>9.0330143159662093</v>
      </c>
      <c r="F17" s="352">
        <v>243064</v>
      </c>
      <c r="G17" s="353">
        <f>F17/'- 3 -'!$D17*100</f>
        <v>1.4911662156105221</v>
      </c>
    </row>
    <row r="18" spans="1:7" ht="14.1" customHeight="1">
      <c r="A18" s="23" t="s">
        <v>230</v>
      </c>
      <c r="B18" s="24">
        <v>713506</v>
      </c>
      <c r="C18" s="344">
        <f>B18/'- 3 -'!$D18*100</f>
        <v>0.61954633942321857</v>
      </c>
      <c r="D18" s="24">
        <v>14815448</v>
      </c>
      <c r="E18" s="344">
        <f>D18/'- 3 -'!$D18*100</f>
        <v>12.864442030361406</v>
      </c>
      <c r="F18" s="24">
        <v>694219</v>
      </c>
      <c r="G18" s="344">
        <f>F18/'- 3 -'!$D18*100</f>
        <v>0.60279919188913245</v>
      </c>
    </row>
    <row r="19" spans="1:7" ht="14.1" customHeight="1">
      <c r="A19" s="351" t="s">
        <v>231</v>
      </c>
      <c r="B19" s="352">
        <v>121425</v>
      </c>
      <c r="C19" s="353">
        <f>B19/'- 3 -'!$D19*100</f>
        <v>0.31062029792688289</v>
      </c>
      <c r="D19" s="352">
        <v>3237300</v>
      </c>
      <c r="E19" s="353">
        <f>D19/'- 3 -'!$D19*100</f>
        <v>8.2814172573909666</v>
      </c>
      <c r="F19" s="352">
        <v>90000</v>
      </c>
      <c r="G19" s="353">
        <f>F19/'- 3 -'!$D19*100</f>
        <v>0.23023122761720782</v>
      </c>
    </row>
    <row r="20" spans="1:7" ht="14.1" customHeight="1">
      <c r="A20" s="23" t="s">
        <v>232</v>
      </c>
      <c r="B20" s="24">
        <v>166700</v>
      </c>
      <c r="C20" s="344">
        <f>B20/'- 3 -'!$D20*100</f>
        <v>0.2463461851069175</v>
      </c>
      <c r="D20" s="24">
        <v>6241100</v>
      </c>
      <c r="E20" s="344">
        <f>D20/'- 3 -'!$D20*100</f>
        <v>9.2229824587329503</v>
      </c>
      <c r="F20" s="24">
        <v>591300</v>
      </c>
      <c r="G20" s="344">
        <f>F20/'- 3 -'!$D20*100</f>
        <v>0.87381223307570666</v>
      </c>
    </row>
    <row r="21" spans="1:7" ht="14.1" customHeight="1">
      <c r="A21" s="351" t="s">
        <v>233</v>
      </c>
      <c r="B21" s="352">
        <v>167000</v>
      </c>
      <c r="C21" s="353">
        <f>B21/'- 3 -'!$D21*100</f>
        <v>0.51299600108865739</v>
      </c>
      <c r="D21" s="352">
        <v>2783000</v>
      </c>
      <c r="E21" s="353">
        <f>D21/'- 3 -'!$D21*100</f>
        <v>8.5489094073636736</v>
      </c>
      <c r="F21" s="352">
        <v>330000</v>
      </c>
      <c r="G21" s="353">
        <f>F21/'- 3 -'!$D21*100</f>
        <v>1.0137046728099219</v>
      </c>
    </row>
    <row r="22" spans="1:7" ht="14.1" customHeight="1">
      <c r="A22" s="23" t="s">
        <v>234</v>
      </c>
      <c r="B22" s="24">
        <v>89225</v>
      </c>
      <c r="C22" s="344">
        <f>B22/'- 3 -'!$D22*100</f>
        <v>0.46902059196207252</v>
      </c>
      <c r="D22" s="24">
        <v>2199920</v>
      </c>
      <c r="E22" s="344">
        <f>D22/'- 3 -'!$D22*100</f>
        <v>11.564110738797453</v>
      </c>
      <c r="F22" s="24">
        <v>87000</v>
      </c>
      <c r="G22" s="344">
        <f>F22/'- 3 -'!$D22*100</f>
        <v>0.45732464556682889</v>
      </c>
    </row>
    <row r="23" spans="1:7" ht="14.1" customHeight="1">
      <c r="A23" s="351" t="s">
        <v>235</v>
      </c>
      <c r="B23" s="352">
        <v>57325</v>
      </c>
      <c r="C23" s="353">
        <f>B23/'- 3 -'!$D23*100</f>
        <v>0.36824740572673698</v>
      </c>
      <c r="D23" s="352">
        <v>1128200</v>
      </c>
      <c r="E23" s="353">
        <f>D23/'- 3 -'!$D23*100</f>
        <v>7.2473915942591312</v>
      </c>
      <c r="F23" s="352">
        <v>101000</v>
      </c>
      <c r="G23" s="353">
        <f>F23/'- 3 -'!$D23*100</f>
        <v>0.64880921026429017</v>
      </c>
    </row>
    <row r="24" spans="1:7" ht="14.1" customHeight="1">
      <c r="A24" s="23" t="s">
        <v>236</v>
      </c>
      <c r="B24" s="24">
        <v>217595</v>
      </c>
      <c r="C24" s="344">
        <f>B24/'- 3 -'!$D24*100</f>
        <v>0.42659743186757998</v>
      </c>
      <c r="D24" s="24">
        <v>4574830</v>
      </c>
      <c r="E24" s="344">
        <f>D24/'- 3 -'!$D24*100</f>
        <v>8.9690053964050698</v>
      </c>
      <c r="F24" s="24">
        <v>220200</v>
      </c>
      <c r="G24" s="344">
        <f>F24/'- 3 -'!$D24*100</f>
        <v>0.43170456351129904</v>
      </c>
    </row>
    <row r="25" spans="1:7" ht="14.1" customHeight="1">
      <c r="A25" s="351" t="s">
        <v>237</v>
      </c>
      <c r="B25" s="352">
        <v>578465</v>
      </c>
      <c r="C25" s="353">
        <f>B25/'- 3 -'!$D25*100</f>
        <v>0.38526286827198092</v>
      </c>
      <c r="D25" s="352">
        <v>14258474</v>
      </c>
      <c r="E25" s="353">
        <f>D25/'- 3 -'!$D25*100</f>
        <v>9.49627132224329</v>
      </c>
      <c r="F25" s="352">
        <v>512060</v>
      </c>
      <c r="G25" s="353">
        <f>F25/'- 3 -'!$D25*100</f>
        <v>0.34103654383126125</v>
      </c>
    </row>
    <row r="26" spans="1:7" ht="14.1" customHeight="1">
      <c r="A26" s="23" t="s">
        <v>238</v>
      </c>
      <c r="B26" s="24">
        <v>152584</v>
      </c>
      <c r="C26" s="344">
        <f>B26/'- 3 -'!$D26*100</f>
        <v>0.41486820612324304</v>
      </c>
      <c r="D26" s="24">
        <v>3750501</v>
      </c>
      <c r="E26" s="344">
        <f>D26/'- 3 -'!$D26*100</f>
        <v>10.197423202520771</v>
      </c>
      <c r="F26" s="24">
        <v>176580</v>
      </c>
      <c r="G26" s="344">
        <f>F26/'- 3 -'!$D26*100</f>
        <v>0.48011212078096172</v>
      </c>
    </row>
    <row r="27" spans="1:7" ht="14.1" customHeight="1">
      <c r="A27" s="351" t="s">
        <v>239</v>
      </c>
      <c r="B27" s="352">
        <v>219602</v>
      </c>
      <c r="C27" s="353">
        <f>B27/'- 3 -'!$D27*100</f>
        <v>0.57356177495275928</v>
      </c>
      <c r="D27" s="352">
        <v>4246792</v>
      </c>
      <c r="E27" s="353">
        <f>D27/'- 3 -'!$D27*100</f>
        <v>11.091873286104764</v>
      </c>
      <c r="F27" s="352">
        <v>402000</v>
      </c>
      <c r="G27" s="353">
        <f>F27/'- 3 -'!$D27*100</f>
        <v>1.0499532496562383</v>
      </c>
    </row>
    <row r="28" spans="1:7" ht="14.1" customHeight="1">
      <c r="A28" s="23" t="s">
        <v>240</v>
      </c>
      <c r="B28" s="24">
        <v>50475</v>
      </c>
      <c r="C28" s="344">
        <f>B28/'- 3 -'!$D28*100</f>
        <v>0.19689701231067605</v>
      </c>
      <c r="D28" s="24">
        <v>2585042</v>
      </c>
      <c r="E28" s="344">
        <f>D28/'- 3 -'!$D28*100</f>
        <v>10.083943467015645</v>
      </c>
      <c r="F28" s="24">
        <v>191562</v>
      </c>
      <c r="G28" s="344">
        <f>F28/'- 3 -'!$D28*100</f>
        <v>0.74726073248653246</v>
      </c>
    </row>
    <row r="29" spans="1:7" ht="14.1" customHeight="1">
      <c r="A29" s="351" t="s">
        <v>241</v>
      </c>
      <c r="B29" s="352">
        <v>797771</v>
      </c>
      <c r="C29" s="353">
        <f>B29/'- 3 -'!$D29*100</f>
        <v>0.58182051401152834</v>
      </c>
      <c r="D29" s="352">
        <v>12368797</v>
      </c>
      <c r="E29" s="353">
        <f>D29/'- 3 -'!$D29*100</f>
        <v>9.0206585953165135</v>
      </c>
      <c r="F29" s="352">
        <v>1825000</v>
      </c>
      <c r="G29" s="353">
        <f>F29/'- 3 -'!$D29*100</f>
        <v>1.3309865087488004</v>
      </c>
    </row>
    <row r="30" spans="1:7" ht="14.1" customHeight="1">
      <c r="A30" s="23" t="s">
        <v>242</v>
      </c>
      <c r="B30" s="24">
        <v>57045</v>
      </c>
      <c r="C30" s="344">
        <f>B30/'- 3 -'!$D30*100</f>
        <v>0.43015145674642175</v>
      </c>
      <c r="D30" s="24">
        <v>1099765</v>
      </c>
      <c r="E30" s="344">
        <f>D30/'- 3 -'!$D30*100</f>
        <v>8.2928480467828631</v>
      </c>
      <c r="F30" s="24">
        <v>301750</v>
      </c>
      <c r="G30" s="344">
        <f>F30/'- 3 -'!$D30*100</f>
        <v>2.2753650990136336</v>
      </c>
    </row>
    <row r="31" spans="1:7" ht="14.1" customHeight="1">
      <c r="A31" s="351" t="s">
        <v>243</v>
      </c>
      <c r="B31" s="352">
        <v>100511</v>
      </c>
      <c r="C31" s="353">
        <f>B31/'- 3 -'!$D31*100</f>
        <v>0.313098891850906</v>
      </c>
      <c r="D31" s="352">
        <v>3314938</v>
      </c>
      <c r="E31" s="353">
        <f>D31/'- 3 -'!$D31*100</f>
        <v>10.326266919585505</v>
      </c>
      <c r="F31" s="352">
        <v>127740</v>
      </c>
      <c r="G31" s="353">
        <f>F31/'- 3 -'!$D31*100</f>
        <v>0.39791915755523999</v>
      </c>
    </row>
    <row r="32" spans="1:7" ht="14.1" customHeight="1">
      <c r="A32" s="23" t="s">
        <v>244</v>
      </c>
      <c r="B32" s="24">
        <v>86250</v>
      </c>
      <c r="C32" s="344">
        <f>B32/'- 3 -'!$D32*100</f>
        <v>0.34926337418547226</v>
      </c>
      <c r="D32" s="24">
        <v>1961200</v>
      </c>
      <c r="E32" s="344">
        <f>D32/'- 3 -'!$D32*100</f>
        <v>7.9417429501744712</v>
      </c>
      <c r="F32" s="24">
        <v>390000</v>
      </c>
      <c r="G32" s="344">
        <f>F32/'- 3 -'!$D32*100</f>
        <v>1.5792778658821356</v>
      </c>
    </row>
    <row r="33" spans="1:7" ht="14.1" customHeight="1">
      <c r="A33" s="351" t="s">
        <v>245</v>
      </c>
      <c r="B33" s="352">
        <v>75000</v>
      </c>
      <c r="C33" s="353">
        <f>B33/'- 3 -'!$D33*100</f>
        <v>0.29392285113003541</v>
      </c>
      <c r="D33" s="352">
        <v>2715900</v>
      </c>
      <c r="E33" s="353">
        <f>D33/'- 3 -'!$D33*100</f>
        <v>10.643534285120841</v>
      </c>
      <c r="F33" s="352">
        <v>432900</v>
      </c>
      <c r="G33" s="353">
        <f>F33/'- 3 -'!$D33*100</f>
        <v>1.6965226967225644</v>
      </c>
    </row>
    <row r="34" spans="1:7" ht="14.1" customHeight="1">
      <c r="A34" s="23" t="s">
        <v>246</v>
      </c>
      <c r="B34" s="24">
        <v>62705</v>
      </c>
      <c r="C34" s="344">
        <f>B34/'- 3 -'!$D34*100</f>
        <v>0.26196396816276135</v>
      </c>
      <c r="D34" s="24">
        <v>2096242</v>
      </c>
      <c r="E34" s="344">
        <f>D34/'- 3 -'!$D34*100</f>
        <v>8.7575133171109663</v>
      </c>
      <c r="F34" s="24">
        <v>331976</v>
      </c>
      <c r="G34" s="344">
        <f>F34/'- 3 -'!$D34*100</f>
        <v>1.3869029629981795</v>
      </c>
    </row>
    <row r="35" spans="1:7" ht="14.1" customHeight="1">
      <c r="A35" s="351" t="s">
        <v>247</v>
      </c>
      <c r="B35" s="352">
        <v>767850</v>
      </c>
      <c r="C35" s="353">
        <f>B35/'- 3 -'!$D35*100</f>
        <v>0.46931992941516276</v>
      </c>
      <c r="D35" s="352">
        <v>17500740</v>
      </c>
      <c r="E35" s="353">
        <f>D35/'- 3 -'!$D35*100</f>
        <v>10.696680421323325</v>
      </c>
      <c r="F35" s="352">
        <v>742500</v>
      </c>
      <c r="G35" s="353">
        <f>F35/'- 3 -'!$D35*100</f>
        <v>0.45382567896172216</v>
      </c>
    </row>
    <row r="36" spans="1:7" ht="14.1" customHeight="1">
      <c r="A36" s="23" t="s">
        <v>248</v>
      </c>
      <c r="B36" s="24">
        <v>59475</v>
      </c>
      <c r="C36" s="344">
        <f>B36/'- 3 -'!$D36*100</f>
        <v>0.28166966293411938</v>
      </c>
      <c r="D36" s="24">
        <v>2082150</v>
      </c>
      <c r="E36" s="344">
        <f>D36/'- 3 -'!$D36*100</f>
        <v>9.86092456794076</v>
      </c>
      <c r="F36" s="24">
        <v>180000</v>
      </c>
      <c r="G36" s="344">
        <f>F36/'- 3 -'!$D36*100</f>
        <v>0.85246808454210143</v>
      </c>
    </row>
    <row r="37" spans="1:7" ht="14.1" customHeight="1">
      <c r="A37" s="351" t="s">
        <v>249</v>
      </c>
      <c r="B37" s="352">
        <v>107995</v>
      </c>
      <c r="C37" s="353">
        <f>B37/'- 3 -'!$D37*100</f>
        <v>0.27103812508426411</v>
      </c>
      <c r="D37" s="352">
        <v>3518841</v>
      </c>
      <c r="E37" s="353">
        <f>D37/'- 3 -'!$D37*100</f>
        <v>8.8313354054320765</v>
      </c>
      <c r="F37" s="352">
        <v>541486</v>
      </c>
      <c r="G37" s="353">
        <f>F37/'- 3 -'!$D37*100</f>
        <v>1.358982825125032</v>
      </c>
    </row>
    <row r="38" spans="1:7" ht="14.1" customHeight="1">
      <c r="A38" s="23" t="s">
        <v>250</v>
      </c>
      <c r="B38" s="24">
        <v>514840</v>
      </c>
      <c r="C38" s="344">
        <f>B38/'- 3 -'!$D38*100</f>
        <v>0.45993317729457378</v>
      </c>
      <c r="D38" s="24">
        <v>9718840</v>
      </c>
      <c r="E38" s="344">
        <f>D38/'- 3 -'!$D38*100</f>
        <v>8.6823420107559546</v>
      </c>
      <c r="F38" s="24">
        <v>988690</v>
      </c>
      <c r="G38" s="344">
        <f>F38/'- 3 -'!$D38*100</f>
        <v>0.88324786935625077</v>
      </c>
    </row>
    <row r="39" spans="1:7" ht="14.1" customHeight="1">
      <c r="A39" s="351" t="s">
        <v>251</v>
      </c>
      <c r="B39" s="352">
        <v>66539</v>
      </c>
      <c r="C39" s="353">
        <f>B39/'- 3 -'!$D39*100</f>
        <v>0.33429648072053986</v>
      </c>
      <c r="D39" s="352">
        <v>1780985</v>
      </c>
      <c r="E39" s="353">
        <f>D39/'- 3 -'!$D39*100</f>
        <v>8.9477902841351771</v>
      </c>
      <c r="F39" s="352">
        <v>160200</v>
      </c>
      <c r="G39" s="353">
        <f>F39/'- 3 -'!$D39*100</f>
        <v>0.80485574191722864</v>
      </c>
    </row>
    <row r="40" spans="1:7" ht="14.1" customHeight="1">
      <c r="A40" s="23" t="s">
        <v>252</v>
      </c>
      <c r="B40" s="24">
        <v>468227</v>
      </c>
      <c r="C40" s="344">
        <f>B40/'- 3 -'!$D40*100</f>
        <v>0.49869358229765859</v>
      </c>
      <c r="D40" s="24">
        <v>7667521</v>
      </c>
      <c r="E40" s="344">
        <f>D40/'- 3 -'!$D40*100</f>
        <v>8.1664310576547816</v>
      </c>
      <c r="F40" s="24">
        <v>903394</v>
      </c>
      <c r="G40" s="344">
        <f>F40/'- 3 -'!$D40*100</f>
        <v>0.96217601737236635</v>
      </c>
    </row>
    <row r="41" spans="1:7" ht="14.1" customHeight="1">
      <c r="A41" s="351" t="s">
        <v>253</v>
      </c>
      <c r="B41" s="352">
        <v>176011</v>
      </c>
      <c r="C41" s="353">
        <f>B41/'- 3 -'!$D41*100</f>
        <v>0.3097499803382649</v>
      </c>
      <c r="D41" s="352">
        <v>4180941</v>
      </c>
      <c r="E41" s="353">
        <f>D41/'- 3 -'!$D41*100</f>
        <v>7.3577582795702865</v>
      </c>
      <c r="F41" s="352">
        <v>153420</v>
      </c>
      <c r="G41" s="353">
        <f>F41/'- 3 -'!$D41*100</f>
        <v>0.26999359121587063</v>
      </c>
    </row>
    <row r="42" spans="1:7" ht="14.1" customHeight="1">
      <c r="A42" s="23" t="s">
        <v>254</v>
      </c>
      <c r="B42" s="24">
        <v>51010</v>
      </c>
      <c r="C42" s="344">
        <f>B42/'- 3 -'!$D42*100</f>
        <v>0.25642123821347035</v>
      </c>
      <c r="D42" s="24">
        <v>1673447</v>
      </c>
      <c r="E42" s="344">
        <f>D42/'- 3 -'!$D42*100</f>
        <v>8.4122201886809904</v>
      </c>
      <c r="F42" s="24">
        <v>96979</v>
      </c>
      <c r="G42" s="344">
        <f>F42/'- 3 -'!$D42*100</f>
        <v>0.48750196551076536</v>
      </c>
    </row>
    <row r="43" spans="1:7" ht="14.1" customHeight="1">
      <c r="A43" s="351" t="s">
        <v>255</v>
      </c>
      <c r="B43" s="352">
        <v>21920</v>
      </c>
      <c r="C43" s="353">
        <f>B43/'- 3 -'!$D43*100</f>
        <v>0.18550575495214469</v>
      </c>
      <c r="D43" s="352">
        <v>817064</v>
      </c>
      <c r="E43" s="353">
        <f>D43/'- 3 -'!$D43*100</f>
        <v>6.9146931644260556</v>
      </c>
      <c r="F43" s="352">
        <v>130300</v>
      </c>
      <c r="G43" s="353">
        <f>F43/'- 3 -'!$D43*100</f>
        <v>1.102709848096006</v>
      </c>
    </row>
    <row r="44" spans="1:7" ht="14.1" customHeight="1">
      <c r="A44" s="23" t="s">
        <v>256</v>
      </c>
      <c r="B44" s="24">
        <v>26478</v>
      </c>
      <c r="C44" s="344">
        <f>B44/'- 3 -'!$D44*100</f>
        <v>0.26333644229065112</v>
      </c>
      <c r="D44" s="24">
        <v>975130</v>
      </c>
      <c r="E44" s="344">
        <f>D44/'- 3 -'!$D44*100</f>
        <v>9.6981367539422401</v>
      </c>
      <c r="F44" s="24">
        <v>53940</v>
      </c>
      <c r="G44" s="344">
        <f>F44/'- 3 -'!$D44*100</f>
        <v>0.53645923775049931</v>
      </c>
    </row>
    <row r="45" spans="1:7" ht="14.1" customHeight="1">
      <c r="A45" s="351" t="s">
        <v>257</v>
      </c>
      <c r="B45" s="352">
        <v>70239</v>
      </c>
      <c r="C45" s="353">
        <f>B45/'- 3 -'!$D45*100</f>
        <v>0.42903336502671052</v>
      </c>
      <c r="D45" s="352">
        <v>1351156</v>
      </c>
      <c r="E45" s="353">
        <f>D45/'- 3 -'!$D45*100</f>
        <v>8.2531215614691273</v>
      </c>
      <c r="F45" s="352">
        <v>154000</v>
      </c>
      <c r="G45" s="353">
        <f>F45/'- 3 -'!$D45*100</f>
        <v>0.94066171520257158</v>
      </c>
    </row>
    <row r="46" spans="1:7" ht="14.1" customHeight="1">
      <c r="A46" s="23" t="s">
        <v>258</v>
      </c>
      <c r="B46" s="24">
        <v>1091800</v>
      </c>
      <c r="C46" s="344">
        <f>B46/'- 3 -'!$D46*100</f>
        <v>0.30962957038968009</v>
      </c>
      <c r="D46" s="24">
        <v>36639100</v>
      </c>
      <c r="E46" s="344">
        <f>D46/'- 3 -'!$D46*100</f>
        <v>10.390684001158204</v>
      </c>
      <c r="F46" s="24">
        <v>4228400</v>
      </c>
      <c r="G46" s="344">
        <f>F46/'- 3 -'!$D46*100</f>
        <v>1.1991552257150788</v>
      </c>
    </row>
    <row r="47" spans="1:7" ht="5.0999999999999996" customHeight="1">
      <c r="A47"/>
      <c r="B47"/>
      <c r="C47"/>
      <c r="D47"/>
      <c r="E47"/>
      <c r="F47"/>
      <c r="G47"/>
    </row>
    <row r="48" spans="1:7" ht="14.1" customHeight="1">
      <c r="A48" s="354" t="s">
        <v>259</v>
      </c>
      <c r="B48" s="355">
        <f>SUM(B11:B46)</f>
        <v>7967184</v>
      </c>
      <c r="C48" s="356">
        <f>B48/'- 3 -'!$D48*100</f>
        <v>0.39661278698282282</v>
      </c>
      <c r="D48" s="355">
        <f>SUM(D11:D46)</f>
        <v>191828069</v>
      </c>
      <c r="E48" s="356">
        <f>D48/'- 3 -'!$D48*100</f>
        <v>9.5493545859645312</v>
      </c>
      <c r="F48" s="355">
        <f>SUM(F11:F46)</f>
        <v>17534860</v>
      </c>
      <c r="G48" s="356">
        <f>F48/'- 3 -'!$D48*100</f>
        <v>0.8728993448568052</v>
      </c>
    </row>
    <row r="49" spans="1:7" ht="5.0999999999999996" customHeight="1">
      <c r="A49" s="25" t="s">
        <v>3</v>
      </c>
      <c r="B49" s="26"/>
      <c r="C49" s="343"/>
      <c r="D49" s="26"/>
      <c r="E49" s="343"/>
      <c r="F49" s="26"/>
      <c r="G49" s="343"/>
    </row>
    <row r="50" spans="1:7" ht="14.1" customHeight="1">
      <c r="A50" s="23" t="s">
        <v>260</v>
      </c>
      <c r="B50" s="24">
        <v>12600</v>
      </c>
      <c r="C50" s="344">
        <f>B50/'- 3 -'!$D50*100</f>
        <v>0.39021066730669474</v>
      </c>
      <c r="D50" s="24">
        <v>395772</v>
      </c>
      <c r="E50" s="344">
        <f>D50/'- 3 -'!$D50*100</f>
        <v>12.256702874706761</v>
      </c>
      <c r="F50" s="24">
        <v>0</v>
      </c>
      <c r="G50" s="344">
        <f>F50/'- 3 -'!$D50*100</f>
        <v>0</v>
      </c>
    </row>
    <row r="51" spans="1:7" ht="14.1" customHeight="1">
      <c r="A51" s="351" t="s">
        <v>261</v>
      </c>
      <c r="B51" s="352">
        <v>123331</v>
      </c>
      <c r="C51" s="353">
        <f>B51/'- 3 -'!$D51*100</f>
        <v>0.69926830582038479</v>
      </c>
      <c r="D51" s="352">
        <v>1615732</v>
      </c>
      <c r="E51" s="353">
        <f>D51/'- 3 -'!$D51*100</f>
        <v>9.1609585448896222</v>
      </c>
      <c r="F51" s="352">
        <v>47856</v>
      </c>
      <c r="G51" s="353">
        <f>F51/'- 3 -'!$D51*100</f>
        <v>0.27133635536353662</v>
      </c>
    </row>
    <row r="52" spans="1:7" ht="50.1" customHeight="1"/>
    <row r="53" spans="1:7" ht="15" customHeight="1"/>
    <row r="54" spans="1:7" ht="14.45" customHeight="1"/>
    <row r="55" spans="1:7" ht="14.45" customHeight="1"/>
    <row r="56" spans="1:7" ht="14.45" customHeight="1"/>
    <row r="57" spans="1:7" ht="14.45" customHeight="1"/>
    <row r="58" spans="1:7" ht="14.45" customHeight="1"/>
    <row r="59" spans="1:7" ht="14.45" customHeight="1"/>
  </sheetData>
  <phoneticPr fontId="0" type="noConversion"/>
  <printOptions horizontalCentered="1"/>
  <pageMargins left="0.51181102362204722" right="0.51181102362204722" top="0.59055118110236227" bottom="0" header="0.31496062992125984" footer="0"/>
  <pageSetup scale="92" orientation="portrait" r:id="rId1"/>
  <headerFooter alignWithMargins="0">
    <oddHeader>&amp;C&amp;"Arial,Bold"&amp;10&amp;A</oddHeader>
  </headerFooter>
</worksheet>
</file>

<file path=xl/worksheets/sheet29.xml><?xml version="1.0" encoding="utf-8"?>
<worksheet xmlns="http://schemas.openxmlformats.org/spreadsheetml/2006/main" xmlns:r="http://schemas.openxmlformats.org/officeDocument/2006/relationships">
  <sheetPr codeName="Sheet30">
    <pageSetUpPr fitToPage="1"/>
  </sheetPr>
  <dimension ref="A1:F59"/>
  <sheetViews>
    <sheetView showGridLines="0" showZeros="0" workbookViewId="0"/>
  </sheetViews>
  <sheetFormatPr defaultColWidth="15.83203125" defaultRowHeight="12"/>
  <cols>
    <col min="1" max="1" width="35.83203125" style="1" customWidth="1"/>
    <col min="2" max="2" width="19.83203125" style="1" customWidth="1"/>
    <col min="3" max="3" width="10.1640625" style="1" customWidth="1"/>
    <col min="4" max="4" width="19.83203125" style="1" customWidth="1"/>
    <col min="5" max="5" width="11.1640625" style="1" customWidth="1"/>
    <col min="6" max="6" width="25.83203125" style="1" customWidth="1"/>
    <col min="7" max="16384" width="15.83203125" style="1"/>
  </cols>
  <sheetData>
    <row r="1" spans="1:6" ht="6.95" customHeight="1">
      <c r="A1" s="3"/>
      <c r="B1" s="3"/>
      <c r="C1" s="3"/>
      <c r="D1" s="4"/>
      <c r="E1" s="4"/>
      <c r="F1" s="4"/>
    </row>
    <row r="2" spans="1:6" ht="15.95" customHeight="1">
      <c r="A2" s="160"/>
      <c r="B2" s="5" t="s">
        <v>437</v>
      </c>
      <c r="C2" s="189"/>
      <c r="D2" s="161"/>
      <c r="E2" s="6"/>
      <c r="F2" s="183" t="s">
        <v>398</v>
      </c>
    </row>
    <row r="3" spans="1:6" ht="15.95" customHeight="1">
      <c r="A3" s="163"/>
      <c r="B3" s="7" t="str">
        <f>OPYEAR</f>
        <v>OPERATING FUND 2012/2013 BUDGET</v>
      </c>
      <c r="C3" s="190"/>
      <c r="D3" s="176"/>
      <c r="E3" s="8"/>
      <c r="F3" s="100"/>
    </row>
    <row r="4" spans="1:6" ht="15.95" customHeight="1">
      <c r="D4" s="4"/>
      <c r="E4" s="4"/>
      <c r="F4" s="4"/>
    </row>
    <row r="5" spans="1:6" ht="15.95" customHeight="1">
      <c r="D5" s="4"/>
      <c r="E5" s="4"/>
      <c r="F5" s="4"/>
    </row>
    <row r="6" spans="1:6" ht="15.95" customHeight="1">
      <c r="B6" s="184" t="s">
        <v>349</v>
      </c>
      <c r="C6" s="186"/>
      <c r="D6" s="71"/>
      <c r="E6" s="191"/>
      <c r="F6" s="74"/>
    </row>
    <row r="7" spans="1:6" ht="15.95" customHeight="1">
      <c r="B7" s="432"/>
      <c r="C7" s="347"/>
      <c r="D7" s="432"/>
      <c r="E7" s="347"/>
      <c r="F7" s="4"/>
    </row>
    <row r="8" spans="1:6" ht="15.95" customHeight="1">
      <c r="A8" s="101"/>
      <c r="B8" s="349" t="s">
        <v>64</v>
      </c>
      <c r="C8" s="350"/>
      <c r="D8" s="348" t="s">
        <v>65</v>
      </c>
      <c r="E8" s="350"/>
      <c r="F8" s="4"/>
    </row>
    <row r="9" spans="1:6" ht="15.95" customHeight="1">
      <c r="A9" s="35" t="s">
        <v>79</v>
      </c>
      <c r="B9" s="188" t="s">
        <v>80</v>
      </c>
      <c r="C9" s="188" t="s">
        <v>81</v>
      </c>
      <c r="D9" s="192" t="s">
        <v>80</v>
      </c>
      <c r="E9" s="188" t="s">
        <v>81</v>
      </c>
    </row>
    <row r="10" spans="1:6" ht="5.0999999999999996" customHeight="1">
      <c r="A10" s="37"/>
    </row>
    <row r="11" spans="1:6" ht="14.1" customHeight="1">
      <c r="A11" s="351" t="s">
        <v>224</v>
      </c>
      <c r="B11" s="352">
        <v>57320</v>
      </c>
      <c r="C11" s="353">
        <f>B11/'- 3 -'!$D11*100</f>
        <v>0.36130847625146867</v>
      </c>
      <c r="D11" s="352">
        <v>20900</v>
      </c>
      <c r="E11" s="353">
        <f>D11/'- 3 -'!$D11*100</f>
        <v>0.13174018062902471</v>
      </c>
    </row>
    <row r="12" spans="1:6" ht="14.1" customHeight="1">
      <c r="A12" s="23" t="s">
        <v>225</v>
      </c>
      <c r="B12" s="24">
        <v>213721</v>
      </c>
      <c r="C12" s="344">
        <f>B12/'- 3 -'!$D12*100</f>
        <v>0.71236738252609522</v>
      </c>
      <c r="D12" s="24">
        <v>87505</v>
      </c>
      <c r="E12" s="344">
        <f>D12/'- 3 -'!$D12*100</f>
        <v>0.29166861379062403</v>
      </c>
    </row>
    <row r="13" spans="1:6" ht="14.1" customHeight="1">
      <c r="A13" s="351" t="s">
        <v>226</v>
      </c>
      <c r="B13" s="352">
        <v>251100</v>
      </c>
      <c r="C13" s="353">
        <f>B13/'- 3 -'!$D13*100</f>
        <v>0.32033863276256669</v>
      </c>
      <c r="D13" s="352">
        <v>149000</v>
      </c>
      <c r="E13" s="353">
        <f>D13/'- 3 -'!$D13*100</f>
        <v>0.19008544915022874</v>
      </c>
    </row>
    <row r="14" spans="1:6" ht="14.1" customHeight="1">
      <c r="A14" s="23" t="s">
        <v>524</v>
      </c>
      <c r="B14" s="24">
        <v>150204</v>
      </c>
      <c r="C14" s="344">
        <f>B14/'- 3 -'!$D14*100</f>
        <v>0.21019108841785727</v>
      </c>
      <c r="D14" s="24">
        <v>404829</v>
      </c>
      <c r="E14" s="344">
        <f>D14/'- 3 -'!$D14*100</f>
        <v>0.56650587290027388</v>
      </c>
    </row>
    <row r="15" spans="1:6" ht="14.1" customHeight="1">
      <c r="A15" s="351" t="s">
        <v>227</v>
      </c>
      <c r="B15" s="352">
        <v>113975</v>
      </c>
      <c r="C15" s="353">
        <f>B15/'- 3 -'!$D15*100</f>
        <v>0.60931983760951391</v>
      </c>
      <c r="D15" s="352">
        <v>70000</v>
      </c>
      <c r="E15" s="353">
        <f>D15/'- 3 -'!$D15*100</f>
        <v>0.37422582700299162</v>
      </c>
    </row>
    <row r="16" spans="1:6" ht="14.1" customHeight="1">
      <c r="A16" s="23" t="s">
        <v>228</v>
      </c>
      <c r="B16" s="24">
        <v>7250</v>
      </c>
      <c r="C16" s="344">
        <f>B16/'- 3 -'!$D16*100</f>
        <v>5.7281497554830633E-2</v>
      </c>
      <c r="D16" s="24">
        <v>21000</v>
      </c>
      <c r="E16" s="344">
        <f>D16/'- 3 -'!$D16*100</f>
        <v>0.16591882050364737</v>
      </c>
    </row>
    <row r="17" spans="1:5" ht="14.1" customHeight="1">
      <c r="A17" s="351" t="s">
        <v>229</v>
      </c>
      <c r="B17" s="352">
        <v>70690</v>
      </c>
      <c r="C17" s="353">
        <f>B17/'- 3 -'!$D17*100</f>
        <v>0.43367401088399687</v>
      </c>
      <c r="D17" s="352">
        <v>53000</v>
      </c>
      <c r="E17" s="353">
        <f>D17/'- 3 -'!$D17*100</f>
        <v>0.32514814792547503</v>
      </c>
    </row>
    <row r="18" spans="1:5" ht="14.1" customHeight="1">
      <c r="A18" s="23" t="s">
        <v>230</v>
      </c>
      <c r="B18" s="24">
        <v>2750631</v>
      </c>
      <c r="C18" s="344">
        <f>B18/'- 3 -'!$D18*100</f>
        <v>2.3884079000793648</v>
      </c>
      <c r="D18" s="24">
        <v>60350</v>
      </c>
      <c r="E18" s="344">
        <f>D18/'- 3 -'!$D18*100</f>
        <v>5.2402672975687993E-2</v>
      </c>
    </row>
    <row r="19" spans="1:5" ht="14.1" customHeight="1">
      <c r="A19" s="351" t="s">
        <v>231</v>
      </c>
      <c r="B19" s="352">
        <v>66400</v>
      </c>
      <c r="C19" s="353">
        <f>B19/'- 3 -'!$D19*100</f>
        <v>0.16985948348647334</v>
      </c>
      <c r="D19" s="352">
        <v>22000</v>
      </c>
      <c r="E19" s="353">
        <f>D19/'- 3 -'!$D19*100</f>
        <v>5.6278744528650802E-2</v>
      </c>
    </row>
    <row r="20" spans="1:5" ht="14.1" customHeight="1">
      <c r="A20" s="23" t="s">
        <v>232</v>
      </c>
      <c r="B20" s="24">
        <v>350400</v>
      </c>
      <c r="C20" s="344">
        <f>B20/'- 3 -'!$D20*100</f>
        <v>0.51781465663745585</v>
      </c>
      <c r="D20" s="24">
        <v>253700</v>
      </c>
      <c r="E20" s="344">
        <f>D20/'- 3 -'!$D20*100</f>
        <v>0.37491318033368309</v>
      </c>
    </row>
    <row r="21" spans="1:5" ht="14.1" customHeight="1">
      <c r="A21" s="351" t="s">
        <v>233</v>
      </c>
      <c r="B21" s="352">
        <v>147000</v>
      </c>
      <c r="C21" s="353">
        <f>B21/'- 3 -'!$D21*100</f>
        <v>0.45155935425169247</v>
      </c>
      <c r="D21" s="352">
        <v>136000</v>
      </c>
      <c r="E21" s="353">
        <f>D21/'- 3 -'!$D21*100</f>
        <v>0.41776919849136168</v>
      </c>
    </row>
    <row r="22" spans="1:5" ht="14.1" customHeight="1">
      <c r="A22" s="23" t="s">
        <v>234</v>
      </c>
      <c r="B22" s="24">
        <v>61175</v>
      </c>
      <c r="C22" s="344">
        <f>B22/'- 3 -'!$D22*100</f>
        <v>0.32157281830518114</v>
      </c>
      <c r="D22" s="24">
        <v>6000</v>
      </c>
      <c r="E22" s="344">
        <f>D22/'- 3 -'!$D22*100</f>
        <v>3.1539630728746819E-2</v>
      </c>
    </row>
    <row r="23" spans="1:5" ht="14.1" customHeight="1">
      <c r="A23" s="351" t="s">
        <v>235</v>
      </c>
      <c r="B23" s="352">
        <v>43500</v>
      </c>
      <c r="C23" s="353">
        <f>B23/'- 3 -'!$D23*100</f>
        <v>0.2794376301633329</v>
      </c>
      <c r="D23" s="352">
        <v>9000</v>
      </c>
      <c r="E23" s="353">
        <f>D23/'- 3 -'!$D23*100</f>
        <v>5.781468210275853E-2</v>
      </c>
    </row>
    <row r="24" spans="1:5" ht="14.1" customHeight="1">
      <c r="A24" s="23" t="s">
        <v>236</v>
      </c>
      <c r="B24" s="24">
        <v>199670</v>
      </c>
      <c r="C24" s="344">
        <f>B24/'- 3 -'!$D24*100</f>
        <v>0.39145526882970522</v>
      </c>
      <c r="D24" s="24">
        <v>364900</v>
      </c>
      <c r="E24" s="344">
        <f>D24/'- 3 -'!$D24*100</f>
        <v>0.71539053235818817</v>
      </c>
    </row>
    <row r="25" spans="1:5" ht="14.1" customHeight="1">
      <c r="A25" s="351" t="s">
        <v>237</v>
      </c>
      <c r="B25" s="352">
        <v>313000</v>
      </c>
      <c r="C25" s="353">
        <f>B25/'- 3 -'!$D25*100</f>
        <v>0.208460801896623</v>
      </c>
      <c r="D25" s="352">
        <v>345000</v>
      </c>
      <c r="E25" s="353">
        <f>D25/'- 3 -'!$D25*100</f>
        <v>0.22977308835250779</v>
      </c>
    </row>
    <row r="26" spans="1:5" ht="14.1" customHeight="1">
      <c r="A26" s="23" t="s">
        <v>238</v>
      </c>
      <c r="B26" s="24">
        <v>227154</v>
      </c>
      <c r="C26" s="344">
        <f>B26/'- 3 -'!$D26*100</f>
        <v>0.61762027796963748</v>
      </c>
      <c r="D26" s="24">
        <v>52500</v>
      </c>
      <c r="E26" s="344">
        <f>D26/'- 3 -'!$D26*100</f>
        <v>0.14274485412277998</v>
      </c>
    </row>
    <row r="27" spans="1:5" ht="14.1" customHeight="1">
      <c r="A27" s="351" t="s">
        <v>239</v>
      </c>
      <c r="B27" s="352">
        <v>172125</v>
      </c>
      <c r="C27" s="353">
        <f>B27/'- 3 -'!$D27*100</f>
        <v>0.44956020670915431</v>
      </c>
      <c r="D27" s="352">
        <v>159122</v>
      </c>
      <c r="E27" s="353">
        <f>D27/'- 3 -'!$D27*100</f>
        <v>0.41559865918358196</v>
      </c>
    </row>
    <row r="28" spans="1:5" ht="14.1" customHeight="1">
      <c r="A28" s="23" t="s">
        <v>240</v>
      </c>
      <c r="B28" s="24">
        <v>61950</v>
      </c>
      <c r="C28" s="344">
        <f>B28/'- 3 -'!$D28*100</f>
        <v>0.2416596317512904</v>
      </c>
      <c r="D28" s="24">
        <v>52000</v>
      </c>
      <c r="E28" s="344">
        <f>D28/'- 3 -'!$D28*100</f>
        <v>0.20284585716008235</v>
      </c>
    </row>
    <row r="29" spans="1:5" ht="14.1" customHeight="1">
      <c r="A29" s="351" t="s">
        <v>241</v>
      </c>
      <c r="B29" s="352">
        <v>436456</v>
      </c>
      <c r="C29" s="353">
        <f>B29/'- 3 -'!$D29*100</f>
        <v>0.3183107110479268</v>
      </c>
      <c r="D29" s="352">
        <v>367927</v>
      </c>
      <c r="E29" s="353">
        <f>D29/'- 3 -'!$D29*100</f>
        <v>0.26833198531749036</v>
      </c>
    </row>
    <row r="30" spans="1:5" ht="14.1" customHeight="1">
      <c r="A30" s="23" t="s">
        <v>242</v>
      </c>
      <c r="B30" s="24">
        <v>50140</v>
      </c>
      <c r="C30" s="344">
        <f>B30/'- 3 -'!$D30*100</f>
        <v>0.37808386433982966</v>
      </c>
      <c r="D30" s="24">
        <v>30250</v>
      </c>
      <c r="E30" s="344">
        <f>D30/'- 3 -'!$D30*100</f>
        <v>0.22810205217949436</v>
      </c>
    </row>
    <row r="31" spans="1:5" ht="14.1" customHeight="1">
      <c r="A31" s="351" t="s">
        <v>243</v>
      </c>
      <c r="B31" s="352">
        <v>39439</v>
      </c>
      <c r="C31" s="353">
        <f>B31/'- 3 -'!$D31*100</f>
        <v>0.12285528146877336</v>
      </c>
      <c r="D31" s="352">
        <v>61500</v>
      </c>
      <c r="E31" s="353">
        <f>D31/'- 3 -'!$D31*100</f>
        <v>0.19157686072997698</v>
      </c>
    </row>
    <row r="32" spans="1:5" ht="14.1" customHeight="1">
      <c r="A32" s="23" t="s">
        <v>244</v>
      </c>
      <c r="B32" s="24">
        <v>109200</v>
      </c>
      <c r="C32" s="344">
        <f>B32/'- 3 -'!$D32*100</f>
        <v>0.44219780244699791</v>
      </c>
      <c r="D32" s="24">
        <v>128000</v>
      </c>
      <c r="E32" s="344">
        <f>D32/'- 3 -'!$D32*100</f>
        <v>0.51832709444336755</v>
      </c>
    </row>
    <row r="33" spans="1:5" ht="14.1" customHeight="1">
      <c r="A33" s="351" t="s">
        <v>245</v>
      </c>
      <c r="B33" s="352">
        <v>195300</v>
      </c>
      <c r="C33" s="353">
        <f>B33/'- 3 -'!$D33*100</f>
        <v>0.76537510434261213</v>
      </c>
      <c r="D33" s="352">
        <v>70000</v>
      </c>
      <c r="E33" s="353">
        <f>D33/'- 3 -'!$D33*100</f>
        <v>0.27432799438803301</v>
      </c>
    </row>
    <row r="34" spans="1:5" ht="14.1" customHeight="1">
      <c r="A34" s="23" t="s">
        <v>246</v>
      </c>
      <c r="B34" s="24">
        <v>84875</v>
      </c>
      <c r="C34" s="344">
        <f>B34/'- 3 -'!$D34*100</f>
        <v>0.35458403313634262</v>
      </c>
      <c r="D34" s="24">
        <v>114887</v>
      </c>
      <c r="E34" s="344">
        <f>D34/'- 3 -'!$D34*100</f>
        <v>0.47996578279746688</v>
      </c>
    </row>
    <row r="35" spans="1:5" ht="14.1" customHeight="1">
      <c r="A35" s="351" t="s">
        <v>247</v>
      </c>
      <c r="B35" s="352">
        <v>333000</v>
      </c>
      <c r="C35" s="353">
        <f>B35/'- 3 -'!$D35*100</f>
        <v>0.20353394086768142</v>
      </c>
      <c r="D35" s="352">
        <v>561200</v>
      </c>
      <c r="E35" s="353">
        <f>D35/'- 3 -'!$D35*100</f>
        <v>0.34301275560042893</v>
      </c>
    </row>
    <row r="36" spans="1:5" ht="14.1" customHeight="1">
      <c r="A36" s="23" t="s">
        <v>248</v>
      </c>
      <c r="B36" s="24">
        <v>61950</v>
      </c>
      <c r="C36" s="344">
        <f>B36/'- 3 -'!$D36*100</f>
        <v>0.29339109909657329</v>
      </c>
      <c r="D36" s="24">
        <v>60000</v>
      </c>
      <c r="E36" s="344">
        <f>D36/'- 3 -'!$D36*100</f>
        <v>0.28415602818070052</v>
      </c>
    </row>
    <row r="37" spans="1:5" ht="14.1" customHeight="1">
      <c r="A37" s="351" t="s">
        <v>249</v>
      </c>
      <c r="B37" s="352">
        <v>120650</v>
      </c>
      <c r="C37" s="353">
        <f>B37/'- 3 -'!$D37*100</f>
        <v>0.30279873875102059</v>
      </c>
      <c r="D37" s="352">
        <v>146500</v>
      </c>
      <c r="E37" s="353">
        <f>D37/'- 3 -'!$D37*100</f>
        <v>0.36767521945316628</v>
      </c>
    </row>
    <row r="38" spans="1:5" ht="14.1" customHeight="1">
      <c r="A38" s="23" t="s">
        <v>250</v>
      </c>
      <c r="B38" s="24">
        <v>421580</v>
      </c>
      <c r="C38" s="344">
        <f>B38/'- 3 -'!$D38*100</f>
        <v>0.37661919991423826</v>
      </c>
      <c r="D38" s="24">
        <v>316690</v>
      </c>
      <c r="E38" s="344">
        <f>D38/'- 3 -'!$D38*100</f>
        <v>0.28291554253247331</v>
      </c>
    </row>
    <row r="39" spans="1:5" ht="14.1" customHeight="1">
      <c r="A39" s="351" t="s">
        <v>251</v>
      </c>
      <c r="B39" s="352">
        <v>80000</v>
      </c>
      <c r="C39" s="353">
        <f>B39/'- 3 -'!$D39*100</f>
        <v>0.40192546412845376</v>
      </c>
      <c r="D39" s="352">
        <v>70000</v>
      </c>
      <c r="E39" s="353">
        <f>D39/'- 3 -'!$D39*100</f>
        <v>0.35168478111239704</v>
      </c>
    </row>
    <row r="40" spans="1:5" ht="14.1" customHeight="1">
      <c r="A40" s="23" t="s">
        <v>252</v>
      </c>
      <c r="B40" s="24">
        <v>439450</v>
      </c>
      <c r="C40" s="344">
        <f>B40/'- 3 -'!$D40*100</f>
        <v>0.46804412120767508</v>
      </c>
      <c r="D40" s="24">
        <v>277141</v>
      </c>
      <c r="E40" s="344">
        <f>D40/'- 3 -'!$D40*100</f>
        <v>0.29517400340338207</v>
      </c>
    </row>
    <row r="41" spans="1:5" ht="14.1" customHeight="1">
      <c r="A41" s="351" t="s">
        <v>253</v>
      </c>
      <c r="B41" s="352">
        <v>211985</v>
      </c>
      <c r="C41" s="353">
        <f>B41/'- 3 -'!$D41*100</f>
        <v>0.37305821557747576</v>
      </c>
      <c r="D41" s="352">
        <v>280000</v>
      </c>
      <c r="E41" s="353">
        <f>D41/'- 3 -'!$D41*100</f>
        <v>0.4927532625501484</v>
      </c>
    </row>
    <row r="42" spans="1:5" ht="14.1" customHeight="1">
      <c r="A42" s="23" t="s">
        <v>254</v>
      </c>
      <c r="B42" s="24">
        <v>129320</v>
      </c>
      <c r="C42" s="344">
        <f>B42/'- 3 -'!$D42*100</f>
        <v>0.65007634828006244</v>
      </c>
      <c r="D42" s="24">
        <v>93189</v>
      </c>
      <c r="E42" s="344">
        <f>D42/'- 3 -'!$D42*100</f>
        <v>0.46845008366741991</v>
      </c>
    </row>
    <row r="43" spans="1:5" ht="14.1" customHeight="1">
      <c r="A43" s="351" t="s">
        <v>255</v>
      </c>
      <c r="B43" s="352">
        <v>49600</v>
      </c>
      <c r="C43" s="353">
        <f>B43/'- 3 -'!$D43*100</f>
        <v>0.41975754770193324</v>
      </c>
      <c r="D43" s="352">
        <v>11000</v>
      </c>
      <c r="E43" s="353">
        <f>D43/'- 3 -'!$D43*100</f>
        <v>9.3091391627444869E-2</v>
      </c>
    </row>
    <row r="44" spans="1:5" ht="14.1" customHeight="1">
      <c r="A44" s="23" t="s">
        <v>256</v>
      </c>
      <c r="B44" s="24">
        <v>55163</v>
      </c>
      <c r="C44" s="344">
        <f>B44/'- 3 -'!$D44*100</f>
        <v>0.54862256084595462</v>
      </c>
      <c r="D44" s="24">
        <v>28000</v>
      </c>
      <c r="E44" s="344">
        <f>D44/'- 3 -'!$D44*100</f>
        <v>0.27847346416414498</v>
      </c>
    </row>
    <row r="45" spans="1:5" ht="14.1" customHeight="1">
      <c r="A45" s="351" t="s">
        <v>257</v>
      </c>
      <c r="B45" s="352">
        <v>47850</v>
      </c>
      <c r="C45" s="353">
        <f>B45/'- 3 -'!$D45*100</f>
        <v>0.29227703293794188</v>
      </c>
      <c r="D45" s="352">
        <v>33500</v>
      </c>
      <c r="E45" s="353">
        <f>D45/'- 3 -'!$D45*100</f>
        <v>0.20462446402133863</v>
      </c>
    </row>
    <row r="46" spans="1:5" ht="14.1" customHeight="1">
      <c r="A46" s="23" t="s">
        <v>258</v>
      </c>
      <c r="B46" s="24">
        <v>1979200</v>
      </c>
      <c r="C46" s="344">
        <f>B46/'- 3 -'!$D46*100</f>
        <v>0.56129221992604394</v>
      </c>
      <c r="D46" s="24">
        <v>918900</v>
      </c>
      <c r="E46" s="344">
        <f>D46/'- 3 -'!$D46*100</f>
        <v>0.26059590788704617</v>
      </c>
    </row>
    <row r="47" spans="1:5" ht="5.0999999999999996" customHeight="1">
      <c r="A47"/>
      <c r="B47"/>
      <c r="C47"/>
      <c r="D47"/>
      <c r="E47"/>
    </row>
    <row r="48" spans="1:5" ht="14.1" customHeight="1">
      <c r="A48" s="354" t="s">
        <v>259</v>
      </c>
      <c r="B48" s="355">
        <f>SUM(B11:B46)</f>
        <v>10102423</v>
      </c>
      <c r="C48" s="356">
        <f>B48/'- 3 -'!$D48*100</f>
        <v>0.50290669090978313</v>
      </c>
      <c r="D48" s="355">
        <f>SUM(D11:D46)</f>
        <v>5835490</v>
      </c>
      <c r="E48" s="356">
        <f>D48/'- 3 -'!$D48*100</f>
        <v>0.29049535598906623</v>
      </c>
    </row>
    <row r="49" spans="1:5" ht="5.0999999999999996" customHeight="1">
      <c r="A49" s="25" t="s">
        <v>3</v>
      </c>
      <c r="B49" s="26"/>
      <c r="C49" s="343"/>
      <c r="D49" s="26"/>
      <c r="E49" s="343"/>
    </row>
    <row r="50" spans="1:5" ht="14.1" customHeight="1">
      <c r="A50" s="23" t="s">
        <v>260</v>
      </c>
      <c r="B50" s="24">
        <v>47144</v>
      </c>
      <c r="C50" s="344">
        <f>B50/'- 3 -'!$D50*100</f>
        <v>1.4600072777386361</v>
      </c>
      <c r="D50" s="24">
        <v>6000</v>
      </c>
      <c r="E50" s="344">
        <f>D50/'- 3 -'!$D50*100</f>
        <v>0.18581460347937845</v>
      </c>
    </row>
    <row r="51" spans="1:5" ht="14.1" customHeight="1">
      <c r="A51" s="351" t="s">
        <v>261</v>
      </c>
      <c r="B51" s="352">
        <v>0</v>
      </c>
      <c r="C51" s="353">
        <f>B51/'- 3 -'!$D51*100</f>
        <v>0</v>
      </c>
      <c r="D51" s="352">
        <v>80000</v>
      </c>
      <c r="E51" s="353">
        <f>D51/'- 3 -'!$D51*100</f>
        <v>0.45358802300825252</v>
      </c>
    </row>
    <row r="52" spans="1:5" ht="50.1" customHeight="1"/>
    <row r="53" spans="1:5" ht="15" customHeight="1"/>
    <row r="54" spans="1:5" ht="14.45" customHeight="1"/>
    <row r="55" spans="1:5" ht="14.45" customHeight="1"/>
    <row r="56" spans="1:5" ht="14.45" customHeight="1"/>
    <row r="57" spans="1:5" ht="14.45" customHeight="1"/>
    <row r="58" spans="1:5" ht="14.45" customHeight="1"/>
    <row r="59" spans="1:5" ht="14.45" customHeight="1"/>
  </sheetData>
  <phoneticPr fontId="0" type="noConversion"/>
  <printOptions horizontalCentered="1"/>
  <pageMargins left="0.51181102362204722" right="0.51181102362204722" top="0.59055118110236227" bottom="0" header="0.31496062992125984" footer="0"/>
  <pageSetup scale="92" orientation="portrait" r:id="rId1"/>
  <headerFooter alignWithMargins="0">
    <oddHeader>&amp;C&amp;"Arial,Bold"&amp;10&amp;A</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F59"/>
  <sheetViews>
    <sheetView showGridLines="0" showZeros="0" workbookViewId="0"/>
  </sheetViews>
  <sheetFormatPr defaultColWidth="15.83203125" defaultRowHeight="12"/>
  <cols>
    <col min="1" max="1" width="40.83203125" style="1" customWidth="1"/>
    <col min="2" max="2" width="27.83203125" style="1" customWidth="1"/>
    <col min="3" max="3" width="18.83203125" style="1" customWidth="1"/>
    <col min="4" max="4" width="27.83203125" style="1" customWidth="1"/>
    <col min="5" max="5" width="18.83203125" style="1" customWidth="1"/>
    <col min="6" max="16384" width="15.83203125" style="1"/>
  </cols>
  <sheetData>
    <row r="1" spans="1:6" ht="6.95" customHeight="1">
      <c r="A1" s="3"/>
      <c r="B1" s="4"/>
      <c r="C1" s="4"/>
      <c r="D1" s="4"/>
      <c r="E1" s="4"/>
    </row>
    <row r="2" spans="1:6" ht="15.95" customHeight="1">
      <c r="A2" s="622" t="s">
        <v>427</v>
      </c>
      <c r="B2" s="622"/>
      <c r="C2" s="622"/>
      <c r="D2" s="622"/>
      <c r="E2" s="622"/>
    </row>
    <row r="3" spans="1:6" ht="15.95" customHeight="1">
      <c r="A3" s="623"/>
      <c r="B3" s="623"/>
      <c r="C3" s="623"/>
      <c r="D3" s="623"/>
      <c r="E3" s="623"/>
    </row>
    <row r="4" spans="1:6" ht="15.95" customHeight="1">
      <c r="B4" s="4"/>
      <c r="C4" s="30"/>
      <c r="D4" s="31"/>
      <c r="E4" s="30"/>
    </row>
    <row r="5" spans="1:6" ht="15.95" customHeight="1">
      <c r="B5" s="4"/>
      <c r="C5" s="4"/>
      <c r="D5" s="4"/>
      <c r="E5" s="4"/>
    </row>
    <row r="6" spans="1:6" ht="15.95" customHeight="1">
      <c r="B6" s="4"/>
      <c r="C6" s="4"/>
      <c r="D6" s="4"/>
      <c r="E6" s="4"/>
    </row>
    <row r="7" spans="1:6" ht="15.95" customHeight="1">
      <c r="B7" s="364" t="s">
        <v>590</v>
      </c>
      <c r="C7" s="381"/>
      <c r="D7" s="364" t="s">
        <v>604</v>
      </c>
      <c r="E7" s="388"/>
    </row>
    <row r="8" spans="1:6" ht="15.95" customHeight="1">
      <c r="A8" s="32"/>
      <c r="B8" s="33"/>
      <c r="C8" s="34"/>
      <c r="D8" s="33"/>
      <c r="E8" s="34"/>
    </row>
    <row r="9" spans="1:6" ht="15.95" customHeight="1">
      <c r="A9" s="35" t="s">
        <v>79</v>
      </c>
      <c r="B9" s="36" t="s">
        <v>428</v>
      </c>
      <c r="C9" s="36" t="s">
        <v>91</v>
      </c>
      <c r="D9" s="36" t="s">
        <v>428</v>
      </c>
      <c r="E9" s="36" t="s">
        <v>91</v>
      </c>
    </row>
    <row r="10" spans="1:6" ht="5.0999999999999996" customHeight="1">
      <c r="A10" s="37"/>
    </row>
    <row r="11" spans="1:6" ht="14.1" customHeight="1">
      <c r="A11" s="351" t="s">
        <v>224</v>
      </c>
      <c r="B11" s="352">
        <v>15107220</v>
      </c>
      <c r="C11" s="352">
        <v>10419</v>
      </c>
      <c r="D11" s="352">
        <f>'- 3 -'!F11</f>
        <v>15845690</v>
      </c>
      <c r="E11" s="352">
        <f>ROUND(D11/'- 7 -'!F11,0)</f>
        <v>10714</v>
      </c>
      <c r="F11" s="1" t="str">
        <f>IF(B11=D11,"Check","")</f>
        <v/>
      </c>
    </row>
    <row r="12" spans="1:6" ht="14.1" customHeight="1">
      <c r="A12" s="23" t="s">
        <v>225</v>
      </c>
      <c r="B12" s="38">
        <v>28746833</v>
      </c>
      <c r="C12" s="38">
        <v>11865</v>
      </c>
      <c r="D12" s="24">
        <f>'- 3 -'!F12</f>
        <v>29404787</v>
      </c>
      <c r="E12" s="24">
        <f>ROUND(D12/'- 7 -'!F12,0)</f>
        <v>12730</v>
      </c>
      <c r="F12" s="1" t="str">
        <f t="shared" ref="F12:F51" si="0">IF(B12=D12,"Check","")</f>
        <v/>
      </c>
    </row>
    <row r="13" spans="1:6" ht="14.1" customHeight="1">
      <c r="A13" s="351" t="s">
        <v>226</v>
      </c>
      <c r="B13" s="352">
        <v>72082400</v>
      </c>
      <c r="C13" s="352">
        <v>9550</v>
      </c>
      <c r="D13" s="352">
        <f>'- 3 -'!F13</f>
        <v>78130200</v>
      </c>
      <c r="E13" s="352">
        <f>ROUND(D13/'- 7 -'!F13,0)</f>
        <v>10110</v>
      </c>
      <c r="F13" s="1" t="str">
        <f t="shared" si="0"/>
        <v/>
      </c>
    </row>
    <row r="14" spans="1:6" ht="14.1" customHeight="1">
      <c r="A14" s="23" t="s">
        <v>524</v>
      </c>
      <c r="B14" s="24">
        <v>67669219</v>
      </c>
      <c r="C14" s="24">
        <v>13472</v>
      </c>
      <c r="D14" s="24">
        <f>'- 3 -'!F14</f>
        <v>70525772</v>
      </c>
      <c r="E14" s="24">
        <f>ROUND(D14/'- 7 -'!F14,0)</f>
        <v>13993</v>
      </c>
      <c r="F14" s="1" t="str">
        <f t="shared" si="0"/>
        <v/>
      </c>
    </row>
    <row r="15" spans="1:6" ht="14.1" customHeight="1">
      <c r="A15" s="351" t="s">
        <v>227</v>
      </c>
      <c r="B15" s="352">
        <v>17900489</v>
      </c>
      <c r="C15" s="352">
        <v>11746</v>
      </c>
      <c r="D15" s="352">
        <f>'- 3 -'!F15</f>
        <v>18660283</v>
      </c>
      <c r="E15" s="352">
        <f>ROUND(D15/'- 7 -'!F15,0)</f>
        <v>12490</v>
      </c>
      <c r="F15" s="1" t="str">
        <f t="shared" si="0"/>
        <v/>
      </c>
    </row>
    <row r="16" spans="1:6" ht="14.1" customHeight="1">
      <c r="A16" s="23" t="s">
        <v>228</v>
      </c>
      <c r="B16" s="38">
        <v>12180515</v>
      </c>
      <c r="C16" s="38">
        <v>11872</v>
      </c>
      <c r="D16" s="24">
        <f>'- 3 -'!F16</f>
        <v>12550992</v>
      </c>
      <c r="E16" s="24">
        <f>ROUND(D16/'- 7 -'!F16,0)</f>
        <v>12684</v>
      </c>
      <c r="F16" s="1" t="str">
        <f t="shared" si="0"/>
        <v/>
      </c>
    </row>
    <row r="17" spans="1:6" ht="14.1" customHeight="1">
      <c r="A17" s="351" t="s">
        <v>229</v>
      </c>
      <c r="B17" s="352">
        <v>15763624</v>
      </c>
      <c r="C17" s="352">
        <v>12098</v>
      </c>
      <c r="D17" s="352">
        <f>'- 3 -'!F17</f>
        <v>16074662</v>
      </c>
      <c r="E17" s="352">
        <f>ROUND(D17/'- 7 -'!F17,0)</f>
        <v>12505</v>
      </c>
      <c r="F17" s="1" t="str">
        <f t="shared" si="0"/>
        <v/>
      </c>
    </row>
    <row r="18" spans="1:6" ht="14.1" customHeight="1">
      <c r="A18" s="23" t="s">
        <v>230</v>
      </c>
      <c r="B18" s="24">
        <v>111053626</v>
      </c>
      <c r="C18" s="24">
        <v>17686</v>
      </c>
      <c r="D18" s="24">
        <f>'- 3 -'!F18</f>
        <v>110822941</v>
      </c>
      <c r="E18" s="24">
        <f>ROUND(D18/'- 7 -'!F18,0)</f>
        <v>17526</v>
      </c>
      <c r="F18" s="1" t="str">
        <f t="shared" si="0"/>
        <v/>
      </c>
    </row>
    <row r="19" spans="1:6" ht="14.1" customHeight="1">
      <c r="A19" s="351" t="s">
        <v>231</v>
      </c>
      <c r="B19" s="352">
        <v>37662790</v>
      </c>
      <c r="C19" s="352">
        <v>9128</v>
      </c>
      <c r="D19" s="352">
        <f>'- 3 -'!F19</f>
        <v>39006435</v>
      </c>
      <c r="E19" s="352">
        <f>ROUND(D19/'- 7 -'!F19,0)</f>
        <v>9259</v>
      </c>
      <c r="F19" s="1" t="str">
        <f t="shared" si="0"/>
        <v/>
      </c>
    </row>
    <row r="20" spans="1:6" ht="14.1" customHeight="1">
      <c r="A20" s="23" t="s">
        <v>232</v>
      </c>
      <c r="B20" s="38">
        <v>64201800</v>
      </c>
      <c r="C20" s="38">
        <v>8770</v>
      </c>
      <c r="D20" s="24">
        <f>'- 3 -'!F20</f>
        <v>67543300</v>
      </c>
      <c r="E20" s="24">
        <f>ROUND(D20/'- 7 -'!F20,0)</f>
        <v>9097</v>
      </c>
      <c r="F20" s="1" t="str">
        <f t="shared" si="0"/>
        <v/>
      </c>
    </row>
    <row r="21" spans="1:6" ht="14.1" customHeight="1">
      <c r="A21" s="351" t="s">
        <v>233</v>
      </c>
      <c r="B21" s="352">
        <v>31534070</v>
      </c>
      <c r="C21" s="352">
        <v>11119</v>
      </c>
      <c r="D21" s="352">
        <f>'- 3 -'!F21</f>
        <v>32353360</v>
      </c>
      <c r="E21" s="352">
        <f>ROUND(D21/'- 7 -'!F21,0)</f>
        <v>11596</v>
      </c>
      <c r="F21" s="1" t="str">
        <f t="shared" si="0"/>
        <v/>
      </c>
    </row>
    <row r="22" spans="1:6" ht="14.1" customHeight="1">
      <c r="A22" s="23" t="s">
        <v>234</v>
      </c>
      <c r="B22" s="24">
        <v>17673075</v>
      </c>
      <c r="C22" s="24">
        <v>10946</v>
      </c>
      <c r="D22" s="24">
        <f>'- 3 -'!F22</f>
        <v>18282875</v>
      </c>
      <c r="E22" s="24">
        <f>ROUND(D22/'- 7 -'!F22,0)</f>
        <v>11324</v>
      </c>
      <c r="F22" s="1" t="str">
        <f t="shared" si="0"/>
        <v/>
      </c>
    </row>
    <row r="23" spans="1:6" ht="14.1" customHeight="1">
      <c r="A23" s="351" t="s">
        <v>235</v>
      </c>
      <c r="B23" s="352">
        <v>14615124</v>
      </c>
      <c r="C23" s="352">
        <v>11772</v>
      </c>
      <c r="D23" s="352">
        <f>'- 3 -'!F23</f>
        <v>15051980</v>
      </c>
      <c r="E23" s="352">
        <f>ROUND(D23/'- 7 -'!F23,0)</f>
        <v>12591</v>
      </c>
      <c r="F23" s="1" t="str">
        <f t="shared" si="0"/>
        <v/>
      </c>
    </row>
    <row r="24" spans="1:6" ht="14.1" customHeight="1">
      <c r="A24" s="23" t="s">
        <v>236</v>
      </c>
      <c r="B24" s="38">
        <v>48063255</v>
      </c>
      <c r="C24" s="38">
        <v>11438</v>
      </c>
      <c r="D24" s="24">
        <f>'- 3 -'!F24</f>
        <v>50280635</v>
      </c>
      <c r="E24" s="24">
        <f>ROUND(D24/'- 7 -'!F24,0)</f>
        <v>11770</v>
      </c>
      <c r="F24" s="1" t="str">
        <f t="shared" si="0"/>
        <v/>
      </c>
    </row>
    <row r="25" spans="1:6" ht="14.1" customHeight="1">
      <c r="A25" s="351" t="s">
        <v>237</v>
      </c>
      <c r="B25" s="352">
        <v>145280114</v>
      </c>
      <c r="C25" s="352">
        <v>10710</v>
      </c>
      <c r="D25" s="352">
        <f>'- 3 -'!F25</f>
        <v>149161851</v>
      </c>
      <c r="E25" s="352">
        <f>ROUND(D25/'- 7 -'!F25,0)</f>
        <v>10974</v>
      </c>
      <c r="F25" s="1" t="str">
        <f t="shared" si="0"/>
        <v/>
      </c>
    </row>
    <row r="26" spans="1:6" ht="14.1" customHeight="1">
      <c r="A26" s="23" t="s">
        <v>238</v>
      </c>
      <c r="B26" s="24">
        <v>35617518</v>
      </c>
      <c r="C26" s="24">
        <v>11632</v>
      </c>
      <c r="D26" s="24">
        <f>'- 3 -'!F26</f>
        <v>36674890</v>
      </c>
      <c r="E26" s="24">
        <f>ROUND(D26/'- 7 -'!F26,0)</f>
        <v>12270</v>
      </c>
      <c r="F26" s="1" t="str">
        <f t="shared" si="0"/>
        <v/>
      </c>
    </row>
    <row r="27" spans="1:6" ht="14.1" customHeight="1">
      <c r="A27" s="351" t="s">
        <v>239</v>
      </c>
      <c r="B27" s="352">
        <v>37361910</v>
      </c>
      <c r="C27" s="352">
        <v>13353</v>
      </c>
      <c r="D27" s="352">
        <f>'- 3 -'!F27</f>
        <v>38261919</v>
      </c>
      <c r="E27" s="352">
        <f>ROUND(D27/'- 7 -'!F27,0)</f>
        <v>13675</v>
      </c>
      <c r="F27" s="1" t="str">
        <f t="shared" si="0"/>
        <v/>
      </c>
    </row>
    <row r="28" spans="1:6" ht="14.1" customHeight="1">
      <c r="A28" s="23" t="s">
        <v>240</v>
      </c>
      <c r="B28" s="38">
        <v>24223911</v>
      </c>
      <c r="C28" s="38">
        <v>11270</v>
      </c>
      <c r="D28" s="24">
        <f>'- 3 -'!F28</f>
        <v>25426681</v>
      </c>
      <c r="E28" s="24">
        <f>ROUND(D28/'- 7 -'!F28,0)</f>
        <v>13006</v>
      </c>
      <c r="F28" s="1" t="str">
        <f t="shared" si="0"/>
        <v/>
      </c>
    </row>
    <row r="29" spans="1:6" ht="14.1" customHeight="1">
      <c r="A29" s="351" t="s">
        <v>241</v>
      </c>
      <c r="B29" s="352">
        <v>133735791</v>
      </c>
      <c r="C29" s="352">
        <v>11132</v>
      </c>
      <c r="D29" s="352">
        <f>'- 3 -'!F29</f>
        <v>136693294</v>
      </c>
      <c r="E29" s="352">
        <f>ROUND(D29/'- 7 -'!F29,0)</f>
        <v>11256</v>
      </c>
      <c r="F29" s="1" t="str">
        <f t="shared" si="0"/>
        <v/>
      </c>
    </row>
    <row r="30" spans="1:6" ht="14.1" customHeight="1">
      <c r="A30" s="23" t="s">
        <v>242</v>
      </c>
      <c r="B30" s="24">
        <v>13048356</v>
      </c>
      <c r="C30" s="24">
        <v>11557</v>
      </c>
      <c r="D30" s="24">
        <f>'- 3 -'!F30</f>
        <v>13250159</v>
      </c>
      <c r="E30" s="24">
        <f>ROUND(D30/'- 7 -'!F30,0)</f>
        <v>12343</v>
      </c>
      <c r="F30" s="1" t="str">
        <f t="shared" si="0"/>
        <v/>
      </c>
    </row>
    <row r="31" spans="1:6" ht="14.1" customHeight="1">
      <c r="A31" s="351" t="s">
        <v>243</v>
      </c>
      <c r="B31" s="352">
        <v>31429537</v>
      </c>
      <c r="C31" s="352">
        <v>10097</v>
      </c>
      <c r="D31" s="352">
        <f>'- 3 -'!F31</f>
        <v>32057419</v>
      </c>
      <c r="E31" s="352">
        <f>ROUND(D31/'- 7 -'!F31,0)</f>
        <v>10113</v>
      </c>
      <c r="F31" s="1" t="str">
        <f t="shared" si="0"/>
        <v/>
      </c>
    </row>
    <row r="32" spans="1:6" ht="14.1" customHeight="1">
      <c r="A32" s="23" t="s">
        <v>244</v>
      </c>
      <c r="B32" s="38">
        <v>23289562</v>
      </c>
      <c r="C32" s="38">
        <v>11322</v>
      </c>
      <c r="D32" s="24">
        <f>'- 3 -'!F32</f>
        <v>24419431</v>
      </c>
      <c r="E32" s="24">
        <f>ROUND(D32/'- 7 -'!F32,0)</f>
        <v>11906</v>
      </c>
      <c r="F32" s="1" t="str">
        <f t="shared" si="0"/>
        <v/>
      </c>
    </row>
    <row r="33" spans="1:6" ht="14.1" customHeight="1">
      <c r="A33" s="351" t="s">
        <v>245</v>
      </c>
      <c r="B33" s="352">
        <v>25279000</v>
      </c>
      <c r="C33" s="352">
        <v>12580</v>
      </c>
      <c r="D33" s="352">
        <f>'- 3 -'!F33</f>
        <v>25486900</v>
      </c>
      <c r="E33" s="352">
        <f>ROUND(D33/'- 7 -'!F33,0)</f>
        <v>12715</v>
      </c>
      <c r="F33" s="1" t="str">
        <f t="shared" si="0"/>
        <v/>
      </c>
    </row>
    <row r="34" spans="1:6" ht="14.1" customHeight="1">
      <c r="A34" s="23" t="s">
        <v>246</v>
      </c>
      <c r="B34" s="24">
        <v>23072073</v>
      </c>
      <c r="C34" s="24">
        <v>11311</v>
      </c>
      <c r="D34" s="24">
        <f>'- 3 -'!F34</f>
        <v>23911366</v>
      </c>
      <c r="E34" s="24">
        <f>ROUND(D34/'- 7 -'!F34,0)</f>
        <v>11960</v>
      </c>
      <c r="F34" s="1" t="str">
        <f t="shared" si="0"/>
        <v/>
      </c>
    </row>
    <row r="35" spans="1:6" ht="14.1" customHeight="1">
      <c r="A35" s="351" t="s">
        <v>247</v>
      </c>
      <c r="B35" s="352">
        <v>160236329</v>
      </c>
      <c r="C35" s="352">
        <v>10238</v>
      </c>
      <c r="D35" s="352">
        <f>'- 3 -'!F35</f>
        <v>163013185</v>
      </c>
      <c r="E35" s="352">
        <f>ROUND(D35/'- 7 -'!F35,0)</f>
        <v>10454</v>
      </c>
      <c r="F35" s="1" t="str">
        <f t="shared" si="0"/>
        <v/>
      </c>
    </row>
    <row r="36" spans="1:6" ht="14.1" customHeight="1">
      <c r="A36" s="23" t="s">
        <v>248</v>
      </c>
      <c r="B36" s="38">
        <v>20913185</v>
      </c>
      <c r="C36" s="38">
        <v>12082</v>
      </c>
      <c r="D36" s="24">
        <f>'- 3 -'!F36</f>
        <v>21090760</v>
      </c>
      <c r="E36" s="24">
        <f>ROUND(D36/'- 7 -'!F36,0)</f>
        <v>12876</v>
      </c>
      <c r="F36" s="1" t="str">
        <f t="shared" si="0"/>
        <v/>
      </c>
    </row>
    <row r="37" spans="1:6" ht="14.1" customHeight="1">
      <c r="A37" s="351" t="s">
        <v>249</v>
      </c>
      <c r="B37" s="352">
        <v>37821253</v>
      </c>
      <c r="C37" s="352">
        <v>10477</v>
      </c>
      <c r="D37" s="352">
        <f>'- 3 -'!F37</f>
        <v>39780158</v>
      </c>
      <c r="E37" s="352">
        <f>ROUND(D37/'- 7 -'!F37,0)</f>
        <v>10817</v>
      </c>
      <c r="F37" s="1" t="str">
        <f t="shared" si="0"/>
        <v/>
      </c>
    </row>
    <row r="38" spans="1:6" ht="14.1" customHeight="1">
      <c r="A38" s="23" t="s">
        <v>250</v>
      </c>
      <c r="B38" s="24">
        <v>104951401</v>
      </c>
      <c r="C38" s="24">
        <v>10272</v>
      </c>
      <c r="D38" s="24">
        <f>'- 3 -'!F38</f>
        <v>110407900</v>
      </c>
      <c r="E38" s="24">
        <f>ROUND(D38/'- 7 -'!F38,0)</f>
        <v>10482</v>
      </c>
      <c r="F38" s="1" t="str">
        <f t="shared" si="0"/>
        <v/>
      </c>
    </row>
    <row r="39" spans="1:6" ht="14.1" customHeight="1">
      <c r="A39" s="351" t="s">
        <v>251</v>
      </c>
      <c r="B39" s="352">
        <v>18892935</v>
      </c>
      <c r="C39" s="352">
        <v>11749</v>
      </c>
      <c r="D39" s="352">
        <f>'- 3 -'!F39</f>
        <v>19738173</v>
      </c>
      <c r="E39" s="352">
        <f>ROUND(D39/'- 7 -'!F39,0)</f>
        <v>12645</v>
      </c>
      <c r="F39" s="1" t="str">
        <f t="shared" si="0"/>
        <v/>
      </c>
    </row>
    <row r="40" spans="1:6" ht="14.1" customHeight="1">
      <c r="A40" s="23" t="s">
        <v>252</v>
      </c>
      <c r="B40" s="38">
        <v>90504257</v>
      </c>
      <c r="C40" s="38">
        <v>11080</v>
      </c>
      <c r="D40" s="24">
        <f>'- 3 -'!F40</f>
        <v>93051190</v>
      </c>
      <c r="E40" s="24">
        <f>ROUND(D40/'- 7 -'!F40,0)</f>
        <v>11445</v>
      </c>
      <c r="F40" s="1" t="str">
        <f t="shared" si="0"/>
        <v/>
      </c>
    </row>
    <row r="41" spans="1:6" ht="14.1" customHeight="1">
      <c r="A41" s="351" t="s">
        <v>253</v>
      </c>
      <c r="B41" s="352">
        <v>54768407</v>
      </c>
      <c r="C41" s="352">
        <v>12188</v>
      </c>
      <c r="D41" s="352">
        <f>'- 3 -'!F41</f>
        <v>55596385</v>
      </c>
      <c r="E41" s="352">
        <f>ROUND(D41/'- 7 -'!F41,0)</f>
        <v>12345</v>
      </c>
      <c r="F41" s="1" t="str">
        <f t="shared" si="0"/>
        <v/>
      </c>
    </row>
    <row r="42" spans="1:6" ht="14.1" customHeight="1">
      <c r="A42" s="23" t="s">
        <v>254</v>
      </c>
      <c r="B42" s="24">
        <v>19561853</v>
      </c>
      <c r="C42" s="24">
        <v>12625</v>
      </c>
      <c r="D42" s="24">
        <f>'- 3 -'!F42</f>
        <v>19674762</v>
      </c>
      <c r="E42" s="24">
        <f>ROUND(D42/'- 7 -'!F42,0)</f>
        <v>13494</v>
      </c>
      <c r="F42" s="1" t="str">
        <f t="shared" si="0"/>
        <v/>
      </c>
    </row>
    <row r="43" spans="1:6" ht="14.1" customHeight="1">
      <c r="A43" s="351" t="s">
        <v>255</v>
      </c>
      <c r="B43" s="352">
        <v>11252540</v>
      </c>
      <c r="C43" s="352">
        <v>11550</v>
      </c>
      <c r="D43" s="352">
        <f>'- 3 -'!F43</f>
        <v>11562654</v>
      </c>
      <c r="E43" s="352">
        <f>ROUND(D43/'- 7 -'!F43,0)</f>
        <v>12182</v>
      </c>
      <c r="F43" s="1" t="str">
        <f t="shared" si="0"/>
        <v/>
      </c>
    </row>
    <row r="44" spans="1:6" ht="14.1" customHeight="1">
      <c r="A44" s="23" t="s">
        <v>256</v>
      </c>
      <c r="B44" s="38">
        <v>9905200</v>
      </c>
      <c r="C44" s="38">
        <v>12931</v>
      </c>
      <c r="D44" s="24">
        <f>'- 3 -'!F44</f>
        <v>10044196</v>
      </c>
      <c r="E44" s="24">
        <f>ROUND(D44/'- 7 -'!F44,0)</f>
        <v>13428</v>
      </c>
      <c r="F44" s="1" t="str">
        <f t="shared" si="0"/>
        <v/>
      </c>
    </row>
    <row r="45" spans="1:6" ht="14.1" customHeight="1">
      <c r="A45" s="351" t="s">
        <v>257</v>
      </c>
      <c r="B45" s="352">
        <v>14948112</v>
      </c>
      <c r="C45" s="352">
        <v>9302</v>
      </c>
      <c r="D45" s="352">
        <f>'- 3 -'!F45</f>
        <v>15957250</v>
      </c>
      <c r="E45" s="352">
        <f>ROUND(D45/'- 7 -'!F45,0)</f>
        <v>9604</v>
      </c>
      <c r="F45" s="1" t="str">
        <f t="shared" si="0"/>
        <v/>
      </c>
    </row>
    <row r="46" spans="1:6" ht="14.1" customHeight="1">
      <c r="A46" s="23" t="s">
        <v>258</v>
      </c>
      <c r="B46" s="24">
        <v>329364800</v>
      </c>
      <c r="C46" s="24">
        <v>11058</v>
      </c>
      <c r="D46" s="24">
        <f>'- 3 -'!F46</f>
        <v>343435100</v>
      </c>
      <c r="E46" s="24">
        <f>ROUND(D46/'- 7 -'!F46,0)</f>
        <v>11271</v>
      </c>
      <c r="F46" s="1" t="str">
        <f t="shared" si="0"/>
        <v/>
      </c>
    </row>
    <row r="47" spans="1:6" ht="5.0999999999999996" customHeight="1">
      <c r="A47"/>
      <c r="B47"/>
      <c r="C47"/>
      <c r="D47"/>
      <c r="E47"/>
    </row>
    <row r="48" spans="1:6" ht="14.1" customHeight="1">
      <c r="A48" s="354" t="s">
        <v>259</v>
      </c>
      <c r="B48" s="355">
        <v>1919712084</v>
      </c>
      <c r="C48" s="355">
        <v>11160</v>
      </c>
      <c r="D48" s="355">
        <f>SUM(D11:D46)</f>
        <v>1983229535</v>
      </c>
      <c r="E48" s="355">
        <f>ROUND(D48/'- 7 -'!F48,0)</f>
        <v>11473</v>
      </c>
      <c r="F48" s="1" t="str">
        <f t="shared" si="0"/>
        <v/>
      </c>
    </row>
    <row r="49" spans="1:6" ht="5.0999999999999996" customHeight="1">
      <c r="A49" s="25" t="s">
        <v>3</v>
      </c>
      <c r="B49" s="26"/>
      <c r="C49" s="26"/>
      <c r="D49" s="26"/>
      <c r="E49" s="26"/>
    </row>
    <row r="50" spans="1:6" ht="14.1" customHeight="1">
      <c r="A50" s="23" t="s">
        <v>260</v>
      </c>
      <c r="B50" s="24">
        <v>3105139</v>
      </c>
      <c r="C50" s="24">
        <v>16343</v>
      </c>
      <c r="D50" s="24">
        <f>'- 3 -'!F50</f>
        <v>3219525</v>
      </c>
      <c r="E50" s="24">
        <f>ROUND(D50/'- 7 -'!F50,0)</f>
        <v>17787</v>
      </c>
      <c r="F50" s="1" t="str">
        <f t="shared" si="0"/>
        <v/>
      </c>
    </row>
    <row r="51" spans="1:6" ht="14.1" customHeight="1">
      <c r="A51" s="351" t="s">
        <v>261</v>
      </c>
      <c r="B51" s="494">
        <v>8774574</v>
      </c>
      <c r="C51" s="494">
        <v>12892</v>
      </c>
      <c r="D51" s="352">
        <f>'- 3 -'!F51</f>
        <v>9889697</v>
      </c>
      <c r="E51" s="352">
        <f>ROUND(D51/'- 7 -'!F51,0)</f>
        <v>15925</v>
      </c>
      <c r="F51" s="1" t="str">
        <f t="shared" si="0"/>
        <v/>
      </c>
    </row>
    <row r="52" spans="1:6" ht="50.1" customHeight="1">
      <c r="A52" s="27"/>
      <c r="B52" s="27"/>
      <c r="C52" s="27"/>
      <c r="D52" s="27"/>
      <c r="E52" s="27"/>
    </row>
    <row r="53" spans="1:6" ht="15" customHeight="1">
      <c r="A53" s="2" t="s">
        <v>561</v>
      </c>
      <c r="B53" s="39"/>
      <c r="C53" s="39"/>
      <c r="D53" s="39"/>
      <c r="E53" s="39"/>
    </row>
    <row r="54" spans="1:6" ht="12" customHeight="1">
      <c r="A54" s="2" t="s">
        <v>409</v>
      </c>
      <c r="B54" s="39"/>
      <c r="C54" s="39"/>
      <c r="D54" s="39"/>
      <c r="E54" s="39"/>
    </row>
    <row r="55" spans="1:6" ht="12" customHeight="1">
      <c r="A55" s="2" t="s">
        <v>365</v>
      </c>
      <c r="B55" s="39"/>
      <c r="C55" s="39"/>
      <c r="D55" s="39"/>
      <c r="E55" s="39"/>
    </row>
    <row r="56" spans="1:6" ht="12" customHeight="1">
      <c r="A56" s="2"/>
      <c r="B56" s="39"/>
      <c r="C56" s="39"/>
      <c r="D56" s="39"/>
      <c r="E56" s="39"/>
    </row>
    <row r="57" spans="1:6" ht="12" customHeight="1"/>
    <row r="58" spans="1:6" ht="14.45" customHeight="1">
      <c r="A58" s="2"/>
    </row>
    <row r="59" spans="1:6" ht="14.45" customHeight="1">
      <c r="A59" s="2"/>
    </row>
  </sheetData>
  <mergeCells count="1">
    <mergeCell ref="A2:E3"/>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0.xml><?xml version="1.0" encoding="utf-8"?>
<worksheet xmlns="http://schemas.openxmlformats.org/spreadsheetml/2006/main" xmlns:r="http://schemas.openxmlformats.org/officeDocument/2006/relationships">
  <sheetPr codeName="Sheet31">
    <pageSetUpPr fitToPage="1"/>
  </sheetPr>
  <dimension ref="A1:F59"/>
  <sheetViews>
    <sheetView showGridLines="0" showZeros="0" workbookViewId="0"/>
  </sheetViews>
  <sheetFormatPr defaultColWidth="15.83203125" defaultRowHeight="12"/>
  <cols>
    <col min="1" max="1" width="36.83203125" style="1" customWidth="1"/>
    <col min="2" max="2" width="18.83203125" style="1" customWidth="1"/>
    <col min="3" max="3" width="11.6640625" style="1" customWidth="1"/>
    <col min="4" max="4" width="18.83203125" style="1" customWidth="1"/>
    <col min="5" max="5" width="11.6640625" style="1" customWidth="1"/>
    <col min="6" max="6" width="26.83203125" style="1" customWidth="1"/>
    <col min="7" max="16384" width="15.83203125" style="1"/>
  </cols>
  <sheetData>
    <row r="1" spans="1:6" ht="6.95" customHeight="1">
      <c r="A1" s="3"/>
      <c r="B1" s="4"/>
      <c r="C1" s="4"/>
      <c r="D1" s="4"/>
      <c r="E1" s="4"/>
      <c r="F1" s="4"/>
    </row>
    <row r="2" spans="1:6" ht="15.95" customHeight="1">
      <c r="A2" s="160"/>
      <c r="B2" s="5" t="s">
        <v>437</v>
      </c>
      <c r="C2" s="6"/>
      <c r="D2" s="6"/>
      <c r="E2" s="6"/>
      <c r="F2" s="183" t="s">
        <v>399</v>
      </c>
    </row>
    <row r="3" spans="1:6" ht="15.95" customHeight="1">
      <c r="A3" s="163"/>
      <c r="B3" s="7" t="str">
        <f>OPYEAR</f>
        <v>OPERATING FUND 2012/2013 BUDGET</v>
      </c>
      <c r="C3" s="8"/>
      <c r="D3" s="8"/>
      <c r="E3" s="8"/>
      <c r="F3" s="100"/>
    </row>
    <row r="4" spans="1:6" ht="15.95" customHeight="1">
      <c r="B4" s="4"/>
      <c r="C4" s="4"/>
      <c r="D4" s="4"/>
      <c r="E4" s="4"/>
      <c r="F4" s="4"/>
    </row>
    <row r="5" spans="1:6" ht="15.95" customHeight="1">
      <c r="B5" s="4"/>
      <c r="C5" s="4"/>
      <c r="D5" s="4"/>
      <c r="E5" s="4"/>
      <c r="F5" s="4"/>
    </row>
    <row r="6" spans="1:6" ht="15.95" customHeight="1">
      <c r="B6" s="184" t="s">
        <v>21</v>
      </c>
      <c r="C6" s="185"/>
      <c r="D6" s="186"/>
      <c r="E6" s="187"/>
    </row>
    <row r="7" spans="1:6" ht="15.95" customHeight="1">
      <c r="B7" s="432"/>
      <c r="C7" s="347"/>
      <c r="D7" s="345" t="s">
        <v>48</v>
      </c>
      <c r="E7" s="347"/>
    </row>
    <row r="8" spans="1:6" ht="15.95" customHeight="1">
      <c r="A8" s="101"/>
      <c r="B8" s="349" t="s">
        <v>66</v>
      </c>
      <c r="C8" s="350"/>
      <c r="D8" s="348" t="s">
        <v>67</v>
      </c>
      <c r="E8" s="350"/>
    </row>
    <row r="9" spans="1:6" ht="15.95" customHeight="1">
      <c r="A9" s="35" t="s">
        <v>79</v>
      </c>
      <c r="B9" s="188" t="s">
        <v>80</v>
      </c>
      <c r="C9" s="188" t="s">
        <v>81</v>
      </c>
      <c r="D9" s="192" t="s">
        <v>80</v>
      </c>
      <c r="E9" s="188" t="s">
        <v>81</v>
      </c>
    </row>
    <row r="10" spans="1:6" ht="5.0999999999999996" customHeight="1">
      <c r="A10" s="37"/>
    </row>
    <row r="11" spans="1:6" ht="14.1" customHeight="1">
      <c r="A11" s="351" t="s">
        <v>224</v>
      </c>
      <c r="B11" s="352">
        <v>13000</v>
      </c>
      <c r="C11" s="353">
        <f>B11/'- 3 -'!$D11*100</f>
        <v>8.194365302283832E-2</v>
      </c>
      <c r="D11" s="352">
        <v>253000</v>
      </c>
      <c r="E11" s="353">
        <f>D11/'- 3 -'!$D11*100</f>
        <v>1.5947495549829307</v>
      </c>
    </row>
    <row r="12" spans="1:6" ht="14.1" customHeight="1">
      <c r="A12" s="23" t="s">
        <v>225</v>
      </c>
      <c r="B12" s="24">
        <v>20000</v>
      </c>
      <c r="C12" s="344">
        <f>B12/'- 3 -'!$D12*100</f>
        <v>6.6663302392005949E-2</v>
      </c>
      <c r="D12" s="24">
        <v>476623</v>
      </c>
      <c r="E12" s="344">
        <f>D12/'- 3 -'!$D12*100</f>
        <v>1.5886631587992524</v>
      </c>
    </row>
    <row r="13" spans="1:6" ht="14.1" customHeight="1">
      <c r="A13" s="351" t="s">
        <v>226</v>
      </c>
      <c r="B13" s="352">
        <v>6500</v>
      </c>
      <c r="C13" s="353">
        <f>B13/'- 3 -'!$D13*100</f>
        <v>8.292318251520046E-3</v>
      </c>
      <c r="D13" s="352">
        <v>1348300</v>
      </c>
      <c r="E13" s="353">
        <f>D13/'- 3 -'!$D13*100</f>
        <v>1.7200819536191503</v>
      </c>
    </row>
    <row r="14" spans="1:6" ht="14.1" customHeight="1">
      <c r="A14" s="23" t="s">
        <v>524</v>
      </c>
      <c r="B14" s="24">
        <v>45000</v>
      </c>
      <c r="C14" s="344">
        <f>B14/'- 3 -'!$D14*100</f>
        <v>6.2971685033711339E-2</v>
      </c>
      <c r="D14" s="24">
        <v>1024414</v>
      </c>
      <c r="E14" s="344">
        <f>D14/'- 3 -'!$D14*100</f>
        <v>1.4335350167138747</v>
      </c>
    </row>
    <row r="15" spans="1:6" ht="14.1" customHeight="1">
      <c r="A15" s="351" t="s">
        <v>227</v>
      </c>
      <c r="B15" s="352">
        <v>5000</v>
      </c>
      <c r="C15" s="353">
        <f>B15/'- 3 -'!$D15*100</f>
        <v>2.6730416214499401E-2</v>
      </c>
      <c r="D15" s="352">
        <v>300000</v>
      </c>
      <c r="E15" s="353">
        <f>D15/'- 3 -'!$D15*100</f>
        <v>1.6038249728699641</v>
      </c>
    </row>
    <row r="16" spans="1:6" ht="14.1" customHeight="1">
      <c r="A16" s="23" t="s">
        <v>228</v>
      </c>
      <c r="B16" s="24">
        <v>13500</v>
      </c>
      <c r="C16" s="344">
        <f>B16/'- 3 -'!$D16*100</f>
        <v>0.1066620988952019</v>
      </c>
      <c r="D16" s="24">
        <v>182500</v>
      </c>
      <c r="E16" s="344">
        <f>D16/'- 3 -'!$D16*100</f>
        <v>1.4419135591388403</v>
      </c>
    </row>
    <row r="17" spans="1:5" ht="14.1" customHeight="1">
      <c r="A17" s="351" t="s">
        <v>229</v>
      </c>
      <c r="B17" s="352">
        <v>61000</v>
      </c>
      <c r="C17" s="353">
        <f>B17/'- 3 -'!$D17*100</f>
        <v>0.37422711365007505</v>
      </c>
      <c r="D17" s="352">
        <v>262000</v>
      </c>
      <c r="E17" s="353">
        <f>D17/'- 3 -'!$D17*100</f>
        <v>1.6073361274806501</v>
      </c>
    </row>
    <row r="18" spans="1:5" ht="14.1" customHeight="1">
      <c r="A18" s="23" t="s">
        <v>230</v>
      </c>
      <c r="B18" s="24">
        <v>350000</v>
      </c>
      <c r="C18" s="344">
        <f>B18/'- 3 -'!$D18*100</f>
        <v>0.30390945387722951</v>
      </c>
      <c r="D18" s="24">
        <v>1625000</v>
      </c>
      <c r="E18" s="344">
        <f>D18/'- 3 -'!$D18*100</f>
        <v>1.4110081787157083</v>
      </c>
    </row>
    <row r="19" spans="1:5" ht="14.1" customHeight="1">
      <c r="A19" s="351" t="s">
        <v>231</v>
      </c>
      <c r="B19" s="352">
        <v>30000</v>
      </c>
      <c r="C19" s="353">
        <f>B19/'- 3 -'!$D19*100</f>
        <v>7.6743742539069279E-2</v>
      </c>
      <c r="D19" s="352">
        <v>643000</v>
      </c>
      <c r="E19" s="353">
        <f>D19/'- 3 -'!$D19*100</f>
        <v>1.644874215087385</v>
      </c>
    </row>
    <row r="20" spans="1:5" ht="14.1" customHeight="1">
      <c r="A20" s="23" t="s">
        <v>232</v>
      </c>
      <c r="B20" s="24">
        <v>92000</v>
      </c>
      <c r="C20" s="344">
        <f>B20/'- 3 -'!$D20*100</f>
        <v>0.13595590299841875</v>
      </c>
      <c r="D20" s="24">
        <v>1130300</v>
      </c>
      <c r="E20" s="344">
        <f>D20/'- 3 -'!$D20*100</f>
        <v>1.6703364908599212</v>
      </c>
    </row>
    <row r="21" spans="1:5" ht="14.1" customHeight="1">
      <c r="A21" s="351" t="s">
        <v>233</v>
      </c>
      <c r="B21" s="352">
        <v>33000</v>
      </c>
      <c r="C21" s="353">
        <f>B21/'- 3 -'!$D21*100</f>
        <v>0.10137046728099218</v>
      </c>
      <c r="D21" s="352">
        <v>550000</v>
      </c>
      <c r="E21" s="353">
        <f>D21/'- 3 -'!$D21*100</f>
        <v>1.6895077880165361</v>
      </c>
    </row>
    <row r="22" spans="1:5" ht="14.1" customHeight="1">
      <c r="A22" s="23" t="s">
        <v>234</v>
      </c>
      <c r="B22" s="24">
        <v>30000</v>
      </c>
      <c r="C22" s="344">
        <f>B22/'- 3 -'!$D22*100</f>
        <v>0.1576981536437341</v>
      </c>
      <c r="D22" s="24">
        <v>306000</v>
      </c>
      <c r="E22" s="344">
        <f>D22/'- 3 -'!$D22*100</f>
        <v>1.6085211671660877</v>
      </c>
    </row>
    <row r="23" spans="1:5" ht="14.1" customHeight="1">
      <c r="A23" s="351" t="s">
        <v>235</v>
      </c>
      <c r="B23" s="352">
        <v>5000</v>
      </c>
      <c r="C23" s="353">
        <f>B23/'- 3 -'!$D23*100</f>
        <v>3.211926783486585E-2</v>
      </c>
      <c r="D23" s="352">
        <v>235000</v>
      </c>
      <c r="E23" s="353">
        <f>D23/'- 3 -'!$D23*100</f>
        <v>1.509605588238695</v>
      </c>
    </row>
    <row r="24" spans="1:5" ht="14.1" customHeight="1">
      <c r="A24" s="23" t="s">
        <v>236</v>
      </c>
      <c r="B24" s="24">
        <v>30000</v>
      </c>
      <c r="C24" s="344">
        <f>B24/'- 3 -'!$D24*100</f>
        <v>5.8815335628242385E-2</v>
      </c>
      <c r="D24" s="24">
        <v>800000</v>
      </c>
      <c r="E24" s="344">
        <f>D24/'- 3 -'!$D24*100</f>
        <v>1.5684089500864633</v>
      </c>
    </row>
    <row r="25" spans="1:5" ht="14.1" customHeight="1">
      <c r="A25" s="351" t="s">
        <v>237</v>
      </c>
      <c r="B25" s="352">
        <v>103000</v>
      </c>
      <c r="C25" s="353">
        <f>B25/'- 3 -'!$D25*100</f>
        <v>6.8598922029879134E-2</v>
      </c>
      <c r="D25" s="352">
        <v>2480000</v>
      </c>
      <c r="E25" s="353">
        <f>D25/'- 3 -'!$D25*100</f>
        <v>1.6517022003310706</v>
      </c>
    </row>
    <row r="26" spans="1:5" ht="14.1" customHeight="1">
      <c r="A26" s="23" t="s">
        <v>238</v>
      </c>
      <c r="B26" s="24">
        <v>90000</v>
      </c>
      <c r="C26" s="344">
        <f>B26/'- 3 -'!$D26*100</f>
        <v>0.24470546421047995</v>
      </c>
      <c r="D26" s="24">
        <v>568499</v>
      </c>
      <c r="E26" s="344">
        <f>D26/'- 3 -'!$D26*100</f>
        <v>1.5457201299799295</v>
      </c>
    </row>
    <row r="27" spans="1:5" ht="14.1" customHeight="1">
      <c r="A27" s="351" t="s">
        <v>239</v>
      </c>
      <c r="B27" s="352">
        <v>13000</v>
      </c>
      <c r="C27" s="353">
        <f>B27/'- 3 -'!$D27*100</f>
        <v>3.3953712053559945E-2</v>
      </c>
      <c r="D27" s="352">
        <v>578000</v>
      </c>
      <c r="E27" s="353">
        <f>D27/'- 3 -'!$D27*100</f>
        <v>1.5096342743813576</v>
      </c>
    </row>
    <row r="28" spans="1:5" ht="14.1" customHeight="1">
      <c r="A28" s="23" t="s">
        <v>240</v>
      </c>
      <c r="B28" s="24">
        <v>55000</v>
      </c>
      <c r="C28" s="344">
        <f>B28/'- 3 -'!$D28*100</f>
        <v>0.21454850276547169</v>
      </c>
      <c r="D28" s="24">
        <v>390000</v>
      </c>
      <c r="E28" s="344">
        <f>D28/'- 3 -'!$D28*100</f>
        <v>1.5213439287006174</v>
      </c>
    </row>
    <row r="29" spans="1:5" ht="14.1" customHeight="1">
      <c r="A29" s="351" t="s">
        <v>241</v>
      </c>
      <c r="B29" s="352">
        <v>100000</v>
      </c>
      <c r="C29" s="353">
        <f>B29/'- 3 -'!$D29*100</f>
        <v>7.2930767602673988E-2</v>
      </c>
      <c r="D29" s="352">
        <v>2301000</v>
      </c>
      <c r="E29" s="353">
        <f>D29/'- 3 -'!$D29*100</f>
        <v>1.6781369625375286</v>
      </c>
    </row>
    <row r="30" spans="1:5" ht="14.1" customHeight="1">
      <c r="A30" s="23" t="s">
        <v>242</v>
      </c>
      <c r="B30" s="24">
        <v>5000</v>
      </c>
      <c r="C30" s="344">
        <f>B30/'- 3 -'!$D30*100</f>
        <v>3.770281854206519E-2</v>
      </c>
      <c r="D30" s="24">
        <v>211754</v>
      </c>
      <c r="E30" s="344">
        <f>D30/'- 3 -'!$D30*100</f>
        <v>1.5967445275112944</v>
      </c>
    </row>
    <row r="31" spans="1:5" ht="14.1" customHeight="1">
      <c r="A31" s="351" t="s">
        <v>243</v>
      </c>
      <c r="B31" s="352">
        <v>25000</v>
      </c>
      <c r="C31" s="353">
        <f>B31/'- 3 -'!$D31*100</f>
        <v>7.7876772654462204E-2</v>
      </c>
      <c r="D31" s="352">
        <v>534545</v>
      </c>
      <c r="E31" s="353">
        <f>D31/'- 3 -'!$D31*100</f>
        <v>1.6651455775431798</v>
      </c>
    </row>
    <row r="32" spans="1:5" ht="14.1" customHeight="1">
      <c r="A32" s="23" t="s">
        <v>244</v>
      </c>
      <c r="B32" s="24">
        <v>22500</v>
      </c>
      <c r="C32" s="344">
        <f>B32/'- 3 -'!$D32*100</f>
        <v>9.1112184570123197E-2</v>
      </c>
      <c r="D32" s="24">
        <v>400000</v>
      </c>
      <c r="E32" s="344">
        <f>D32/'- 3 -'!$D32*100</f>
        <v>1.6197721701355237</v>
      </c>
    </row>
    <row r="33" spans="1:5" ht="14.1" customHeight="1">
      <c r="A33" s="351" t="s">
        <v>245</v>
      </c>
      <c r="B33" s="352">
        <v>50000</v>
      </c>
      <c r="C33" s="353">
        <f>B33/'- 3 -'!$D33*100</f>
        <v>0.19594856742002359</v>
      </c>
      <c r="D33" s="352">
        <v>375000</v>
      </c>
      <c r="E33" s="353">
        <f>D33/'- 3 -'!$D33*100</f>
        <v>1.4696142556501768</v>
      </c>
    </row>
    <row r="34" spans="1:5" ht="14.1" customHeight="1">
      <c r="A34" s="23" t="s">
        <v>246</v>
      </c>
      <c r="B34" s="24">
        <v>30000</v>
      </c>
      <c r="C34" s="344">
        <f>B34/'- 3 -'!$D34*100</f>
        <v>0.12533161701431847</v>
      </c>
      <c r="D34" s="24">
        <v>385019</v>
      </c>
      <c r="E34" s="344">
        <f>D34/'- 3 -'!$D34*100</f>
        <v>1.6085017950411962</v>
      </c>
    </row>
    <row r="35" spans="1:5" ht="14.1" customHeight="1">
      <c r="A35" s="351" t="s">
        <v>247</v>
      </c>
      <c r="B35" s="352">
        <v>86000</v>
      </c>
      <c r="C35" s="353">
        <f>B35/'- 3 -'!$D35*100</f>
        <v>5.2564321064926735E-2</v>
      </c>
      <c r="D35" s="352">
        <v>2800000</v>
      </c>
      <c r="E35" s="353">
        <f>D35/'- 3 -'!$D35*100</f>
        <v>1.7113964997883127</v>
      </c>
    </row>
    <row r="36" spans="1:5" ht="14.1" customHeight="1">
      <c r="A36" s="23" t="s">
        <v>248</v>
      </c>
      <c r="B36" s="24">
        <v>65000</v>
      </c>
      <c r="C36" s="344">
        <f>B36/'- 3 -'!$D36*100</f>
        <v>0.30783569719575887</v>
      </c>
      <c r="D36" s="24">
        <v>345000</v>
      </c>
      <c r="E36" s="344">
        <f>D36/'- 3 -'!$D36*100</f>
        <v>1.6338971620390279</v>
      </c>
    </row>
    <row r="37" spans="1:5" ht="14.1" customHeight="1">
      <c r="A37" s="351" t="s">
        <v>249</v>
      </c>
      <c r="B37" s="352">
        <v>35000</v>
      </c>
      <c r="C37" s="353">
        <f>B37/'- 3 -'!$D37*100</f>
        <v>8.7840496115090927E-2</v>
      </c>
      <c r="D37" s="352">
        <v>642000</v>
      </c>
      <c r="E37" s="353">
        <f>D37/'- 3 -'!$D37*100</f>
        <v>1.6112456715968109</v>
      </c>
    </row>
    <row r="38" spans="1:5" ht="14.1" customHeight="1">
      <c r="A38" s="23" t="s">
        <v>250</v>
      </c>
      <c r="B38" s="24">
        <v>250000</v>
      </c>
      <c r="C38" s="344">
        <f>B38/'- 3 -'!$D38*100</f>
        <v>0.22333791920527438</v>
      </c>
      <c r="D38" s="24">
        <v>1829370</v>
      </c>
      <c r="E38" s="344">
        <f>D38/'- 3 -'!$D38*100</f>
        <v>1.6342707570262109</v>
      </c>
    </row>
    <row r="39" spans="1:5" ht="14.1" customHeight="1">
      <c r="A39" s="351" t="s">
        <v>251</v>
      </c>
      <c r="B39" s="352">
        <v>115000</v>
      </c>
      <c r="C39" s="353">
        <f>B39/'- 3 -'!$D39*100</f>
        <v>0.5777678546846523</v>
      </c>
      <c r="D39" s="352">
        <v>270000</v>
      </c>
      <c r="E39" s="353">
        <f>D39/'- 3 -'!$D39*100</f>
        <v>1.3564984414335315</v>
      </c>
    </row>
    <row r="40" spans="1:5" ht="14.1" customHeight="1">
      <c r="A40" s="23" t="s">
        <v>252</v>
      </c>
      <c r="B40" s="24">
        <v>13000</v>
      </c>
      <c r="C40" s="344">
        <f>B40/'- 3 -'!$D40*100</f>
        <v>1.3845883662987314E-2</v>
      </c>
      <c r="D40" s="24">
        <v>1556122</v>
      </c>
      <c r="E40" s="344">
        <f>D40/'- 3 -'!$D40*100</f>
        <v>1.6573757059550114</v>
      </c>
    </row>
    <row r="41" spans="1:5" ht="14.1" customHeight="1">
      <c r="A41" s="351" t="s">
        <v>253</v>
      </c>
      <c r="B41" s="352">
        <v>95000</v>
      </c>
      <c r="C41" s="353">
        <f>B41/'- 3 -'!$D41*100</f>
        <v>0.16718414265094322</v>
      </c>
      <c r="D41" s="352">
        <v>890000</v>
      </c>
      <c r="E41" s="353">
        <f>D41/'- 3 -'!$D41*100</f>
        <v>1.5662514416772573</v>
      </c>
    </row>
    <row r="42" spans="1:5" ht="14.1" customHeight="1">
      <c r="A42" s="23" t="s">
        <v>254</v>
      </c>
      <c r="B42" s="24">
        <v>2000</v>
      </c>
      <c r="C42" s="344">
        <f>B42/'- 3 -'!$D42*100</f>
        <v>1.0053763505723205E-2</v>
      </c>
      <c r="D42" s="24">
        <v>317000</v>
      </c>
      <c r="E42" s="344">
        <f>D42/'- 3 -'!$D42*100</f>
        <v>1.5935215156571279</v>
      </c>
    </row>
    <row r="43" spans="1:5" ht="14.1" customHeight="1">
      <c r="A43" s="351" t="s">
        <v>255</v>
      </c>
      <c r="B43" s="352">
        <v>26000</v>
      </c>
      <c r="C43" s="353">
        <f>B43/'- 3 -'!$D43*100</f>
        <v>0.22003419839214242</v>
      </c>
      <c r="D43" s="352">
        <v>180000</v>
      </c>
      <c r="E43" s="353">
        <f>D43/'- 3 -'!$D43*100</f>
        <v>1.5233136811763703</v>
      </c>
    </row>
    <row r="44" spans="1:5" ht="14.1" customHeight="1">
      <c r="A44" s="23" t="s">
        <v>256</v>
      </c>
      <c r="B44" s="24">
        <v>5000</v>
      </c>
      <c r="C44" s="344">
        <f>B44/'- 3 -'!$D44*100</f>
        <v>4.972740431502589E-2</v>
      </c>
      <c r="D44" s="24">
        <v>157972</v>
      </c>
      <c r="E44" s="344">
        <f>D44/'- 3 -'!$D44*100</f>
        <v>1.5711075028906543</v>
      </c>
    </row>
    <row r="45" spans="1:5" ht="14.1" customHeight="1">
      <c r="A45" s="351" t="s">
        <v>257</v>
      </c>
      <c r="B45" s="352">
        <v>23000</v>
      </c>
      <c r="C45" s="353">
        <f>B45/'- 3 -'!$D45*100</f>
        <v>0.14048843798479965</v>
      </c>
      <c r="D45" s="352">
        <v>269680</v>
      </c>
      <c r="E45" s="353">
        <f>D45/'- 3 -'!$D45*100</f>
        <v>1.6472574763365551</v>
      </c>
    </row>
    <row r="46" spans="1:5" ht="14.1" customHeight="1">
      <c r="A46" s="23" t="s">
        <v>258</v>
      </c>
      <c r="B46" s="24">
        <v>520500</v>
      </c>
      <c r="C46" s="344">
        <f>B46/'- 3 -'!$D46*100</f>
        <v>0.14761145941365494</v>
      </c>
      <c r="D46" s="24">
        <v>6028300</v>
      </c>
      <c r="E46" s="344">
        <f>D46/'- 3 -'!$D46*100</f>
        <v>1.709598771918033</v>
      </c>
    </row>
    <row r="47" spans="1:5" ht="5.0999999999999996" customHeight="1">
      <c r="A47"/>
      <c r="B47"/>
      <c r="C47"/>
      <c r="D47"/>
      <c r="E47"/>
    </row>
    <row r="48" spans="1:5" ht="14.1" customHeight="1">
      <c r="A48" s="354" t="s">
        <v>259</v>
      </c>
      <c r="B48" s="355">
        <f>SUM(B11:B46)</f>
        <v>2463000</v>
      </c>
      <c r="C48" s="356">
        <f>B48/'- 3 -'!$D48*100</f>
        <v>0.12261010845722811</v>
      </c>
      <c r="D48" s="355">
        <f>SUM(D11:D46)</f>
        <v>32645398</v>
      </c>
      <c r="E48" s="356">
        <f>D48/'- 3 -'!$D48*100</f>
        <v>1.6251140030082736</v>
      </c>
    </row>
    <row r="49" spans="1:5" ht="5.0999999999999996" customHeight="1">
      <c r="A49" s="25" t="s">
        <v>3</v>
      </c>
      <c r="B49" s="26"/>
      <c r="C49" s="343"/>
      <c r="D49" s="26"/>
      <c r="E49" s="343"/>
    </row>
    <row r="50" spans="1:5" ht="14.1" customHeight="1">
      <c r="A50" s="23" t="s">
        <v>260</v>
      </c>
      <c r="B50" s="24">
        <v>3000</v>
      </c>
      <c r="C50" s="344">
        <f>B50/'- 3 -'!$D50*100</f>
        <v>9.2907301739689224E-2</v>
      </c>
      <c r="D50" s="24">
        <v>87545</v>
      </c>
      <c r="E50" s="344">
        <f>D50/'- 3 -'!$D50*100</f>
        <v>2.7111899102670312</v>
      </c>
    </row>
    <row r="51" spans="1:5" ht="14.1" customHeight="1">
      <c r="A51" s="351" t="s">
        <v>261</v>
      </c>
      <c r="B51" s="352">
        <v>18000</v>
      </c>
      <c r="C51" s="353">
        <f>B51/'- 3 -'!$D51*100</f>
        <v>0.10205730517685681</v>
      </c>
      <c r="D51" s="352">
        <v>122496</v>
      </c>
      <c r="E51" s="353">
        <f>D51/'- 3 -'!$D51*100</f>
        <v>0.69453398083023621</v>
      </c>
    </row>
    <row r="52" spans="1:5" ht="50.1" customHeight="1"/>
    <row r="53" spans="1:5" ht="15" customHeight="1">
      <c r="C53" s="114"/>
    </row>
    <row r="54" spans="1:5" ht="14.45" customHeight="1">
      <c r="C54" s="114"/>
    </row>
    <row r="55" spans="1:5" ht="14.45" customHeight="1"/>
    <row r="56" spans="1:5" ht="14.45" customHeight="1"/>
    <row r="57" spans="1:5" ht="14.45" customHeight="1"/>
    <row r="58" spans="1:5" ht="14.45" customHeight="1"/>
    <row r="59" spans="1:5" ht="14.45" customHeight="1"/>
  </sheetData>
  <phoneticPr fontId="0" type="noConversion"/>
  <printOptions horizontalCentered="1"/>
  <pageMargins left="0.51181102362204722" right="0.51181102362204722" top="0.59055118110236227" bottom="0" header="0.31496062992125984" footer="0"/>
  <pageSetup scale="92" orientation="portrait" r:id="rId1"/>
  <headerFooter alignWithMargins="0">
    <oddHeader>&amp;C&amp;"Arial,Bold"&amp;10&amp;A</oddHeader>
  </headerFooter>
</worksheet>
</file>

<file path=xl/worksheets/sheet31.xml><?xml version="1.0" encoding="utf-8"?>
<worksheet xmlns="http://schemas.openxmlformats.org/spreadsheetml/2006/main" xmlns:r="http://schemas.openxmlformats.org/officeDocument/2006/relationships">
  <sheetPr codeName="Sheet32">
    <pageSetUpPr fitToPage="1"/>
  </sheetPr>
  <dimension ref="A1:H59"/>
  <sheetViews>
    <sheetView showGridLines="0" showZeros="0" workbookViewId="0"/>
  </sheetViews>
  <sheetFormatPr defaultColWidth="15.83203125" defaultRowHeight="12"/>
  <cols>
    <col min="1" max="1" width="30.83203125" style="1" customWidth="1"/>
    <col min="2" max="2" width="16.83203125" style="1" customWidth="1"/>
    <col min="3" max="3" width="19.83203125" style="1" customWidth="1"/>
    <col min="4" max="4" width="10.83203125" style="1" customWidth="1"/>
    <col min="5" max="5" width="16.83203125" style="1" customWidth="1"/>
    <col min="6" max="6" width="11.83203125" style="1" customWidth="1"/>
    <col min="7" max="7" width="14.83203125" style="1" customWidth="1"/>
    <col min="8" max="8" width="11.83203125" style="1" customWidth="1"/>
    <col min="9" max="16384" width="15.83203125" style="1"/>
  </cols>
  <sheetData>
    <row r="1" spans="1:8" ht="6.95" customHeight="1">
      <c r="A1" s="3"/>
      <c r="B1" s="4"/>
      <c r="C1" s="4"/>
      <c r="D1" s="4"/>
      <c r="E1" s="4"/>
      <c r="F1" s="4"/>
      <c r="G1" s="4"/>
      <c r="H1" s="4"/>
    </row>
    <row r="2" spans="1:8" ht="15.95" customHeight="1">
      <c r="A2" s="160"/>
      <c r="B2" s="5" t="s">
        <v>438</v>
      </c>
      <c r="C2" s="6"/>
      <c r="D2" s="6"/>
      <c r="E2" s="6"/>
      <c r="F2" s="105"/>
      <c r="G2" s="105"/>
      <c r="H2" s="105"/>
    </row>
    <row r="3" spans="1:8" ht="15.95" customHeight="1">
      <c r="A3" s="163"/>
      <c r="B3" s="7" t="str">
        <f>OPYEAR</f>
        <v>OPERATING FUND 2012/2013 BUDGET</v>
      </c>
      <c r="C3" s="8"/>
      <c r="D3" s="8"/>
      <c r="E3" s="8"/>
      <c r="F3" s="107"/>
      <c r="G3" s="107"/>
      <c r="H3" s="107"/>
    </row>
    <row r="4" spans="1:8" ht="15.95" customHeight="1">
      <c r="B4" s="4"/>
      <c r="C4" s="4"/>
      <c r="D4" s="4"/>
      <c r="E4" s="4"/>
      <c r="F4" s="4"/>
      <c r="G4" s="4"/>
      <c r="H4" s="4"/>
    </row>
    <row r="5" spans="1:8" ht="15.95" customHeight="1">
      <c r="B5" s="4"/>
      <c r="C5" s="4"/>
      <c r="D5" s="4"/>
      <c r="E5" s="4"/>
      <c r="F5" s="4"/>
      <c r="G5" s="4"/>
      <c r="H5" s="4"/>
    </row>
    <row r="6" spans="1:8" ht="15.95" customHeight="1">
      <c r="B6" s="345" t="s">
        <v>25</v>
      </c>
      <c r="C6" s="346"/>
      <c r="D6" s="360"/>
      <c r="E6" s="360"/>
      <c r="F6" s="360"/>
      <c r="G6" s="360"/>
      <c r="H6" s="359"/>
    </row>
    <row r="7" spans="1:8" ht="15.95" customHeight="1">
      <c r="B7" s="348" t="s">
        <v>55</v>
      </c>
      <c r="C7" s="349"/>
      <c r="D7" s="371"/>
      <c r="E7" s="371"/>
      <c r="F7" s="371"/>
      <c r="G7" s="371"/>
      <c r="H7" s="361"/>
    </row>
    <row r="8" spans="1:8" ht="15.95" customHeight="1">
      <c r="A8" s="101"/>
      <c r="B8" s="30"/>
      <c r="C8" s="110" t="s">
        <v>188</v>
      </c>
      <c r="D8" s="111" t="s">
        <v>59</v>
      </c>
      <c r="E8" s="181" t="s">
        <v>72</v>
      </c>
      <c r="F8" s="181" t="s">
        <v>73</v>
      </c>
      <c r="G8" s="181" t="s">
        <v>74</v>
      </c>
      <c r="H8" s="181" t="s">
        <v>73</v>
      </c>
    </row>
    <row r="9" spans="1:8" ht="15.95" customHeight="1">
      <c r="A9" s="35" t="s">
        <v>79</v>
      </c>
      <c r="B9" s="112" t="s">
        <v>80</v>
      </c>
      <c r="C9" s="112" t="s">
        <v>86</v>
      </c>
      <c r="D9" s="112" t="s">
        <v>82</v>
      </c>
      <c r="E9" s="112" t="s">
        <v>87</v>
      </c>
      <c r="F9" s="112" t="s">
        <v>88</v>
      </c>
      <c r="G9" s="112" t="s">
        <v>89</v>
      </c>
      <c r="H9" s="112" t="s">
        <v>88</v>
      </c>
    </row>
    <row r="10" spans="1:8" ht="5.0999999999999996" customHeight="1">
      <c r="A10" s="37"/>
    </row>
    <row r="11" spans="1:8" ht="14.1" customHeight="1">
      <c r="A11" s="351" t="s">
        <v>224</v>
      </c>
      <c r="B11" s="408">
        <f>'- 30 -'!$D11</f>
        <v>965690</v>
      </c>
      <c r="C11" s="408">
        <v>665</v>
      </c>
      <c r="D11" s="408">
        <f ca="1">IF(AND(CELL("type",C11)="v",C11&gt;0),B11/C11,"")</f>
        <v>1452.1654135338347</v>
      </c>
      <c r="E11" s="408">
        <v>620000</v>
      </c>
      <c r="F11" s="409">
        <f ca="1">IF(AND(CELL("type",E11)="v",E11&gt;0),B11/E11,"")</f>
        <v>1.5575645161290324</v>
      </c>
      <c r="G11" s="408">
        <v>410000</v>
      </c>
      <c r="H11" s="409">
        <f ca="1">IF(AND(CELL("type",G11)="v",G11&gt;0),B11/G11,"")</f>
        <v>2.3553414634146344</v>
      </c>
    </row>
    <row r="12" spans="1:8" ht="14.1" customHeight="1">
      <c r="A12" s="23" t="s">
        <v>225</v>
      </c>
      <c r="B12" s="170">
        <f>'- 30 -'!$D12</f>
        <v>2016886</v>
      </c>
      <c r="C12" s="170">
        <v>1620</v>
      </c>
      <c r="D12" s="170">
        <f t="shared" ref="D12:D46" ca="1" si="0">IF(AND(CELL("type",C12)="v",C12&gt;0),B12/C12,"")</f>
        <v>1244.9913580246914</v>
      </c>
      <c r="E12" s="170">
        <v>1165439</v>
      </c>
      <c r="F12" s="177">
        <f t="shared" ref="F12:F46" ca="1" si="1">IF(AND(CELL("type",E12)="v",E12&gt;0),B12/E12,"")</f>
        <v>1.730580493702373</v>
      </c>
      <c r="G12" s="170">
        <v>748352</v>
      </c>
      <c r="H12" s="177">
        <f t="shared" ref="H12:H46" ca="1" si="2">IF(AND(CELL("type",G12)="v",G12&gt;0),B12/G12,"")</f>
        <v>2.6951033738133927</v>
      </c>
    </row>
    <row r="13" spans="1:8" ht="14.1" customHeight="1">
      <c r="A13" s="351" t="s">
        <v>226</v>
      </c>
      <c r="B13" s="408">
        <f>'- 30 -'!$D13</f>
        <v>1639700</v>
      </c>
      <c r="C13" s="408">
        <v>2950</v>
      </c>
      <c r="D13" s="408">
        <f t="shared" ca="1" si="0"/>
        <v>555.83050847457628</v>
      </c>
      <c r="E13" s="408">
        <v>815000</v>
      </c>
      <c r="F13" s="409">
        <f t="shared" ca="1" si="1"/>
        <v>2.0119018404907973</v>
      </c>
      <c r="G13" s="408">
        <v>510000</v>
      </c>
      <c r="H13" s="409">
        <f t="shared" ca="1" si="2"/>
        <v>3.2150980392156865</v>
      </c>
    </row>
    <row r="14" spans="1:8" ht="14.1" customHeight="1">
      <c r="A14" s="23" t="s">
        <v>524</v>
      </c>
      <c r="B14" s="170">
        <f>'- 30 -'!$D14</f>
        <v>7105761</v>
      </c>
      <c r="C14" s="170">
        <v>4185</v>
      </c>
      <c r="D14" s="170">
        <f t="shared" ca="1" si="0"/>
        <v>1697.9118279569893</v>
      </c>
      <c r="E14" s="170">
        <v>2877978</v>
      </c>
      <c r="F14" s="177">
        <f t="shared" ca="1" si="1"/>
        <v>2.469011576877933</v>
      </c>
      <c r="G14" s="170">
        <v>1554402</v>
      </c>
      <c r="H14" s="177">
        <f t="shared" ca="1" si="2"/>
        <v>4.5713792185033215</v>
      </c>
    </row>
    <row r="15" spans="1:8" ht="14.1" customHeight="1">
      <c r="A15" s="351" t="s">
        <v>227</v>
      </c>
      <c r="B15" s="408">
        <f>'- 30 -'!$D15</f>
        <v>1127250</v>
      </c>
      <c r="C15" s="408">
        <v>1035</v>
      </c>
      <c r="D15" s="408">
        <f t="shared" ca="1" si="0"/>
        <v>1089.1304347826087</v>
      </c>
      <c r="E15" s="408">
        <v>695000</v>
      </c>
      <c r="F15" s="409">
        <f t="shared" ca="1" si="1"/>
        <v>1.6219424460431655</v>
      </c>
      <c r="G15" s="408">
        <v>480000</v>
      </c>
      <c r="H15" s="409">
        <f t="shared" ca="1" si="2"/>
        <v>2.3484375000000002</v>
      </c>
    </row>
    <row r="16" spans="1:8" ht="14.1" customHeight="1">
      <c r="A16" s="23" t="s">
        <v>228</v>
      </c>
      <c r="B16" s="170">
        <f>'- 30 -'!$D16</f>
        <v>292241</v>
      </c>
      <c r="C16" s="170">
        <v>218</v>
      </c>
      <c r="D16" s="170">
        <f t="shared" ca="1" si="0"/>
        <v>1340.5550458715597</v>
      </c>
      <c r="E16" s="170">
        <v>64505</v>
      </c>
      <c r="F16" s="177">
        <f t="shared" ca="1" si="1"/>
        <v>4.5305170141849471</v>
      </c>
      <c r="G16" s="170">
        <v>38725</v>
      </c>
      <c r="H16" s="177">
        <f t="shared" ca="1" si="2"/>
        <v>7.5465719819238215</v>
      </c>
    </row>
    <row r="17" spans="1:8" ht="14.1" customHeight="1">
      <c r="A17" s="351" t="s">
        <v>229</v>
      </c>
      <c r="B17" s="408">
        <f>'- 30 -'!$D17</f>
        <v>1237330</v>
      </c>
      <c r="C17" s="408">
        <v>520</v>
      </c>
      <c r="D17" s="408">
        <f t="shared" ca="1" si="0"/>
        <v>2379.4807692307691</v>
      </c>
      <c r="E17" s="408">
        <v>901659</v>
      </c>
      <c r="F17" s="409">
        <f t="shared" ca="1" si="1"/>
        <v>1.3722815388079086</v>
      </c>
      <c r="G17" s="408">
        <v>610323</v>
      </c>
      <c r="H17" s="409">
        <f t="shared" ca="1" si="2"/>
        <v>2.0273363448534627</v>
      </c>
    </row>
    <row r="18" spans="1:8" ht="14.1" customHeight="1">
      <c r="A18" s="23" t="s">
        <v>230</v>
      </c>
      <c r="B18" s="170">
        <f>'- 30 -'!$D18</f>
        <v>6246674</v>
      </c>
      <c r="C18" s="170">
        <v>5022</v>
      </c>
      <c r="D18" s="170">
        <f t="shared" ca="1" si="0"/>
        <v>1243.8618080446038</v>
      </c>
      <c r="E18" s="170">
        <v>1489500</v>
      </c>
      <c r="F18" s="177">
        <f t="shared" ca="1" si="1"/>
        <v>4.1938059751594494</v>
      </c>
      <c r="G18" s="170">
        <v>981250</v>
      </c>
      <c r="H18" s="177">
        <f t="shared" ca="1" si="2"/>
        <v>6.3660371974522292</v>
      </c>
    </row>
    <row r="19" spans="1:8" ht="14.1" customHeight="1">
      <c r="A19" s="351" t="s">
        <v>231</v>
      </c>
      <c r="B19" s="408">
        <f>'- 30 -'!$D19</f>
        <v>2019400</v>
      </c>
      <c r="C19" s="408">
        <v>2533</v>
      </c>
      <c r="D19" s="408">
        <f t="shared" ca="1" si="0"/>
        <v>797.23647848401106</v>
      </c>
      <c r="E19" s="408">
        <v>700000</v>
      </c>
      <c r="F19" s="409">
        <f t="shared" ca="1" si="1"/>
        <v>2.8848571428571428</v>
      </c>
      <c r="G19" s="408">
        <v>450000</v>
      </c>
      <c r="H19" s="409">
        <f t="shared" ca="1" si="2"/>
        <v>4.4875555555555557</v>
      </c>
    </row>
    <row r="20" spans="1:8" ht="14.1" customHeight="1">
      <c r="A20" s="23" t="s">
        <v>232</v>
      </c>
      <c r="B20" s="170">
        <f>'- 30 -'!$D20</f>
        <v>2991200</v>
      </c>
      <c r="C20" s="170">
        <v>4976</v>
      </c>
      <c r="D20" s="170">
        <f t="shared" ca="1" si="0"/>
        <v>601.12540192926042</v>
      </c>
      <c r="E20" s="170">
        <v>1306464</v>
      </c>
      <c r="F20" s="177">
        <f t="shared" ca="1" si="1"/>
        <v>2.2895387856075637</v>
      </c>
      <c r="G20" s="170">
        <v>789012</v>
      </c>
      <c r="H20" s="177">
        <f t="shared" ca="1" si="2"/>
        <v>3.791070351274759</v>
      </c>
    </row>
    <row r="21" spans="1:8" ht="14.1" customHeight="1">
      <c r="A21" s="351" t="s">
        <v>233</v>
      </c>
      <c r="B21" s="408">
        <f>'- 30 -'!$D21</f>
        <v>1754000</v>
      </c>
      <c r="C21" s="408">
        <v>1571</v>
      </c>
      <c r="D21" s="408">
        <f t="shared" ca="1" si="0"/>
        <v>1116.4863144493952</v>
      </c>
      <c r="E21" s="408">
        <v>993000</v>
      </c>
      <c r="F21" s="409">
        <f t="shared" ca="1" si="1"/>
        <v>1.7663645518630413</v>
      </c>
      <c r="G21" s="408">
        <v>634609</v>
      </c>
      <c r="H21" s="409">
        <f t="shared" ca="1" si="2"/>
        <v>2.7639065944542232</v>
      </c>
    </row>
    <row r="22" spans="1:8" ht="14.1" customHeight="1">
      <c r="A22" s="23" t="s">
        <v>234</v>
      </c>
      <c r="B22" s="170">
        <f>'- 30 -'!$D22</f>
        <v>455265</v>
      </c>
      <c r="C22" s="170">
        <v>518</v>
      </c>
      <c r="D22" s="170">
        <f t="shared" ca="1" si="0"/>
        <v>878.8899613899614</v>
      </c>
      <c r="E22" s="170">
        <v>195444</v>
      </c>
      <c r="F22" s="177">
        <f t="shared" ca="1" si="1"/>
        <v>2.3293884693313687</v>
      </c>
      <c r="G22" s="170">
        <v>122973</v>
      </c>
      <c r="H22" s="177">
        <f t="shared" ca="1" si="2"/>
        <v>3.7021541313946962</v>
      </c>
    </row>
    <row r="23" spans="1:8" ht="14.1" customHeight="1">
      <c r="A23" s="351" t="s">
        <v>235</v>
      </c>
      <c r="B23" s="408">
        <f>'- 30 -'!$D23</f>
        <v>1484890</v>
      </c>
      <c r="C23" s="408">
        <v>810</v>
      </c>
      <c r="D23" s="408">
        <f t="shared" ca="1" si="0"/>
        <v>1833.1975308641975</v>
      </c>
      <c r="E23" s="408">
        <v>1010000</v>
      </c>
      <c r="F23" s="409">
        <f t="shared" ca="1" si="1"/>
        <v>1.4701881188118813</v>
      </c>
      <c r="G23" s="408">
        <v>610000</v>
      </c>
      <c r="H23" s="409">
        <f t="shared" ca="1" si="2"/>
        <v>2.4342459016393443</v>
      </c>
    </row>
    <row r="24" spans="1:8" ht="14.1" customHeight="1">
      <c r="A24" s="23" t="s">
        <v>236</v>
      </c>
      <c r="B24" s="170">
        <f>'- 30 -'!$D24</f>
        <v>2187485</v>
      </c>
      <c r="C24" s="170">
        <v>2990</v>
      </c>
      <c r="D24" s="170">
        <f t="shared" ca="1" si="0"/>
        <v>731.60033444816054</v>
      </c>
      <c r="E24" s="170">
        <v>1043906</v>
      </c>
      <c r="F24" s="177">
        <f t="shared" ca="1" si="1"/>
        <v>2.0954808191542149</v>
      </c>
      <c r="G24" s="170">
        <v>658180</v>
      </c>
      <c r="H24" s="177">
        <f t="shared" ca="1" si="2"/>
        <v>3.3235361147406484</v>
      </c>
    </row>
    <row r="25" spans="1:8" ht="14.1" customHeight="1">
      <c r="A25" s="351" t="s">
        <v>237</v>
      </c>
      <c r="B25" s="408">
        <f>'- 30 -'!$D25</f>
        <v>2994668</v>
      </c>
      <c r="C25" s="408">
        <v>2350</v>
      </c>
      <c r="D25" s="408">
        <f t="shared" ca="1" si="0"/>
        <v>1274.3268085106383</v>
      </c>
      <c r="E25" s="408">
        <v>875000</v>
      </c>
      <c r="F25" s="409">
        <f t="shared" ca="1" si="1"/>
        <v>3.4224777142857143</v>
      </c>
      <c r="G25" s="408">
        <v>420000</v>
      </c>
      <c r="H25" s="409">
        <f t="shared" ca="1" si="2"/>
        <v>7.1301619047619047</v>
      </c>
    </row>
    <row r="26" spans="1:8" ht="14.1" customHeight="1">
      <c r="A26" s="23" t="s">
        <v>238</v>
      </c>
      <c r="B26" s="170">
        <f>'- 30 -'!$D26</f>
        <v>2481137</v>
      </c>
      <c r="C26" s="170">
        <v>1327</v>
      </c>
      <c r="D26" s="170">
        <f t="shared" ca="1" si="0"/>
        <v>1869.733986435569</v>
      </c>
      <c r="E26" s="170">
        <v>1324274</v>
      </c>
      <c r="F26" s="177">
        <f t="shared" ca="1" si="1"/>
        <v>1.8735828083916168</v>
      </c>
      <c r="G26" s="170">
        <v>1128215</v>
      </c>
      <c r="H26" s="177">
        <f t="shared" ca="1" si="2"/>
        <v>2.1991703708956183</v>
      </c>
    </row>
    <row r="27" spans="1:8" ht="14.1" customHeight="1">
      <c r="A27" s="351" t="s">
        <v>239</v>
      </c>
      <c r="B27" s="408">
        <f>'- 30 -'!$D27</f>
        <v>3900</v>
      </c>
      <c r="C27" s="412" t="s">
        <v>179</v>
      </c>
      <c r="D27" s="412" t="str">
        <f ca="1">IF(AND(CELL("type",C27)="v",C27&gt;0),B27/C27,"")</f>
        <v/>
      </c>
      <c r="E27" s="412" t="s">
        <v>179</v>
      </c>
      <c r="F27" s="413" t="str">
        <f ca="1">IF(AND(CELL("type",E27)="v",E27&gt;0),B27/E27,"")</f>
        <v/>
      </c>
      <c r="G27" s="412" t="s">
        <v>179</v>
      </c>
      <c r="H27" s="409" t="str">
        <f t="shared" ca="1" si="2"/>
        <v/>
      </c>
    </row>
    <row r="28" spans="1:8" ht="14.1" customHeight="1">
      <c r="A28" s="23" t="s">
        <v>240</v>
      </c>
      <c r="B28" s="170">
        <f>'- 30 -'!$D28</f>
        <v>1964506</v>
      </c>
      <c r="C28" s="170">
        <v>825</v>
      </c>
      <c r="D28" s="170">
        <f t="shared" ca="1" si="0"/>
        <v>2381.2193939393937</v>
      </c>
      <c r="E28" s="170">
        <v>1255500</v>
      </c>
      <c r="F28" s="177">
        <f t="shared" ca="1" si="1"/>
        <v>1.5647200318598169</v>
      </c>
      <c r="G28" s="170">
        <v>837000</v>
      </c>
      <c r="H28" s="177">
        <f t="shared" ca="1" si="2"/>
        <v>2.3470800477897251</v>
      </c>
    </row>
    <row r="29" spans="1:8" ht="14.1" customHeight="1">
      <c r="A29" s="351" t="s">
        <v>241</v>
      </c>
      <c r="B29" s="408">
        <f>'- 30 -'!$D29</f>
        <v>1968813</v>
      </c>
      <c r="C29" s="408">
        <v>1925</v>
      </c>
      <c r="D29" s="408">
        <f t="shared" ca="1" si="0"/>
        <v>1022.76</v>
      </c>
      <c r="E29" s="408">
        <v>445000</v>
      </c>
      <c r="F29" s="409">
        <f t="shared" ca="1" si="1"/>
        <v>4.4242988764044942</v>
      </c>
      <c r="G29" s="408">
        <v>300000</v>
      </c>
      <c r="H29" s="409">
        <f t="shared" ca="1" si="2"/>
        <v>6.56271</v>
      </c>
    </row>
    <row r="30" spans="1:8" ht="14.1" customHeight="1">
      <c r="A30" s="23" t="s">
        <v>242</v>
      </c>
      <c r="B30" s="170">
        <f>'- 30 -'!$D30</f>
        <v>1090500</v>
      </c>
      <c r="C30" s="170">
        <v>709</v>
      </c>
      <c r="D30" s="170">
        <f t="shared" ca="1" si="0"/>
        <v>1538.0818053596615</v>
      </c>
      <c r="E30" s="170">
        <v>730000</v>
      </c>
      <c r="F30" s="177">
        <f t="shared" ca="1" si="1"/>
        <v>1.4938356164383562</v>
      </c>
      <c r="G30" s="170">
        <v>460000</v>
      </c>
      <c r="H30" s="177">
        <f t="shared" ca="1" si="2"/>
        <v>2.3706521739130433</v>
      </c>
    </row>
    <row r="31" spans="1:8" ht="14.1" customHeight="1">
      <c r="A31" s="351" t="s">
        <v>243</v>
      </c>
      <c r="B31" s="408">
        <f>'- 30 -'!$D31</f>
        <v>854788</v>
      </c>
      <c r="C31" s="408">
        <v>1155</v>
      </c>
      <c r="D31" s="408">
        <f t="shared" ca="1" si="0"/>
        <v>740.0761904761905</v>
      </c>
      <c r="E31" s="408">
        <v>568000</v>
      </c>
      <c r="F31" s="409">
        <f t="shared" ca="1" si="1"/>
        <v>1.5049084507042254</v>
      </c>
      <c r="G31" s="408">
        <v>390000</v>
      </c>
      <c r="H31" s="409">
        <f t="shared" ca="1" si="2"/>
        <v>2.1917641025641026</v>
      </c>
    </row>
    <row r="32" spans="1:8" ht="14.1" customHeight="1">
      <c r="A32" s="23" t="s">
        <v>244</v>
      </c>
      <c r="B32" s="170">
        <f>'- 30 -'!$D32</f>
        <v>1722700</v>
      </c>
      <c r="C32" s="170">
        <v>1350</v>
      </c>
      <c r="D32" s="170">
        <f t="shared" ca="1" si="0"/>
        <v>1276.0740740740741</v>
      </c>
      <c r="E32" s="170">
        <v>1040000</v>
      </c>
      <c r="F32" s="177">
        <f t="shared" ca="1" si="1"/>
        <v>1.6564423076923076</v>
      </c>
      <c r="G32" s="170">
        <v>708250</v>
      </c>
      <c r="H32" s="177">
        <f t="shared" ca="1" si="2"/>
        <v>2.4323332156724322</v>
      </c>
    </row>
    <row r="33" spans="1:8" ht="14.1" customHeight="1">
      <c r="A33" s="351" t="s">
        <v>245</v>
      </c>
      <c r="B33" s="408">
        <f>'- 30 -'!$D33</f>
        <v>2108900</v>
      </c>
      <c r="C33" s="408">
        <v>1102</v>
      </c>
      <c r="D33" s="408">
        <f t="shared" ca="1" si="0"/>
        <v>1913.7023593466424</v>
      </c>
      <c r="E33" s="408">
        <v>1426000</v>
      </c>
      <c r="F33" s="409">
        <f t="shared" ca="1" si="1"/>
        <v>1.4788920056100983</v>
      </c>
      <c r="G33" s="408">
        <v>930000</v>
      </c>
      <c r="H33" s="409">
        <f t="shared" ca="1" si="2"/>
        <v>2.2676344086021505</v>
      </c>
    </row>
    <row r="34" spans="1:8" ht="14.1" customHeight="1">
      <c r="A34" s="23" t="s">
        <v>246</v>
      </c>
      <c r="B34" s="170">
        <f>'- 30 -'!$D34</f>
        <v>2271796</v>
      </c>
      <c r="C34" s="170">
        <v>1411</v>
      </c>
      <c r="D34" s="170">
        <f t="shared" ca="1" si="0"/>
        <v>1610.0609496810773</v>
      </c>
      <c r="E34" s="170">
        <v>1272948</v>
      </c>
      <c r="F34" s="177">
        <f t="shared" ca="1" si="1"/>
        <v>1.7846730581296328</v>
      </c>
      <c r="G34" s="170">
        <v>819749</v>
      </c>
      <c r="H34" s="177">
        <f t="shared" ca="1" si="2"/>
        <v>2.7713312245577608</v>
      </c>
    </row>
    <row r="35" spans="1:8" ht="14.1" customHeight="1">
      <c r="A35" s="351" t="s">
        <v>247</v>
      </c>
      <c r="B35" s="408">
        <f>'- 30 -'!$D35</f>
        <v>2875000</v>
      </c>
      <c r="C35" s="408">
        <v>3350</v>
      </c>
      <c r="D35" s="408">
        <f t="shared" ca="1" si="0"/>
        <v>858.20895522388059</v>
      </c>
      <c r="E35" s="408">
        <v>916000</v>
      </c>
      <c r="F35" s="409">
        <f t="shared" ca="1" si="1"/>
        <v>3.1386462882096069</v>
      </c>
      <c r="G35" s="408">
        <v>454000</v>
      </c>
      <c r="H35" s="409">
        <f t="shared" ca="1" si="2"/>
        <v>6.3325991189427313</v>
      </c>
    </row>
    <row r="36" spans="1:8" ht="14.1" customHeight="1">
      <c r="A36" s="23" t="s">
        <v>248</v>
      </c>
      <c r="B36" s="170">
        <f>'- 30 -'!$D36</f>
        <v>1432550</v>
      </c>
      <c r="C36" s="170">
        <v>897</v>
      </c>
      <c r="D36" s="170">
        <f t="shared" ca="1" si="0"/>
        <v>1597.0457079152732</v>
      </c>
      <c r="E36" s="170">
        <v>883375</v>
      </c>
      <c r="F36" s="177">
        <f t="shared" ca="1" si="1"/>
        <v>1.6216782227253432</v>
      </c>
      <c r="G36" s="170">
        <v>592000</v>
      </c>
      <c r="H36" s="177">
        <f t="shared" ca="1" si="2"/>
        <v>2.4198479729729732</v>
      </c>
    </row>
    <row r="37" spans="1:8" ht="14.1" customHeight="1">
      <c r="A37" s="351" t="s">
        <v>249</v>
      </c>
      <c r="B37" s="408">
        <f>'- 30 -'!$D37</f>
        <v>2101689</v>
      </c>
      <c r="C37" s="408">
        <v>2261</v>
      </c>
      <c r="D37" s="408">
        <f t="shared" ca="1" si="0"/>
        <v>929.53958425475457</v>
      </c>
      <c r="E37" s="408">
        <v>1155602</v>
      </c>
      <c r="F37" s="409">
        <f t="shared" ca="1" si="1"/>
        <v>1.8186962293246292</v>
      </c>
      <c r="G37" s="408">
        <v>701714</v>
      </c>
      <c r="H37" s="409">
        <f t="shared" ca="1" si="2"/>
        <v>2.9950791918074886</v>
      </c>
    </row>
    <row r="38" spans="1:8" ht="14.1" customHeight="1">
      <c r="A38" s="23" t="s">
        <v>250</v>
      </c>
      <c r="B38" s="170">
        <f>'- 30 -'!$D38</f>
        <v>2610560</v>
      </c>
      <c r="C38" s="170">
        <v>2774</v>
      </c>
      <c r="D38" s="170">
        <f t="shared" ca="1" si="0"/>
        <v>941.08147080028834</v>
      </c>
      <c r="E38" s="170">
        <v>608384</v>
      </c>
      <c r="F38" s="177">
        <f t="shared" ca="1" si="1"/>
        <v>4.2909741216074062</v>
      </c>
      <c r="G38" s="170">
        <v>436884</v>
      </c>
      <c r="H38" s="177">
        <f t="shared" ca="1" si="2"/>
        <v>5.9754076596991421</v>
      </c>
    </row>
    <row r="39" spans="1:8" ht="14.1" customHeight="1">
      <c r="A39" s="351" t="s">
        <v>251</v>
      </c>
      <c r="B39" s="408">
        <f>'- 30 -'!$D39</f>
        <v>1875344</v>
      </c>
      <c r="C39" s="408">
        <v>879</v>
      </c>
      <c r="D39" s="408">
        <f t="shared" ca="1" si="0"/>
        <v>2133.4971558589305</v>
      </c>
      <c r="E39" s="408">
        <v>1318400</v>
      </c>
      <c r="F39" s="409">
        <f t="shared" ca="1" si="1"/>
        <v>1.4224393203883494</v>
      </c>
      <c r="G39" s="408">
        <v>781200</v>
      </c>
      <c r="H39" s="409">
        <f t="shared" ca="1" si="2"/>
        <v>2.4005939580133129</v>
      </c>
    </row>
    <row r="40" spans="1:8" ht="14.1" customHeight="1">
      <c r="A40" s="23" t="s">
        <v>252</v>
      </c>
      <c r="B40" s="170">
        <f>'- 30 -'!$D40</f>
        <v>1567504</v>
      </c>
      <c r="C40" s="170">
        <v>1900</v>
      </c>
      <c r="D40" s="170">
        <f t="shared" ca="1" si="0"/>
        <v>825.00210526315789</v>
      </c>
      <c r="E40" s="170">
        <v>428000</v>
      </c>
      <c r="F40" s="177">
        <f t="shared" ca="1" si="1"/>
        <v>3.6623925233644861</v>
      </c>
      <c r="G40" s="170">
        <v>258102</v>
      </c>
      <c r="H40" s="177">
        <f t="shared" ca="1" si="2"/>
        <v>6.0731958683001297</v>
      </c>
    </row>
    <row r="41" spans="1:8" ht="14.1" customHeight="1">
      <c r="A41" s="351" t="s">
        <v>253</v>
      </c>
      <c r="B41" s="408">
        <f>'- 30 -'!$D41</f>
        <v>3993931</v>
      </c>
      <c r="C41" s="408">
        <v>3624</v>
      </c>
      <c r="D41" s="408">
        <f t="shared" ca="1" si="0"/>
        <v>1102.0780905077263</v>
      </c>
      <c r="E41" s="408">
        <v>2488684</v>
      </c>
      <c r="F41" s="409">
        <f t="shared" ca="1" si="1"/>
        <v>1.6048365320788014</v>
      </c>
      <c r="G41" s="408">
        <v>1529344</v>
      </c>
      <c r="H41" s="409">
        <f t="shared" ca="1" si="2"/>
        <v>2.61153213403917</v>
      </c>
    </row>
    <row r="42" spans="1:8" ht="14.1" customHeight="1">
      <c r="A42" s="23" t="s">
        <v>254</v>
      </c>
      <c r="B42" s="170">
        <f>'- 30 -'!$D42</f>
        <v>1470901</v>
      </c>
      <c r="C42" s="170">
        <v>1330</v>
      </c>
      <c r="D42" s="170">
        <f t="shared" ca="1" si="0"/>
        <v>1105.9406015037594</v>
      </c>
      <c r="E42" s="170">
        <v>732243</v>
      </c>
      <c r="F42" s="177">
        <f t="shared" ca="1" si="1"/>
        <v>2.0087607529194544</v>
      </c>
      <c r="G42" s="170">
        <v>633774</v>
      </c>
      <c r="H42" s="177">
        <f t="shared" ca="1" si="2"/>
        <v>2.3208604328987934</v>
      </c>
    </row>
    <row r="43" spans="1:8" ht="14.1" customHeight="1">
      <c r="A43" s="351" t="s">
        <v>255</v>
      </c>
      <c r="B43" s="408">
        <f>'- 30 -'!$D43</f>
        <v>893598</v>
      </c>
      <c r="C43" s="408">
        <v>560</v>
      </c>
      <c r="D43" s="408">
        <f t="shared" ca="1" si="0"/>
        <v>1595.7107142857142</v>
      </c>
      <c r="E43" s="408">
        <v>647280</v>
      </c>
      <c r="F43" s="409">
        <f t="shared" ca="1" si="1"/>
        <v>1.3805431961438634</v>
      </c>
      <c r="G43" s="408">
        <v>397854</v>
      </c>
      <c r="H43" s="409">
        <f t="shared" ca="1" si="2"/>
        <v>2.2460450315945044</v>
      </c>
    </row>
    <row r="44" spans="1:8" ht="14.1" customHeight="1">
      <c r="A44" s="23" t="s">
        <v>256</v>
      </c>
      <c r="B44" s="170">
        <f>'- 30 -'!$D44</f>
        <v>924485</v>
      </c>
      <c r="C44" s="170">
        <v>466</v>
      </c>
      <c r="D44" s="170">
        <f t="shared" ca="1" si="0"/>
        <v>1983.87339055794</v>
      </c>
      <c r="E44" s="170">
        <v>738000</v>
      </c>
      <c r="F44" s="177">
        <f t="shared" ca="1" si="1"/>
        <v>1.2526897018970189</v>
      </c>
      <c r="G44" s="170">
        <v>534000</v>
      </c>
      <c r="H44" s="177">
        <f t="shared" ca="1" si="2"/>
        <v>1.73124531835206</v>
      </c>
    </row>
    <row r="45" spans="1:8" ht="14.1" customHeight="1">
      <c r="A45" s="351" t="s">
        <v>257</v>
      </c>
      <c r="B45" s="408">
        <f>'- 30 -'!$D45</f>
        <v>598153</v>
      </c>
      <c r="C45" s="408">
        <v>975</v>
      </c>
      <c r="D45" s="408">
        <f t="shared" ca="1" si="0"/>
        <v>613.49025641025639</v>
      </c>
      <c r="E45" s="408">
        <v>285000</v>
      </c>
      <c r="F45" s="409">
        <f t="shared" ca="1" si="1"/>
        <v>2.0987824561403507</v>
      </c>
      <c r="G45" s="408">
        <v>175000</v>
      </c>
      <c r="H45" s="409">
        <f t="shared" ca="1" si="2"/>
        <v>3.4180171428571429</v>
      </c>
    </row>
    <row r="46" spans="1:8" ht="14.1" customHeight="1">
      <c r="A46" s="23" t="s">
        <v>258</v>
      </c>
      <c r="B46" s="170">
        <f>'- 30 -'!$D46</f>
        <v>4854000</v>
      </c>
      <c r="C46" s="170">
        <v>2253</v>
      </c>
      <c r="D46" s="170">
        <f t="shared" ca="1" si="0"/>
        <v>2154.4607190412785</v>
      </c>
      <c r="E46" s="170">
        <v>1020645</v>
      </c>
      <c r="F46" s="177">
        <f t="shared" ca="1" si="1"/>
        <v>4.7558161750657675</v>
      </c>
      <c r="G46" s="170">
        <v>656565</v>
      </c>
      <c r="H46" s="177">
        <f t="shared" ca="1" si="2"/>
        <v>7.3930227776381621</v>
      </c>
    </row>
    <row r="47" spans="1:8" ht="5.0999999999999996" customHeight="1">
      <c r="A47"/>
      <c r="B47"/>
      <c r="C47"/>
      <c r="D47"/>
      <c r="E47"/>
      <c r="F47"/>
      <c r="G47"/>
      <c r="H47"/>
    </row>
    <row r="48" spans="1:8" ht="14.1" customHeight="1">
      <c r="A48" s="354" t="s">
        <v>259</v>
      </c>
      <c r="B48" s="410">
        <f>SUM(B11:B46)</f>
        <v>74183195</v>
      </c>
      <c r="C48" s="410">
        <f>SUM(C11:C46)</f>
        <v>63036</v>
      </c>
      <c r="D48" s="410">
        <f>B48/C48</f>
        <v>1176.8385525731328</v>
      </c>
      <c r="E48" s="410">
        <f>SUM(E11:E46)</f>
        <v>34036230</v>
      </c>
      <c r="F48" s="411">
        <f>B48/E48</f>
        <v>2.1795361883498847</v>
      </c>
      <c r="G48" s="410">
        <f>SUM(G11:G46)</f>
        <v>21741477</v>
      </c>
      <c r="H48" s="411">
        <f>B48/G48</f>
        <v>3.4120586655635217</v>
      </c>
    </row>
    <row r="49" spans="1:8" ht="5.0999999999999996" customHeight="1">
      <c r="A49" s="25" t="s">
        <v>3</v>
      </c>
      <c r="B49" s="171"/>
      <c r="C49" s="171"/>
      <c r="D49" s="171"/>
      <c r="E49" s="171"/>
      <c r="F49" s="98"/>
      <c r="G49" s="171"/>
      <c r="H49" s="98"/>
    </row>
    <row r="50" spans="1:8" ht="14.1" customHeight="1">
      <c r="A50" s="23" t="s">
        <v>260</v>
      </c>
      <c r="B50" s="170">
        <f>'- 30 -'!$D50</f>
        <v>0</v>
      </c>
      <c r="C50" s="505" t="s">
        <v>179</v>
      </c>
      <c r="D50" s="170" t="str">
        <f ca="1">IF(AND(CELL("type",C50)="v",C50&gt;0),B50/C50,"")</f>
        <v/>
      </c>
      <c r="E50" s="505" t="s">
        <v>179</v>
      </c>
      <c r="F50" s="177" t="str">
        <f ca="1">IF(AND(CELL("type",E50)="v",E50&gt;0),B50/E50,"")</f>
        <v/>
      </c>
      <c r="G50" s="505" t="s">
        <v>179</v>
      </c>
      <c r="H50" s="177" t="str">
        <f ca="1">IF(AND(CELL("type",G50)="v",G50&gt;0),B50/G50,"")</f>
        <v/>
      </c>
    </row>
    <row r="51" spans="1:8" ht="14.1" customHeight="1">
      <c r="A51" s="351" t="s">
        <v>261</v>
      </c>
      <c r="B51" s="408">
        <f>'- 30 -'!$D51</f>
        <v>0</v>
      </c>
      <c r="C51" s="408">
        <v>0</v>
      </c>
      <c r="D51" s="408" t="str">
        <f ca="1">IF(AND(CELL("type",C51)="v",C51&gt;0),B51/C51,"")</f>
        <v/>
      </c>
      <c r="E51" s="408">
        <v>0</v>
      </c>
      <c r="F51" s="409" t="str">
        <f ca="1">IF(AND(CELL("type",E51)="v",E51&gt;0),B51/E51,"")</f>
        <v/>
      </c>
      <c r="G51" s="408">
        <v>0</v>
      </c>
      <c r="H51" s="409" t="str">
        <f ca="1">IF(AND(CELL("type",G51)="v",G51&gt;0),B51/G51,"")</f>
        <v/>
      </c>
    </row>
    <row r="52" spans="1:8" ht="50.1" customHeight="1"/>
    <row r="53" spans="1:8" ht="15" customHeight="1"/>
    <row r="54" spans="1:8" ht="14.45" customHeight="1"/>
    <row r="55" spans="1:8" ht="14.45" customHeight="1"/>
    <row r="56" spans="1:8" ht="14.45" customHeight="1"/>
    <row r="57" spans="1:8" ht="14.45" customHeight="1"/>
    <row r="58" spans="1:8" ht="14.45" customHeight="1"/>
    <row r="59" spans="1:8" ht="14.45" customHeight="1"/>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2.xml><?xml version="1.0" encoding="utf-8"?>
<worksheet xmlns="http://schemas.openxmlformats.org/spreadsheetml/2006/main" xmlns:r="http://schemas.openxmlformats.org/officeDocument/2006/relationships">
  <sheetPr codeName="Sheet33">
    <pageSetUpPr fitToPage="1"/>
  </sheetPr>
  <dimension ref="A1:E59"/>
  <sheetViews>
    <sheetView showGridLines="0" showZeros="0" workbookViewId="0"/>
  </sheetViews>
  <sheetFormatPr defaultColWidth="15.83203125" defaultRowHeight="12"/>
  <cols>
    <col min="1" max="1" width="35.83203125" style="1" customWidth="1"/>
    <col min="2" max="2" width="22.83203125" style="1" customWidth="1"/>
    <col min="3" max="3" width="19.83203125" style="1" customWidth="1"/>
    <col min="4" max="4" width="15.83203125" style="1"/>
    <col min="5" max="5" width="38.83203125" style="1" customWidth="1"/>
    <col min="6" max="16384" width="15.83203125" style="1"/>
  </cols>
  <sheetData>
    <row r="1" spans="1:5" ht="6.95" customHeight="1">
      <c r="A1" s="3"/>
      <c r="B1" s="4"/>
      <c r="C1" s="4"/>
      <c r="D1" s="4"/>
      <c r="E1" s="4"/>
    </row>
    <row r="2" spans="1:5" ht="15.95" customHeight="1">
      <c r="A2" s="160"/>
      <c r="B2" s="5" t="s">
        <v>439</v>
      </c>
      <c r="C2" s="6"/>
      <c r="D2" s="6"/>
      <c r="E2" s="178"/>
    </row>
    <row r="3" spans="1:5" ht="15.95" customHeight="1">
      <c r="A3" s="163"/>
      <c r="B3" s="7" t="str">
        <f>OPYEAR</f>
        <v>OPERATING FUND 2012/2013 BUDGET</v>
      </c>
      <c r="C3" s="8"/>
      <c r="D3" s="8"/>
      <c r="E3" s="179"/>
    </row>
    <row r="4" spans="1:5" ht="15.95" customHeight="1">
      <c r="B4" s="4"/>
      <c r="C4" s="4"/>
      <c r="D4" s="4"/>
      <c r="E4" s="4"/>
    </row>
    <row r="5" spans="1:5" ht="15.95" customHeight="1">
      <c r="B5" s="4"/>
      <c r="C5" s="4"/>
      <c r="D5" s="4"/>
      <c r="E5" s="4"/>
    </row>
    <row r="6" spans="1:5" ht="15.95" customHeight="1">
      <c r="B6" s="345" t="s">
        <v>26</v>
      </c>
      <c r="C6" s="360"/>
      <c r="D6" s="359"/>
    </row>
    <row r="7" spans="1:5" ht="15.95" customHeight="1">
      <c r="B7" s="348" t="s">
        <v>56</v>
      </c>
      <c r="C7" s="349"/>
      <c r="D7" s="361"/>
    </row>
    <row r="8" spans="1:5" ht="15.95" customHeight="1">
      <c r="A8" s="101"/>
      <c r="B8" s="180"/>
      <c r="C8" s="181" t="s">
        <v>72</v>
      </c>
      <c r="D8" s="111" t="s">
        <v>73</v>
      </c>
    </row>
    <row r="9" spans="1:5" ht="15.95" customHeight="1">
      <c r="A9" s="35" t="s">
        <v>79</v>
      </c>
      <c r="B9" s="112" t="s">
        <v>80</v>
      </c>
      <c r="C9" s="112" t="s">
        <v>90</v>
      </c>
      <c r="D9" s="112" t="s">
        <v>88</v>
      </c>
    </row>
    <row r="10" spans="1:5" ht="5.0999999999999996" customHeight="1">
      <c r="A10" s="37"/>
    </row>
    <row r="11" spans="1:5" ht="14.1" customHeight="1">
      <c r="A11" s="351" t="s">
        <v>224</v>
      </c>
      <c r="B11" s="408">
        <f>SUM('- 30 -'!$B11,'- 30 -'!$D11,'- 31 -'!$D11)</f>
        <v>1138024</v>
      </c>
      <c r="C11" s="408">
        <v>620000</v>
      </c>
      <c r="D11" s="409">
        <f ca="1">IF(AND(CELL("type",C11)="v",C11&gt;0),B11/C11,"")</f>
        <v>1.8355225806451614</v>
      </c>
      <c r="E11" s="182"/>
    </row>
    <row r="12" spans="1:5" ht="14.1" customHeight="1">
      <c r="A12" s="23" t="s">
        <v>225</v>
      </c>
      <c r="B12" s="170">
        <f>SUM('- 30 -'!$B12,'- 30 -'!$D12,'- 31 -'!$D12)</f>
        <v>2285620</v>
      </c>
      <c r="C12" s="170">
        <v>1240438</v>
      </c>
      <c r="D12" s="177">
        <f t="shared" ref="D12:D46" ca="1" si="0">IF(AND(CELL("type",C12)="v",C12&gt;0),B12/C12,"")</f>
        <v>1.8425910847619953</v>
      </c>
      <c r="E12" s="182"/>
    </row>
    <row r="13" spans="1:5" ht="14.1" customHeight="1">
      <c r="A13" s="351" t="s">
        <v>226</v>
      </c>
      <c r="B13" s="408">
        <f>SUM('- 30 -'!$B13,'- 30 -'!$D13,'- 31 -'!$D13)</f>
        <v>1884300</v>
      </c>
      <c r="C13" s="408">
        <v>830000</v>
      </c>
      <c r="D13" s="409">
        <f t="shared" ca="1" si="0"/>
        <v>2.2702409638554215</v>
      </c>
      <c r="E13" s="182"/>
    </row>
    <row r="14" spans="1:5" ht="14.1" customHeight="1">
      <c r="A14" s="23" t="s">
        <v>524</v>
      </c>
      <c r="B14" s="170">
        <f>SUM('- 30 -'!$B14,'- 30 -'!$D14,'- 31 -'!$D14)</f>
        <v>7546624</v>
      </c>
      <c r="C14" s="505" t="s">
        <v>179</v>
      </c>
      <c r="D14" s="177" t="str">
        <f t="shared" ca="1" si="0"/>
        <v/>
      </c>
      <c r="E14" s="182"/>
    </row>
    <row r="15" spans="1:5" ht="14.1" customHeight="1">
      <c r="A15" s="351" t="s">
        <v>227</v>
      </c>
      <c r="B15" s="408">
        <f>SUM('- 30 -'!$B15,'- 30 -'!$D15,'- 31 -'!$D15)</f>
        <v>1222280</v>
      </c>
      <c r="C15" s="408">
        <v>740000</v>
      </c>
      <c r="D15" s="409">
        <f t="shared" ca="1" si="0"/>
        <v>1.6517297297297298</v>
      </c>
      <c r="E15" s="182"/>
    </row>
    <row r="16" spans="1:5" ht="14.1" customHeight="1">
      <c r="A16" s="23" t="s">
        <v>228</v>
      </c>
      <c r="B16" s="170">
        <f>SUM('- 30 -'!$B16,'- 30 -'!$D16,'- 31 -'!$D16)</f>
        <v>445272</v>
      </c>
      <c r="C16" s="170">
        <v>64505</v>
      </c>
      <c r="D16" s="177">
        <f t="shared" ca="1" si="0"/>
        <v>6.9029067514146192</v>
      </c>
      <c r="E16" s="182"/>
    </row>
    <row r="17" spans="1:5" ht="14.1" customHeight="1">
      <c r="A17" s="351" t="s">
        <v>229</v>
      </c>
      <c r="B17" s="408">
        <f>SUM('- 30 -'!$B17,'- 30 -'!$D17,'- 31 -'!$D17)</f>
        <v>1325460</v>
      </c>
      <c r="C17" s="408">
        <v>858830</v>
      </c>
      <c r="D17" s="409">
        <f t="shared" ca="1" si="0"/>
        <v>1.5433322077710374</v>
      </c>
      <c r="E17" s="182"/>
    </row>
    <row r="18" spans="1:5" ht="14.1" customHeight="1">
      <c r="A18" s="23" t="s">
        <v>230</v>
      </c>
      <c r="B18" s="170">
        <f>SUM('- 30 -'!$B18,'- 30 -'!$D18,'- 31 -'!$D18)</f>
        <v>7214021</v>
      </c>
      <c r="C18" s="170">
        <v>1658000</v>
      </c>
      <c r="D18" s="177">
        <f t="shared" ca="1" si="0"/>
        <v>4.3510379975874551</v>
      </c>
      <c r="E18" s="182"/>
    </row>
    <row r="19" spans="1:5" ht="14.1" customHeight="1">
      <c r="A19" s="351" t="s">
        <v>231</v>
      </c>
      <c r="B19" s="408">
        <f>SUM('- 30 -'!$B19,'- 30 -'!$D19,'- 31 -'!$D19)</f>
        <v>2167500</v>
      </c>
      <c r="C19" s="408">
        <v>800000</v>
      </c>
      <c r="D19" s="409">
        <f t="shared" ca="1" si="0"/>
        <v>2.7093750000000001</v>
      </c>
      <c r="E19" s="182"/>
    </row>
    <row r="20" spans="1:5" ht="14.1" customHeight="1">
      <c r="A20" s="23" t="s">
        <v>232</v>
      </c>
      <c r="B20" s="170">
        <f>SUM('- 30 -'!$B20,'- 30 -'!$D20,'- 31 -'!$D20)</f>
        <v>3401500</v>
      </c>
      <c r="C20" s="170">
        <v>1579928</v>
      </c>
      <c r="D20" s="177">
        <f t="shared" ca="1" si="0"/>
        <v>2.1529462102070474</v>
      </c>
      <c r="E20" s="182"/>
    </row>
    <row r="21" spans="1:5" ht="14.1" customHeight="1">
      <c r="A21" s="351" t="s">
        <v>233</v>
      </c>
      <c r="B21" s="408">
        <f>SUM('- 30 -'!$B21,'- 30 -'!$D21,'- 31 -'!$D21)</f>
        <v>2041000</v>
      </c>
      <c r="C21" s="408">
        <v>940000</v>
      </c>
      <c r="D21" s="409">
        <f t="shared" ca="1" si="0"/>
        <v>2.1712765957446809</v>
      </c>
      <c r="E21" s="182"/>
    </row>
    <row r="22" spans="1:5" ht="14.1" customHeight="1">
      <c r="A22" s="23" t="s">
        <v>234</v>
      </c>
      <c r="B22" s="170">
        <f>SUM('- 30 -'!$B22,'- 30 -'!$D22,'- 31 -'!$D22)</f>
        <v>611655</v>
      </c>
      <c r="C22" s="170">
        <v>205444</v>
      </c>
      <c r="D22" s="177">
        <f t="shared" ca="1" si="0"/>
        <v>2.9772346722221141</v>
      </c>
      <c r="E22" s="182"/>
    </row>
    <row r="23" spans="1:5" ht="14.1" customHeight="1">
      <c r="A23" s="351" t="s">
        <v>235</v>
      </c>
      <c r="B23" s="408">
        <f>SUM('- 30 -'!$B23,'- 30 -'!$D23,'- 31 -'!$D23)</f>
        <v>1565715</v>
      </c>
      <c r="C23" s="408">
        <v>905000</v>
      </c>
      <c r="D23" s="409">
        <f t="shared" ca="1" si="0"/>
        <v>1.7300718232044199</v>
      </c>
      <c r="E23" s="182"/>
    </row>
    <row r="24" spans="1:5" ht="14.1" customHeight="1">
      <c r="A24" s="23" t="s">
        <v>236</v>
      </c>
      <c r="B24" s="170">
        <f>SUM('- 30 -'!$B24,'- 30 -'!$D24,'- 31 -'!$D24)</f>
        <v>2434640</v>
      </c>
      <c r="C24" s="170">
        <v>1093906</v>
      </c>
      <c r="D24" s="177">
        <f t="shared" ca="1" si="0"/>
        <v>2.2256391316987019</v>
      </c>
      <c r="E24" s="182"/>
    </row>
    <row r="25" spans="1:5" ht="14.1" customHeight="1">
      <c r="A25" s="351" t="s">
        <v>237</v>
      </c>
      <c r="B25" s="408">
        <f>SUM('- 30 -'!$B25,'- 30 -'!$D25,'- 31 -'!$D25)</f>
        <v>3269544</v>
      </c>
      <c r="C25" s="408">
        <v>900000</v>
      </c>
      <c r="D25" s="409">
        <f t="shared" ca="1" si="0"/>
        <v>3.6328266666666669</v>
      </c>
      <c r="E25" s="182"/>
    </row>
    <row r="26" spans="1:5" ht="14.1" customHeight="1">
      <c r="A26" s="23" t="s">
        <v>238</v>
      </c>
      <c r="B26" s="170">
        <f>SUM('- 30 -'!$B26,'- 30 -'!$D26,'- 31 -'!$D26)</f>
        <v>2815080</v>
      </c>
      <c r="C26" s="170">
        <v>1364274</v>
      </c>
      <c r="D26" s="177">
        <f t="shared" ca="1" si="0"/>
        <v>2.0634271414686491</v>
      </c>
      <c r="E26" s="182"/>
    </row>
    <row r="27" spans="1:5" ht="14.1" customHeight="1">
      <c r="A27" s="351" t="s">
        <v>239</v>
      </c>
      <c r="B27" s="408">
        <f>SUM('- 30 -'!$B27,'- 30 -'!$D27,'- 31 -'!$D27)</f>
        <v>73900</v>
      </c>
      <c r="C27" s="412" t="s">
        <v>179</v>
      </c>
      <c r="D27" s="409" t="str">
        <f t="shared" ca="1" si="0"/>
        <v/>
      </c>
      <c r="E27" s="182"/>
    </row>
    <row r="28" spans="1:5" ht="14.1" customHeight="1">
      <c r="A28" s="23" t="s">
        <v>240</v>
      </c>
      <c r="B28" s="170">
        <f>SUM('- 30 -'!$B28,'- 30 -'!$D28,'- 31 -'!$D28)</f>
        <v>2111598</v>
      </c>
      <c r="C28" s="170">
        <v>1250000</v>
      </c>
      <c r="D28" s="177">
        <f t="shared" ca="1" si="0"/>
        <v>1.6892784000000001</v>
      </c>
      <c r="E28" s="182"/>
    </row>
    <row r="29" spans="1:5" ht="14.1" customHeight="1">
      <c r="A29" s="351" t="s">
        <v>241</v>
      </c>
      <c r="B29" s="408">
        <f>SUM('- 30 -'!$B29,'- 30 -'!$D29,'- 31 -'!$D29)</f>
        <v>2222753</v>
      </c>
      <c r="C29" s="408">
        <v>560000</v>
      </c>
      <c r="D29" s="409">
        <f t="shared" ca="1" si="0"/>
        <v>3.9692017857142856</v>
      </c>
      <c r="E29" s="182"/>
    </row>
    <row r="30" spans="1:5" ht="14.1" customHeight="1">
      <c r="A30" s="23" t="s">
        <v>242</v>
      </c>
      <c r="B30" s="170">
        <f>SUM('- 30 -'!$B30,'- 30 -'!$D30,'- 31 -'!$D30)</f>
        <v>1193166</v>
      </c>
      <c r="C30" s="170">
        <v>723700</v>
      </c>
      <c r="D30" s="177">
        <f t="shared" ca="1" si="0"/>
        <v>1.648702501036341</v>
      </c>
      <c r="E30" s="182"/>
    </row>
    <row r="31" spans="1:5" ht="14.1" customHeight="1">
      <c r="A31" s="351" t="s">
        <v>243</v>
      </c>
      <c r="B31" s="408">
        <f>SUM('- 30 -'!$B31,'- 30 -'!$D31,'- 31 -'!$D31)</f>
        <v>971262</v>
      </c>
      <c r="C31" s="408">
        <v>563000</v>
      </c>
      <c r="D31" s="409">
        <f t="shared" ca="1" si="0"/>
        <v>1.7251545293072825</v>
      </c>
      <c r="E31" s="182"/>
    </row>
    <row r="32" spans="1:5" ht="14.1" customHeight="1">
      <c r="A32" s="23" t="s">
        <v>244</v>
      </c>
      <c r="B32" s="170">
        <f>SUM('- 30 -'!$B32,'- 30 -'!$D32,'- 31 -'!$D32)</f>
        <v>1885350</v>
      </c>
      <c r="C32" s="170">
        <v>1075000</v>
      </c>
      <c r="D32" s="177">
        <f t="shared" ca="1" si="0"/>
        <v>1.7538139534883721</v>
      </c>
      <c r="E32" s="182"/>
    </row>
    <row r="33" spans="1:5" ht="14.1" customHeight="1">
      <c r="A33" s="351" t="s">
        <v>245</v>
      </c>
      <c r="B33" s="408">
        <f>SUM('- 30 -'!$B33,'- 30 -'!$D33,'- 31 -'!$D33)</f>
        <v>2232400</v>
      </c>
      <c r="C33" s="408">
        <v>1500000</v>
      </c>
      <c r="D33" s="409">
        <f t="shared" ca="1" si="0"/>
        <v>1.4882666666666666</v>
      </c>
      <c r="E33" s="182"/>
    </row>
    <row r="34" spans="1:5" ht="14.1" customHeight="1">
      <c r="A34" s="23" t="s">
        <v>246</v>
      </c>
      <c r="B34" s="170">
        <f>SUM('- 30 -'!$B34,'- 30 -'!$D34,'- 31 -'!$D34)</f>
        <v>2504133</v>
      </c>
      <c r="C34" s="170">
        <v>1304118</v>
      </c>
      <c r="D34" s="177">
        <f t="shared" ca="1" si="0"/>
        <v>1.9201736345944156</v>
      </c>
      <c r="E34" s="182"/>
    </row>
    <row r="35" spans="1:5" ht="14.1" customHeight="1">
      <c r="A35" s="351" t="s">
        <v>247</v>
      </c>
      <c r="B35" s="408">
        <f>SUM('- 30 -'!$B35,'- 30 -'!$D35,'- 31 -'!$D35)</f>
        <v>3352250</v>
      </c>
      <c r="C35" s="408">
        <v>1107000</v>
      </c>
      <c r="D35" s="409">
        <f t="shared" ca="1" si="0"/>
        <v>3.0282294489611563</v>
      </c>
      <c r="E35" s="182"/>
    </row>
    <row r="36" spans="1:5" ht="14.1" customHeight="1">
      <c r="A36" s="23" t="s">
        <v>248</v>
      </c>
      <c r="B36" s="170">
        <f>SUM('- 30 -'!$B36,'- 30 -'!$D36,'- 31 -'!$D36)</f>
        <v>1548580</v>
      </c>
      <c r="C36" s="170">
        <v>863375</v>
      </c>
      <c r="D36" s="177">
        <f t="shared" ca="1" si="0"/>
        <v>1.7936354423049081</v>
      </c>
      <c r="E36" s="182"/>
    </row>
    <row r="37" spans="1:5" ht="14.1" customHeight="1">
      <c r="A37" s="351" t="s">
        <v>249</v>
      </c>
      <c r="B37" s="408">
        <f>SUM('- 30 -'!$B37,'- 30 -'!$D37,'- 31 -'!$D37)</f>
        <v>2329212</v>
      </c>
      <c r="C37" s="408">
        <v>1165602</v>
      </c>
      <c r="D37" s="409">
        <f t="shared" ca="1" si="0"/>
        <v>1.9982910118548183</v>
      </c>
      <c r="E37" s="182"/>
    </row>
    <row r="38" spans="1:5" ht="14.1" customHeight="1">
      <c r="A38" s="23" t="s">
        <v>250</v>
      </c>
      <c r="B38" s="170">
        <f>SUM('- 30 -'!$B38,'- 30 -'!$D38,'- 31 -'!$D38)</f>
        <v>3099440</v>
      </c>
      <c r="C38" s="170">
        <v>778049</v>
      </c>
      <c r="D38" s="177">
        <f t="shared" ca="1" si="0"/>
        <v>3.9836051456913384</v>
      </c>
      <c r="E38" s="182"/>
    </row>
    <row r="39" spans="1:5" ht="14.1" customHeight="1">
      <c r="A39" s="351" t="s">
        <v>251</v>
      </c>
      <c r="B39" s="408">
        <f>SUM('- 30 -'!$B39,'- 30 -'!$D39,'- 31 -'!$D39)</f>
        <v>1977495</v>
      </c>
      <c r="C39" s="408">
        <v>1318400</v>
      </c>
      <c r="D39" s="409">
        <f t="shared" ca="1" si="0"/>
        <v>1.4999203580097087</v>
      </c>
      <c r="E39" s="182"/>
    </row>
    <row r="40" spans="1:5" ht="14.1" customHeight="1">
      <c r="A40" s="23" t="s">
        <v>252</v>
      </c>
      <c r="B40" s="170">
        <f>SUM('- 30 -'!$B40,'- 30 -'!$D40,'- 31 -'!$D40)</f>
        <v>1753836</v>
      </c>
      <c r="C40" s="170">
        <v>480000</v>
      </c>
      <c r="D40" s="177">
        <f t="shared" ca="1" si="0"/>
        <v>3.6538249999999999</v>
      </c>
      <c r="E40" s="182"/>
    </row>
    <row r="41" spans="1:5" ht="14.1" customHeight="1">
      <c r="A41" s="351" t="s">
        <v>253</v>
      </c>
      <c r="B41" s="408">
        <f>SUM('- 30 -'!$B41,'- 30 -'!$D41,'- 31 -'!$D41)</f>
        <v>4339969</v>
      </c>
      <c r="C41" s="408">
        <v>2568615</v>
      </c>
      <c r="D41" s="409">
        <f t="shared" ca="1" si="0"/>
        <v>1.6896144420242036</v>
      </c>
      <c r="E41" s="182"/>
    </row>
    <row r="42" spans="1:5" ht="14.1" customHeight="1">
      <c r="A42" s="23" t="s">
        <v>254</v>
      </c>
      <c r="B42" s="170">
        <f>SUM('- 30 -'!$B42,'- 30 -'!$D42,'- 31 -'!$D42)</f>
        <v>1618340</v>
      </c>
      <c r="C42" s="170">
        <v>653700</v>
      </c>
      <c r="D42" s="177">
        <f t="shared" ca="1" si="0"/>
        <v>2.4756616184794247</v>
      </c>
      <c r="E42" s="182"/>
    </row>
    <row r="43" spans="1:5" ht="14.1" customHeight="1">
      <c r="A43" s="351" t="s">
        <v>255</v>
      </c>
      <c r="B43" s="408">
        <f>SUM('- 30 -'!$B43,'- 30 -'!$D43,'- 31 -'!$D43)</f>
        <v>918853</v>
      </c>
      <c r="C43" s="408">
        <v>583500</v>
      </c>
      <c r="D43" s="409">
        <f t="shared" ca="1" si="0"/>
        <v>1.574726649528706</v>
      </c>
      <c r="E43" s="182"/>
    </row>
    <row r="44" spans="1:5" ht="14.1" customHeight="1">
      <c r="A44" s="23" t="s">
        <v>256</v>
      </c>
      <c r="B44" s="170">
        <f>SUM('- 30 -'!$B44,'- 30 -'!$D44,'- 31 -'!$D44)</f>
        <v>993916</v>
      </c>
      <c r="C44" s="170">
        <v>711000</v>
      </c>
      <c r="D44" s="177">
        <f t="shared" ca="1" si="0"/>
        <v>1.3979127988748241</v>
      </c>
      <c r="E44" s="182"/>
    </row>
    <row r="45" spans="1:5" ht="14.1" customHeight="1">
      <c r="A45" s="351" t="s">
        <v>257</v>
      </c>
      <c r="B45" s="408">
        <f>SUM('- 30 -'!$B45,'- 30 -'!$D45,'- 31 -'!$D45)</f>
        <v>675893</v>
      </c>
      <c r="C45" s="408">
        <v>300000</v>
      </c>
      <c r="D45" s="409">
        <f t="shared" ca="1" si="0"/>
        <v>2.2529766666666666</v>
      </c>
      <c r="E45" s="182"/>
    </row>
    <row r="46" spans="1:5" ht="14.1" customHeight="1">
      <c r="A46" s="23" t="s">
        <v>258</v>
      </c>
      <c r="B46" s="170">
        <f>SUM('- 30 -'!$B46,'- 30 -'!$D46,'- 31 -'!$D46)</f>
        <v>5113600</v>
      </c>
      <c r="C46" s="170">
        <v>1158429</v>
      </c>
      <c r="D46" s="177">
        <f t="shared" ca="1" si="0"/>
        <v>4.414254132104773</v>
      </c>
      <c r="E46" s="182"/>
    </row>
    <row r="47" spans="1:5" ht="5.0999999999999996" customHeight="1">
      <c r="A47"/>
      <c r="B47"/>
      <c r="C47"/>
      <c r="D47"/>
      <c r="E47"/>
    </row>
    <row r="48" spans="1:5" ht="14.1" customHeight="1">
      <c r="A48" s="354" t="s">
        <v>259</v>
      </c>
      <c r="B48" s="410">
        <f>SUM(B11:B46)</f>
        <v>82284181</v>
      </c>
      <c r="C48" s="410">
        <f>SUM(C11:C46)</f>
        <v>32463813</v>
      </c>
      <c r="D48" s="411">
        <f>B48/C48</f>
        <v>2.5346431425045481</v>
      </c>
      <c r="E48" s="182"/>
    </row>
    <row r="49" spans="1:5" ht="5.0999999999999996" customHeight="1">
      <c r="A49" s="25" t="s">
        <v>3</v>
      </c>
      <c r="B49" s="171"/>
      <c r="C49" s="171"/>
      <c r="D49" s="98"/>
    </row>
    <row r="50" spans="1:5" ht="14.1" customHeight="1">
      <c r="A50" s="23" t="s">
        <v>260</v>
      </c>
      <c r="B50" s="170">
        <f>SUM('- 30 -'!$B50,'- 30 -'!$D50,'- 31 -'!$D50)</f>
        <v>19000</v>
      </c>
      <c r="C50" s="505" t="s">
        <v>179</v>
      </c>
      <c r="D50" s="177" t="str">
        <f ca="1">IF(AND(CELL("type",C50)="v",C50&gt;0),B50/C50,"")</f>
        <v/>
      </c>
      <c r="E50" s="182"/>
    </row>
    <row r="51" spans="1:5" ht="14.1" customHeight="1">
      <c r="A51" s="351" t="s">
        <v>261</v>
      </c>
      <c r="B51" s="408">
        <f>SUM('- 30 -'!$B51,'- 30 -'!$D51,'- 31 -'!$D51)</f>
        <v>0</v>
      </c>
      <c r="C51" s="408">
        <v>0</v>
      </c>
      <c r="D51" s="409" t="str">
        <f ca="1">IF(AND(CELL("type",C51)="v",C51&gt;0),B51/C51,"")</f>
        <v/>
      </c>
      <c r="E51" s="182"/>
    </row>
    <row r="52" spans="1:5" ht="50.1" customHeight="1"/>
    <row r="53" spans="1:5" ht="15" customHeight="1"/>
    <row r="54" spans="1:5" ht="14.45" customHeight="1"/>
    <row r="55" spans="1:5" ht="14.45" customHeight="1"/>
    <row r="56" spans="1:5" ht="14.45" customHeight="1"/>
    <row r="57" spans="1:5" ht="14.45" customHeight="1"/>
    <row r="58" spans="1:5" ht="14.45" customHeight="1"/>
    <row r="59" spans="1:5" ht="14.45" customHeight="1"/>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3.xml><?xml version="1.0" encoding="utf-8"?>
<worksheet xmlns="http://schemas.openxmlformats.org/spreadsheetml/2006/main" xmlns:r="http://schemas.openxmlformats.org/officeDocument/2006/relationships">
  <sheetPr codeName="Sheet34">
    <pageSetUpPr fitToPage="1"/>
  </sheetPr>
  <dimension ref="A1:K59"/>
  <sheetViews>
    <sheetView showGridLines="0" showZeros="0" workbookViewId="0"/>
  </sheetViews>
  <sheetFormatPr defaultColWidth="15.83203125" defaultRowHeight="12"/>
  <cols>
    <col min="1" max="1" width="33.83203125" style="1" customWidth="1"/>
    <col min="2" max="2" width="17.83203125" style="1" customWidth="1"/>
    <col min="3" max="3" width="15.83203125" style="1"/>
    <col min="4" max="4" width="15.83203125" style="1" customWidth="1"/>
    <col min="5" max="5" width="15.83203125" style="1"/>
    <col min="6" max="6" width="17.83203125" style="1" customWidth="1"/>
    <col min="7" max="8" width="15.83203125" style="1"/>
    <col min="9" max="12" width="0" style="1" hidden="1" customWidth="1"/>
    <col min="13" max="16384" width="15.83203125" style="1"/>
  </cols>
  <sheetData>
    <row r="1" spans="1:11" ht="6.95" customHeight="1">
      <c r="A1" s="3"/>
      <c r="B1" s="4"/>
      <c r="C1" s="4"/>
      <c r="D1" s="4"/>
      <c r="E1" s="4"/>
      <c r="F1" s="4"/>
    </row>
    <row r="2" spans="1:11" ht="15.95" customHeight="1">
      <c r="A2" s="5" t="s">
        <v>440</v>
      </c>
      <c r="B2" s="174"/>
      <c r="C2" s="161"/>
      <c r="D2" s="6"/>
      <c r="E2" s="6"/>
      <c r="F2" s="6"/>
      <c r="G2" s="6"/>
    </row>
    <row r="3" spans="1:11" ht="15.95" customHeight="1">
      <c r="A3" s="7" t="str">
        <f>OPYEAR</f>
        <v>OPERATING FUND 2012/2013 BUDGET</v>
      </c>
      <c r="B3" s="175"/>
      <c r="C3" s="176"/>
      <c r="D3" s="8"/>
      <c r="E3" s="8"/>
      <c r="F3" s="8"/>
      <c r="G3" s="8"/>
    </row>
    <row r="4" spans="1:11" ht="15.95" customHeight="1">
      <c r="B4" s="4"/>
      <c r="C4" s="4"/>
      <c r="D4" s="104"/>
      <c r="E4" s="4"/>
      <c r="F4" s="4"/>
    </row>
    <row r="5" spans="1:11" ht="15.95" customHeight="1">
      <c r="B5" s="4"/>
      <c r="C5" s="4"/>
      <c r="D5" s="4"/>
      <c r="E5" s="4"/>
      <c r="F5" s="4"/>
      <c r="I5"/>
    </row>
    <row r="6" spans="1:11" ht="15.95" customHeight="1">
      <c r="B6" s="357"/>
      <c r="C6" s="414"/>
      <c r="D6" s="360"/>
      <c r="E6" s="359"/>
      <c r="F6" s="346" t="s">
        <v>27</v>
      </c>
      <c r="G6" s="347"/>
      <c r="I6"/>
    </row>
    <row r="7" spans="1:11" ht="15.95" customHeight="1">
      <c r="B7" s="348" t="s">
        <v>52</v>
      </c>
      <c r="C7" s="349"/>
      <c r="D7" s="349"/>
      <c r="E7" s="350"/>
      <c r="F7" s="349" t="s">
        <v>57</v>
      </c>
      <c r="G7" s="350"/>
      <c r="I7" s="531" t="s">
        <v>54</v>
      </c>
    </row>
    <row r="8" spans="1:11" ht="15.95" customHeight="1">
      <c r="A8" s="101"/>
      <c r="B8" s="111" t="s">
        <v>3</v>
      </c>
      <c r="C8" s="16" t="s">
        <v>75</v>
      </c>
      <c r="D8" s="110" t="s">
        <v>75</v>
      </c>
      <c r="E8" s="110" t="s">
        <v>211</v>
      </c>
      <c r="F8" s="111" t="s">
        <v>3</v>
      </c>
      <c r="G8" s="111" t="s">
        <v>75</v>
      </c>
      <c r="I8" s="531" t="s">
        <v>78</v>
      </c>
    </row>
    <row r="9" spans="1:11" ht="15.95" customHeight="1">
      <c r="A9" s="35" t="s">
        <v>79</v>
      </c>
      <c r="B9" s="112" t="s">
        <v>80</v>
      </c>
      <c r="C9" s="112" t="s">
        <v>82</v>
      </c>
      <c r="D9" s="112" t="s">
        <v>347</v>
      </c>
      <c r="E9" s="112" t="s">
        <v>348</v>
      </c>
      <c r="F9" s="112" t="s">
        <v>80</v>
      </c>
      <c r="G9" s="112" t="s">
        <v>347</v>
      </c>
      <c r="I9" s="503" t="s">
        <v>611</v>
      </c>
      <c r="J9" s="503" t="s">
        <v>593</v>
      </c>
    </row>
    <row r="10" spans="1:11" ht="5.0999999999999996" customHeight="1">
      <c r="A10" s="37"/>
    </row>
    <row r="11" spans="1:11" ht="14.1" customHeight="1">
      <c r="A11" s="351" t="s">
        <v>224</v>
      </c>
      <c r="B11" s="408">
        <f>'- 32 -'!D11</f>
        <v>1378270</v>
      </c>
      <c r="C11" s="408">
        <f>B11/'- 7 -'!F11</f>
        <v>931.89317106152805</v>
      </c>
      <c r="D11" s="409">
        <f t="shared" ref="D11:D42" si="0">B11/I11</f>
        <v>5.3883083322582284</v>
      </c>
      <c r="E11" s="408">
        <f>I11/'- 7 -'!F11</f>
        <v>172.94726166328601</v>
      </c>
      <c r="F11" s="408">
        <f>'- 32 -'!F11</f>
        <v>243500</v>
      </c>
      <c r="G11" s="409">
        <f t="shared" ref="G11:G42" si="1">F11/I11</f>
        <v>0.9519564953926869</v>
      </c>
      <c r="I11" s="1">
        <v>255789</v>
      </c>
      <c r="J11" s="1">
        <v>252389</v>
      </c>
      <c r="K11" s="1">
        <f>+I11-J11</f>
        <v>3400</v>
      </c>
    </row>
    <row r="12" spans="1:11" ht="14.1" customHeight="1">
      <c r="A12" s="23" t="s">
        <v>225</v>
      </c>
      <c r="B12" s="170">
        <f>'- 32 -'!D12</f>
        <v>2351435</v>
      </c>
      <c r="C12" s="170">
        <f>B12/'- 7 -'!F12</f>
        <v>1018.0165554025854</v>
      </c>
      <c r="D12" s="177">
        <f t="shared" si="0"/>
        <v>6.1150249392771512</v>
      </c>
      <c r="E12" s="170">
        <f>I12/'- 7 -'!F12</f>
        <v>166.47790736940539</v>
      </c>
      <c r="F12" s="170">
        <f>'- 32 -'!F12</f>
        <v>517730</v>
      </c>
      <c r="G12" s="177">
        <f t="shared" si="1"/>
        <v>1.3463828946205016</v>
      </c>
      <c r="I12" s="1">
        <v>384534</v>
      </c>
      <c r="J12" s="1">
        <v>384534</v>
      </c>
      <c r="K12" s="1">
        <f t="shared" ref="K12:K50" si="2">+I12-J12</f>
        <v>0</v>
      </c>
    </row>
    <row r="13" spans="1:11" ht="14.1" customHeight="1">
      <c r="A13" s="351" t="s">
        <v>226</v>
      </c>
      <c r="B13" s="408">
        <f>'- 32 -'!D13</f>
        <v>5639900</v>
      </c>
      <c r="C13" s="408">
        <f>B13/'- 7 -'!F13</f>
        <v>729.80072463768113</v>
      </c>
      <c r="D13" s="409">
        <f t="shared" si="0"/>
        <v>5.4248429508975677</v>
      </c>
      <c r="E13" s="408">
        <f>I13/'- 7 -'!F13</f>
        <v>134.52937370600415</v>
      </c>
      <c r="F13" s="408">
        <f>'- 32 -'!F13</f>
        <v>525600</v>
      </c>
      <c r="G13" s="409">
        <f t="shared" si="1"/>
        <v>0.50555815794460213</v>
      </c>
      <c r="I13" s="1">
        <v>1039643</v>
      </c>
      <c r="J13" s="1">
        <v>1033467</v>
      </c>
      <c r="K13" s="1">
        <f t="shared" si="2"/>
        <v>6176</v>
      </c>
    </row>
    <row r="14" spans="1:11" ht="14.1" customHeight="1">
      <c r="A14" s="23" t="s">
        <v>524</v>
      </c>
      <c r="B14" s="170">
        <f>'- 32 -'!D14</f>
        <v>6088818</v>
      </c>
      <c r="C14" s="170">
        <f>B14/'- 7 -'!F14</f>
        <v>1208.0988095238095</v>
      </c>
      <c r="D14" s="177">
        <f t="shared" si="0"/>
        <v>6.7923567248461101</v>
      </c>
      <c r="E14" s="170">
        <f>I14/'- 7 -'!F14</f>
        <v>177.86150793650793</v>
      </c>
      <c r="F14" s="170">
        <f>'- 32 -'!F14</f>
        <v>500370</v>
      </c>
      <c r="G14" s="177">
        <f t="shared" si="1"/>
        <v>0.55818576518648588</v>
      </c>
      <c r="I14" s="1">
        <v>896422</v>
      </c>
      <c r="J14" s="1">
        <v>896422</v>
      </c>
      <c r="K14" s="1">
        <f t="shared" si="2"/>
        <v>0</v>
      </c>
    </row>
    <row r="15" spans="1:11" ht="14.1" customHeight="1">
      <c r="A15" s="351" t="s">
        <v>227</v>
      </c>
      <c r="B15" s="408">
        <f>'- 32 -'!D15</f>
        <v>1913525</v>
      </c>
      <c r="C15" s="408">
        <f>B15/'- 7 -'!F15</f>
        <v>1280.8065595716198</v>
      </c>
      <c r="D15" s="409">
        <f t="shared" si="0"/>
        <v>6.6211021300743242</v>
      </c>
      <c r="E15" s="408">
        <f>I15/'- 7 -'!F15</f>
        <v>193.44310575635876</v>
      </c>
      <c r="F15" s="408">
        <f>'- 32 -'!F15</f>
        <v>244000</v>
      </c>
      <c r="G15" s="409">
        <f t="shared" si="1"/>
        <v>0.84427897191734369</v>
      </c>
      <c r="I15" s="1">
        <v>289004</v>
      </c>
      <c r="J15" s="1">
        <v>288074</v>
      </c>
      <c r="K15" s="1">
        <f t="shared" si="2"/>
        <v>930</v>
      </c>
    </row>
    <row r="16" spans="1:11" ht="14.1" customHeight="1">
      <c r="A16" s="23" t="s">
        <v>228</v>
      </c>
      <c r="B16" s="170">
        <f>'- 32 -'!D16</f>
        <v>1700352</v>
      </c>
      <c r="C16" s="170">
        <f>B16/'- 7 -'!F16</f>
        <v>1718.3951490651843</v>
      </c>
      <c r="D16" s="177">
        <f t="shared" si="0"/>
        <v>8.64083422688166</v>
      </c>
      <c r="E16" s="170">
        <f>I16/'- 7 -'!F16</f>
        <v>198.86912582112177</v>
      </c>
      <c r="F16" s="170">
        <f>'- 32 -'!F16</f>
        <v>122000</v>
      </c>
      <c r="G16" s="177">
        <f t="shared" si="1"/>
        <v>0.6199785548401523</v>
      </c>
      <c r="I16" s="1">
        <v>196781</v>
      </c>
      <c r="J16" s="1">
        <v>196781</v>
      </c>
      <c r="K16" s="1">
        <f t="shared" si="2"/>
        <v>0</v>
      </c>
    </row>
    <row r="17" spans="1:11" ht="14.1" customHeight="1">
      <c r="A17" s="351" t="s">
        <v>229</v>
      </c>
      <c r="B17" s="408">
        <f>'- 32 -'!D17</f>
        <v>1472405</v>
      </c>
      <c r="C17" s="408">
        <f>B17/'- 7 -'!F17</f>
        <v>1145.3947880202256</v>
      </c>
      <c r="D17" s="409">
        <f t="shared" si="0"/>
        <v>5.6631179350689811</v>
      </c>
      <c r="E17" s="408">
        <f>I17/'- 7 -'!F17</f>
        <v>202.25515363671724</v>
      </c>
      <c r="F17" s="408">
        <f>'- 32 -'!F17</f>
        <v>243064</v>
      </c>
      <c r="G17" s="409">
        <f t="shared" si="1"/>
        <v>0.9348651340966696</v>
      </c>
      <c r="I17" s="1">
        <v>259999</v>
      </c>
      <c r="J17" s="1">
        <v>273552</v>
      </c>
      <c r="K17" s="1">
        <f t="shared" si="2"/>
        <v>-13553</v>
      </c>
    </row>
    <row r="18" spans="1:11" ht="14.1" customHeight="1">
      <c r="A18" s="23" t="s">
        <v>230</v>
      </c>
      <c r="B18" s="170">
        <f>'- 32 -'!D18</f>
        <v>14815448</v>
      </c>
      <c r="C18" s="170">
        <f>B18/'- 7 -'!F18</f>
        <v>2342.9189531114098</v>
      </c>
      <c r="D18" s="177">
        <f t="shared" si="0"/>
        <v>10.690575116066622</v>
      </c>
      <c r="E18" s="170">
        <f>I18/'- 7 -'!F18</f>
        <v>219.15742863920298</v>
      </c>
      <c r="F18" s="170">
        <f>'- 32 -'!F18</f>
        <v>694219</v>
      </c>
      <c r="G18" s="177">
        <f t="shared" si="1"/>
        <v>0.50093661470788153</v>
      </c>
      <c r="I18" s="1">
        <v>1385842</v>
      </c>
      <c r="J18" s="1">
        <v>1380522</v>
      </c>
      <c r="K18" s="1">
        <f t="shared" si="2"/>
        <v>5320</v>
      </c>
    </row>
    <row r="19" spans="1:11" ht="14.1" customHeight="1">
      <c r="A19" s="351" t="s">
        <v>231</v>
      </c>
      <c r="B19" s="408">
        <f>'- 32 -'!D19</f>
        <v>3237300</v>
      </c>
      <c r="C19" s="408">
        <f>B19/'- 7 -'!F19</f>
        <v>768.40731070496088</v>
      </c>
      <c r="D19" s="409">
        <f t="shared" si="0"/>
        <v>6.2353136050910267</v>
      </c>
      <c r="E19" s="408">
        <f>I19/'- 7 -'!F19</f>
        <v>123.23474958461904</v>
      </c>
      <c r="F19" s="408">
        <f>'- 32 -'!F19</f>
        <v>90000</v>
      </c>
      <c r="G19" s="409">
        <f t="shared" si="1"/>
        <v>0.17334761204033991</v>
      </c>
      <c r="I19" s="1">
        <v>519188</v>
      </c>
      <c r="J19" s="1">
        <v>456986</v>
      </c>
      <c r="K19" s="1">
        <f t="shared" si="2"/>
        <v>62202</v>
      </c>
    </row>
    <row r="20" spans="1:11" ht="14.1" customHeight="1">
      <c r="A20" s="23" t="s">
        <v>232</v>
      </c>
      <c r="B20" s="170">
        <f>'- 32 -'!D20</f>
        <v>6241100</v>
      </c>
      <c r="C20" s="170">
        <f>B20/'- 7 -'!F20</f>
        <v>840.55218855218857</v>
      </c>
      <c r="D20" s="177">
        <f t="shared" si="0"/>
        <v>7.3856811675839946</v>
      </c>
      <c r="E20" s="170">
        <f>I20/'- 7 -'!F20</f>
        <v>113.80835016835017</v>
      </c>
      <c r="F20" s="170">
        <f>'- 32 -'!F20</f>
        <v>591300</v>
      </c>
      <c r="G20" s="177">
        <f t="shared" si="1"/>
        <v>0.69974095502273892</v>
      </c>
      <c r="I20" s="1">
        <v>845027</v>
      </c>
      <c r="J20" s="1">
        <v>838517</v>
      </c>
      <c r="K20" s="1">
        <f t="shared" si="2"/>
        <v>6510</v>
      </c>
    </row>
    <row r="21" spans="1:11" ht="14.1" customHeight="1">
      <c r="A21" s="351" t="s">
        <v>233</v>
      </c>
      <c r="B21" s="408">
        <f>'- 32 -'!D21</f>
        <v>2783000</v>
      </c>
      <c r="C21" s="408">
        <f>B21/'- 7 -'!F21</f>
        <v>997.49103942652334</v>
      </c>
      <c r="D21" s="409">
        <f t="shared" si="0"/>
        <v>6.1307526749070913</v>
      </c>
      <c r="E21" s="408">
        <f>I21/'- 7 -'!F21</f>
        <v>162.70286738351254</v>
      </c>
      <c r="F21" s="408">
        <f>'- 32 -'!F21</f>
        <v>330000</v>
      </c>
      <c r="G21" s="409">
        <f t="shared" si="1"/>
        <v>0.72696672034471443</v>
      </c>
      <c r="I21" s="1">
        <v>453941</v>
      </c>
      <c r="J21" s="1">
        <v>453941</v>
      </c>
      <c r="K21" s="1">
        <f t="shared" si="2"/>
        <v>0</v>
      </c>
    </row>
    <row r="22" spans="1:11" ht="14.1" customHeight="1">
      <c r="A22" s="23" t="s">
        <v>234</v>
      </c>
      <c r="B22" s="170">
        <f>'- 32 -'!D22</f>
        <v>2199920</v>
      </c>
      <c r="C22" s="170">
        <f>B22/'- 7 -'!F22</f>
        <v>1362.6014245896563</v>
      </c>
      <c r="D22" s="177">
        <f t="shared" si="0"/>
        <v>6.5010801050849159</v>
      </c>
      <c r="E22" s="170">
        <f>I22/'- 7 -'!F22</f>
        <v>209.59615980179623</v>
      </c>
      <c r="F22" s="170">
        <f>'- 32 -'!F22</f>
        <v>87000</v>
      </c>
      <c r="G22" s="177">
        <f t="shared" si="1"/>
        <v>0.25709751679260506</v>
      </c>
      <c r="I22" s="1">
        <v>338393</v>
      </c>
      <c r="J22" s="1">
        <v>338393</v>
      </c>
      <c r="K22" s="1">
        <f t="shared" si="2"/>
        <v>0</v>
      </c>
    </row>
    <row r="23" spans="1:11" ht="14.1" customHeight="1">
      <c r="A23" s="351" t="s">
        <v>235</v>
      </c>
      <c r="B23" s="408">
        <f>'- 32 -'!D23</f>
        <v>1128200</v>
      </c>
      <c r="C23" s="408">
        <f>B23/'- 7 -'!F23</f>
        <v>943.70556252613972</v>
      </c>
      <c r="D23" s="409">
        <f t="shared" si="0"/>
        <v>4.8367458929245117</v>
      </c>
      <c r="E23" s="408">
        <f>I23/'- 7 -'!F23</f>
        <v>195.1116687578419</v>
      </c>
      <c r="F23" s="408">
        <f>'- 32 -'!F23</f>
        <v>101000</v>
      </c>
      <c r="G23" s="409">
        <f t="shared" si="1"/>
        <v>0.43300065164454504</v>
      </c>
      <c r="I23" s="1">
        <v>233256</v>
      </c>
      <c r="J23" s="1">
        <v>233256</v>
      </c>
      <c r="K23" s="1">
        <f t="shared" si="2"/>
        <v>0</v>
      </c>
    </row>
    <row r="24" spans="1:11" ht="14.1" customHeight="1">
      <c r="A24" s="23" t="s">
        <v>236</v>
      </c>
      <c r="B24" s="170">
        <f>'- 32 -'!D24</f>
        <v>4574830</v>
      </c>
      <c r="C24" s="170">
        <f>B24/'- 7 -'!F24</f>
        <v>1070.8871722846443</v>
      </c>
      <c r="D24" s="177">
        <f t="shared" si="0"/>
        <v>6.4863328243322371</v>
      </c>
      <c r="E24" s="170">
        <f>I24/'- 7 -'!F24</f>
        <v>165.0990168539326</v>
      </c>
      <c r="F24" s="170">
        <f>'- 32 -'!F24</f>
        <v>220200</v>
      </c>
      <c r="G24" s="177">
        <f t="shared" si="1"/>
        <v>0.31220624327416729</v>
      </c>
      <c r="I24" s="1">
        <v>705303</v>
      </c>
      <c r="J24" s="1">
        <v>705303</v>
      </c>
      <c r="K24" s="1">
        <f t="shared" si="2"/>
        <v>0</v>
      </c>
    </row>
    <row r="25" spans="1:11" ht="14.1" customHeight="1">
      <c r="A25" s="351" t="s">
        <v>237</v>
      </c>
      <c r="B25" s="408">
        <f>'- 32 -'!D25</f>
        <v>14258474</v>
      </c>
      <c r="C25" s="408">
        <f>B25/'- 7 -'!F25</f>
        <v>1049.0342848734549</v>
      </c>
      <c r="D25" s="409">
        <f t="shared" si="0"/>
        <v>6.3848525774100695</v>
      </c>
      <c r="E25" s="408">
        <f>I25/'- 7 -'!F25</f>
        <v>164.30047086521483</v>
      </c>
      <c r="F25" s="408">
        <f>'- 32 -'!F25</f>
        <v>512060</v>
      </c>
      <c r="G25" s="409">
        <f t="shared" si="1"/>
        <v>0.22929716116806051</v>
      </c>
      <c r="I25" s="1">
        <v>2233172</v>
      </c>
      <c r="J25" s="1">
        <v>2234146</v>
      </c>
      <c r="K25" s="1">
        <f t="shared" si="2"/>
        <v>-974</v>
      </c>
    </row>
    <row r="26" spans="1:11" ht="14.1" customHeight="1">
      <c r="A26" s="23" t="s">
        <v>238</v>
      </c>
      <c r="B26" s="170">
        <f>'- 32 -'!D26</f>
        <v>3750501</v>
      </c>
      <c r="C26" s="170">
        <f>B26/'- 7 -'!F26</f>
        <v>1254.7678153228505</v>
      </c>
      <c r="D26" s="177">
        <f t="shared" si="0"/>
        <v>4.8720269991153584</v>
      </c>
      <c r="E26" s="170">
        <f>I26/'- 7 -'!F26</f>
        <v>257.54533288725327</v>
      </c>
      <c r="F26" s="170">
        <f>'- 32 -'!F26</f>
        <v>176580</v>
      </c>
      <c r="G26" s="177">
        <f t="shared" si="1"/>
        <v>0.22938336171721857</v>
      </c>
      <c r="I26" s="1">
        <v>769803</v>
      </c>
      <c r="J26" s="1">
        <v>769803</v>
      </c>
      <c r="K26" s="1">
        <f t="shared" si="2"/>
        <v>0</v>
      </c>
    </row>
    <row r="27" spans="1:11" ht="14.1" customHeight="1">
      <c r="A27" s="351" t="s">
        <v>239</v>
      </c>
      <c r="B27" s="408">
        <f>'- 32 -'!D27</f>
        <v>4246792</v>
      </c>
      <c r="C27" s="490">
        <f>B27/'- 7 -'!F27</f>
        <v>1517.795568263045</v>
      </c>
      <c r="D27" s="409">
        <f t="shared" si="0"/>
        <v>9.2183290281968358</v>
      </c>
      <c r="E27" s="490">
        <f>I27/'- 7 -'!F27</f>
        <v>164.64974982130093</v>
      </c>
      <c r="F27" s="412">
        <f>'- 32 -'!F27</f>
        <v>402000</v>
      </c>
      <c r="G27" s="409">
        <f t="shared" si="1"/>
        <v>0.87260413727235231</v>
      </c>
      <c r="I27" s="1">
        <v>460690</v>
      </c>
      <c r="J27" s="1">
        <v>460690</v>
      </c>
      <c r="K27" s="1">
        <f t="shared" si="2"/>
        <v>0</v>
      </c>
    </row>
    <row r="28" spans="1:11" ht="14.1" customHeight="1">
      <c r="A28" s="23" t="s">
        <v>240</v>
      </c>
      <c r="B28" s="170">
        <f>'- 32 -'!D28</f>
        <v>2585042</v>
      </c>
      <c r="C28" s="170">
        <f>B28/'- 7 -'!F28</f>
        <v>1322.2721227621482</v>
      </c>
      <c r="D28" s="177">
        <f t="shared" si="0"/>
        <v>6.4132390920886477</v>
      </c>
      <c r="E28" s="170">
        <f>I28/'- 7 -'!F28</f>
        <v>206.17851662404092</v>
      </c>
      <c r="F28" s="170">
        <f>'- 32 -'!F28</f>
        <v>191562</v>
      </c>
      <c r="G28" s="177">
        <f t="shared" si="1"/>
        <v>0.4752467878505206</v>
      </c>
      <c r="I28" s="1">
        <v>403079</v>
      </c>
      <c r="J28" s="1">
        <v>363079</v>
      </c>
      <c r="K28" s="1">
        <f t="shared" si="2"/>
        <v>40000</v>
      </c>
    </row>
    <row r="29" spans="1:11" ht="14.1" customHeight="1">
      <c r="A29" s="351" t="s">
        <v>241</v>
      </c>
      <c r="B29" s="408">
        <f>'- 32 -'!D29</f>
        <v>12368797</v>
      </c>
      <c r="C29" s="408">
        <f>B29/'- 7 -'!F29</f>
        <v>1018.5109519104084</v>
      </c>
      <c r="D29" s="409">
        <f t="shared" si="0"/>
        <v>7.2540604990012234</v>
      </c>
      <c r="E29" s="408">
        <f>I29/'- 7 -'!F29</f>
        <v>140.40563241106719</v>
      </c>
      <c r="F29" s="408">
        <f>'- 32 -'!F29</f>
        <v>1825000</v>
      </c>
      <c r="G29" s="409">
        <f t="shared" si="1"/>
        <v>1.0703272444908938</v>
      </c>
      <c r="I29" s="1">
        <v>1705086</v>
      </c>
      <c r="J29" s="1">
        <v>1704112</v>
      </c>
      <c r="K29" s="1">
        <f t="shared" si="2"/>
        <v>974</v>
      </c>
    </row>
    <row r="30" spans="1:11" ht="14.1" customHeight="1">
      <c r="A30" s="23" t="s">
        <v>242</v>
      </c>
      <c r="B30" s="170">
        <f>'- 32 -'!D30</f>
        <v>1099765</v>
      </c>
      <c r="C30" s="170">
        <f>B30/'- 7 -'!F30</f>
        <v>1024.4666977177458</v>
      </c>
      <c r="D30" s="177">
        <f t="shared" si="0"/>
        <v>5.262662997966264</v>
      </c>
      <c r="E30" s="170">
        <f>I30/'- 7 -'!F30</f>
        <v>194.66697717745691</v>
      </c>
      <c r="F30" s="170">
        <f>'- 32 -'!F30</f>
        <v>301750</v>
      </c>
      <c r="G30" s="177">
        <f t="shared" si="1"/>
        <v>1.4439526259121904</v>
      </c>
      <c r="I30" s="1">
        <v>208975</v>
      </c>
      <c r="J30" s="1">
        <v>208975</v>
      </c>
      <c r="K30" s="1">
        <f t="shared" si="2"/>
        <v>0</v>
      </c>
    </row>
    <row r="31" spans="1:11" ht="14.1" customHeight="1">
      <c r="A31" s="351" t="s">
        <v>243</v>
      </c>
      <c r="B31" s="408">
        <f>'- 32 -'!D31</f>
        <v>3314938</v>
      </c>
      <c r="C31" s="408">
        <f>B31/'- 7 -'!F31</f>
        <v>1045.7217665615142</v>
      </c>
      <c r="D31" s="409">
        <f t="shared" si="0"/>
        <v>5.5759725754578611</v>
      </c>
      <c r="E31" s="408">
        <f>I31/'- 7 -'!F31</f>
        <v>187.54069400630914</v>
      </c>
      <c r="F31" s="408">
        <f>'- 32 -'!F31</f>
        <v>127740</v>
      </c>
      <c r="G31" s="409">
        <f t="shared" si="1"/>
        <v>0.21486819264462476</v>
      </c>
      <c r="I31" s="1">
        <v>594504</v>
      </c>
      <c r="J31" s="1">
        <v>594504</v>
      </c>
      <c r="K31" s="1">
        <f t="shared" si="2"/>
        <v>0</v>
      </c>
    </row>
    <row r="32" spans="1:11" ht="14.1" customHeight="1">
      <c r="A32" s="23" t="s">
        <v>244</v>
      </c>
      <c r="B32" s="170">
        <f>'- 32 -'!D32</f>
        <v>1961200</v>
      </c>
      <c r="C32" s="170">
        <f>B32/'- 7 -'!F32</f>
        <v>956.2024933813741</v>
      </c>
      <c r="D32" s="177">
        <f t="shared" si="0"/>
        <v>5.105377150235328</v>
      </c>
      <c r="E32" s="170">
        <f>I32/'- 7 -'!F32</f>
        <v>187.29321365362767</v>
      </c>
      <c r="F32" s="170">
        <f>'- 32 -'!F32</f>
        <v>390000</v>
      </c>
      <c r="G32" s="177">
        <f t="shared" si="1"/>
        <v>1.0152442833937274</v>
      </c>
      <c r="I32" s="1">
        <v>384144</v>
      </c>
      <c r="J32" s="1">
        <v>382584</v>
      </c>
      <c r="K32" s="1">
        <f t="shared" si="2"/>
        <v>1560</v>
      </c>
    </row>
    <row r="33" spans="1:11" ht="14.1" customHeight="1">
      <c r="A33" s="351" t="s">
        <v>245</v>
      </c>
      <c r="B33" s="408">
        <f>'- 32 -'!D33</f>
        <v>2715900</v>
      </c>
      <c r="C33" s="408">
        <f>B33/'- 7 -'!F33</f>
        <v>1354.9014716887004</v>
      </c>
      <c r="D33" s="409">
        <f t="shared" si="0"/>
        <v>5.5035999651452858</v>
      </c>
      <c r="E33" s="408">
        <f>I33/'- 7 -'!F33</f>
        <v>246.18458468445996</v>
      </c>
      <c r="F33" s="408">
        <f>'- 32 -'!F33</f>
        <v>432900</v>
      </c>
      <c r="G33" s="409">
        <f t="shared" si="1"/>
        <v>0.87724453216664611</v>
      </c>
      <c r="I33" s="1">
        <v>493477</v>
      </c>
      <c r="J33" s="1">
        <v>493477</v>
      </c>
      <c r="K33" s="1">
        <f t="shared" si="2"/>
        <v>0</v>
      </c>
    </row>
    <row r="34" spans="1:11" ht="14.1" customHeight="1">
      <c r="A34" s="23" t="s">
        <v>246</v>
      </c>
      <c r="B34" s="170">
        <f>'- 32 -'!D34</f>
        <v>2096242</v>
      </c>
      <c r="C34" s="170">
        <f>B34/'- 7 -'!F34</f>
        <v>1048.4879707897765</v>
      </c>
      <c r="D34" s="177">
        <f t="shared" si="0"/>
        <v>5.6802414907828673</v>
      </c>
      <c r="E34" s="170">
        <f>I34/'- 7 -'!F34</f>
        <v>184.58510478667534</v>
      </c>
      <c r="F34" s="170">
        <f>'- 32 -'!F34</f>
        <v>331976</v>
      </c>
      <c r="G34" s="177">
        <f t="shared" si="1"/>
        <v>0.89956400508344603</v>
      </c>
      <c r="I34" s="1">
        <v>369041</v>
      </c>
      <c r="J34" s="1">
        <v>366257</v>
      </c>
      <c r="K34" s="1">
        <f t="shared" si="2"/>
        <v>2784</v>
      </c>
    </row>
    <row r="35" spans="1:11" ht="14.1" customHeight="1">
      <c r="A35" s="351" t="s">
        <v>247</v>
      </c>
      <c r="B35" s="408">
        <f>'- 32 -'!D35</f>
        <v>17500740</v>
      </c>
      <c r="C35" s="408">
        <f>B35/'- 7 -'!F35</f>
        <v>1122.2739515198152</v>
      </c>
      <c r="D35" s="409">
        <f t="shared" si="0"/>
        <v>7.1599104517180603</v>
      </c>
      <c r="E35" s="408">
        <f>I35/'- 7 -'!F35</f>
        <v>156.74413235859947</v>
      </c>
      <c r="F35" s="408">
        <f>'- 32 -'!F35</f>
        <v>742500</v>
      </c>
      <c r="G35" s="409">
        <f t="shared" si="1"/>
        <v>0.30377192680998971</v>
      </c>
      <c r="I35" s="1">
        <v>2444268</v>
      </c>
      <c r="J35" s="1">
        <v>2444268</v>
      </c>
      <c r="K35" s="1">
        <f t="shared" si="2"/>
        <v>0</v>
      </c>
    </row>
    <row r="36" spans="1:11" ht="14.1" customHeight="1">
      <c r="A36" s="23" t="s">
        <v>248</v>
      </c>
      <c r="B36" s="170">
        <f>'- 32 -'!D36</f>
        <v>2082150</v>
      </c>
      <c r="C36" s="170">
        <f>B36/'- 7 -'!F36</f>
        <v>1271.1538461538462</v>
      </c>
      <c r="D36" s="177">
        <f t="shared" si="0"/>
        <v>6.4732399620711636</v>
      </c>
      <c r="E36" s="170">
        <f>I36/'- 7 -'!F36</f>
        <v>196.37057387057388</v>
      </c>
      <c r="F36" s="170">
        <f>'- 32 -'!F36</f>
        <v>180000</v>
      </c>
      <c r="G36" s="177">
        <f t="shared" si="1"/>
        <v>0.5596057888109931</v>
      </c>
      <c r="I36" s="1">
        <v>321655</v>
      </c>
      <c r="J36" s="1">
        <v>322645</v>
      </c>
      <c r="K36" s="1">
        <f t="shared" si="2"/>
        <v>-990</v>
      </c>
    </row>
    <row r="37" spans="1:11" ht="14.1" customHeight="1">
      <c r="A37" s="351" t="s">
        <v>249</v>
      </c>
      <c r="B37" s="408">
        <f>'- 32 -'!D37</f>
        <v>3518841</v>
      </c>
      <c r="C37" s="408">
        <f>B37/'- 7 -'!F37</f>
        <v>956.85683208701562</v>
      </c>
      <c r="D37" s="409">
        <f t="shared" si="0"/>
        <v>6.3995915279328699</v>
      </c>
      <c r="E37" s="408">
        <f>I37/'- 7 -'!F37</f>
        <v>149.51842284160435</v>
      </c>
      <c r="F37" s="408">
        <f>'- 32 -'!F37</f>
        <v>541486</v>
      </c>
      <c r="G37" s="409">
        <f t="shared" si="1"/>
        <v>0.984781414702812</v>
      </c>
      <c r="I37" s="1">
        <v>549854</v>
      </c>
      <c r="J37" s="1">
        <v>549854</v>
      </c>
      <c r="K37" s="1">
        <f t="shared" si="2"/>
        <v>0</v>
      </c>
    </row>
    <row r="38" spans="1:11" ht="14.1" customHeight="1">
      <c r="A38" s="23" t="s">
        <v>250</v>
      </c>
      <c r="B38" s="170">
        <f>'- 32 -'!D38</f>
        <v>9718840</v>
      </c>
      <c r="C38" s="170">
        <f>B38/'- 7 -'!F38</f>
        <v>922.70388303427319</v>
      </c>
      <c r="D38" s="177">
        <f t="shared" si="0"/>
        <v>8.3371278083261124</v>
      </c>
      <c r="E38" s="170">
        <f>I38/'- 7 -'!F38</f>
        <v>110.67407196430267</v>
      </c>
      <c r="F38" s="170">
        <f>'- 32 -'!F38</f>
        <v>988690</v>
      </c>
      <c r="G38" s="177">
        <f t="shared" si="1"/>
        <v>0.84812949825431272</v>
      </c>
      <c r="I38" s="1">
        <v>1165730</v>
      </c>
      <c r="J38" s="1">
        <v>1158290</v>
      </c>
      <c r="K38" s="1">
        <f t="shared" si="2"/>
        <v>7440</v>
      </c>
    </row>
    <row r="39" spans="1:11" ht="14.1" customHeight="1">
      <c r="A39" s="351" t="s">
        <v>251</v>
      </c>
      <c r="B39" s="408">
        <f>'- 32 -'!D39</f>
        <v>1780985</v>
      </c>
      <c r="C39" s="408">
        <f>B39/'- 7 -'!F39</f>
        <v>1140.9256886611147</v>
      </c>
      <c r="D39" s="409">
        <f t="shared" si="0"/>
        <v>5.6959986951223804</v>
      </c>
      <c r="E39" s="408">
        <f>I39/'- 7 -'!F39</f>
        <v>200.30301089045483</v>
      </c>
      <c r="F39" s="408">
        <f>'- 32 -'!F39</f>
        <v>160200</v>
      </c>
      <c r="G39" s="409">
        <f t="shared" si="1"/>
        <v>0.51235635951937009</v>
      </c>
      <c r="I39" s="1">
        <v>312673</v>
      </c>
      <c r="J39" s="1">
        <v>312673</v>
      </c>
      <c r="K39" s="1">
        <f t="shared" si="2"/>
        <v>0</v>
      </c>
    </row>
    <row r="40" spans="1:11" ht="14.1" customHeight="1">
      <c r="A40" s="23" t="s">
        <v>252</v>
      </c>
      <c r="B40" s="170">
        <f>'- 32 -'!D40</f>
        <v>7667521</v>
      </c>
      <c r="C40" s="170">
        <f>B40/'- 7 -'!F40</f>
        <v>943.06811472990273</v>
      </c>
      <c r="D40" s="177">
        <f t="shared" si="0"/>
        <v>5.3992634347460227</v>
      </c>
      <c r="E40" s="170">
        <f>I40/'- 7 -'!F40</f>
        <v>174.66606809013089</v>
      </c>
      <c r="F40" s="170">
        <f>'- 32 -'!F40</f>
        <v>903394</v>
      </c>
      <c r="G40" s="177">
        <f t="shared" si="1"/>
        <v>0.63614591878769533</v>
      </c>
      <c r="I40" s="1">
        <v>1420105</v>
      </c>
      <c r="J40" s="1">
        <v>1420105</v>
      </c>
      <c r="K40" s="1">
        <f t="shared" si="2"/>
        <v>0</v>
      </c>
    </row>
    <row r="41" spans="1:11" ht="14.1" customHeight="1">
      <c r="A41" s="351" t="s">
        <v>253</v>
      </c>
      <c r="B41" s="408">
        <f>'- 32 -'!D41</f>
        <v>4180941</v>
      </c>
      <c r="C41" s="408">
        <f>B41/'- 7 -'!F41</f>
        <v>928.37592983235265</v>
      </c>
      <c r="D41" s="409">
        <f t="shared" si="0"/>
        <v>5.7670538091231363</v>
      </c>
      <c r="E41" s="408">
        <f>I41/'- 7 -'!F41</f>
        <v>160.97923837015654</v>
      </c>
      <c r="F41" s="408">
        <f>'- 32 -'!F41</f>
        <v>153420</v>
      </c>
      <c r="G41" s="409">
        <f t="shared" si="1"/>
        <v>0.21162254989861651</v>
      </c>
      <c r="I41" s="1">
        <v>724970</v>
      </c>
      <c r="J41" s="1">
        <v>722180</v>
      </c>
      <c r="K41" s="1">
        <f t="shared" si="2"/>
        <v>2790</v>
      </c>
    </row>
    <row r="42" spans="1:11" ht="14.1" customHeight="1">
      <c r="A42" s="23" t="s">
        <v>254</v>
      </c>
      <c r="B42" s="170">
        <f>'- 32 -'!D42</f>
        <v>1673447</v>
      </c>
      <c r="C42" s="170">
        <f>B42/'- 7 -'!F42</f>
        <v>1147.7688614540466</v>
      </c>
      <c r="D42" s="177">
        <f t="shared" si="0"/>
        <v>5.1870368016961077</v>
      </c>
      <c r="E42" s="170">
        <f>I42/'- 7 -'!F42</f>
        <v>221.2764060356653</v>
      </c>
      <c r="F42" s="170">
        <f>'- 32 -'!F42</f>
        <v>96979</v>
      </c>
      <c r="G42" s="177">
        <f t="shared" si="1"/>
        <v>0.30059729527836065</v>
      </c>
      <c r="I42" s="1">
        <v>322621</v>
      </c>
      <c r="J42" s="1">
        <v>322621</v>
      </c>
      <c r="K42" s="1">
        <f t="shared" si="2"/>
        <v>0</v>
      </c>
    </row>
    <row r="43" spans="1:11" ht="14.1" customHeight="1">
      <c r="A43" s="351" t="s">
        <v>255</v>
      </c>
      <c r="B43" s="408">
        <f>'- 32 -'!D43</f>
        <v>817064</v>
      </c>
      <c r="C43" s="408">
        <f>B43/'- 7 -'!F43</f>
        <v>860.86026603450546</v>
      </c>
      <c r="D43" s="409">
        <f>B43/I43</f>
        <v>4.4746601824773542</v>
      </c>
      <c r="E43" s="408">
        <f>I43/'- 7 -'!F43</f>
        <v>192.38561833267482</v>
      </c>
      <c r="F43" s="408">
        <f>'- 32 -'!F43</f>
        <v>130300</v>
      </c>
      <c r="G43" s="409">
        <f>F43/I43</f>
        <v>0.71358941499906903</v>
      </c>
      <c r="I43" s="1">
        <v>182598</v>
      </c>
      <c r="J43" s="1">
        <v>182598</v>
      </c>
      <c r="K43" s="1">
        <f t="shared" si="2"/>
        <v>0</v>
      </c>
    </row>
    <row r="44" spans="1:11" ht="14.1" customHeight="1">
      <c r="A44" s="23" t="s">
        <v>256</v>
      </c>
      <c r="B44" s="170">
        <f>'- 32 -'!D44</f>
        <v>975130</v>
      </c>
      <c r="C44" s="170">
        <f>B44/'- 7 -'!F44</f>
        <v>1303.6497326203209</v>
      </c>
      <c r="D44" s="177">
        <f>B44/I44</f>
        <v>5.4443991580451909</v>
      </c>
      <c r="E44" s="170">
        <f>I44/'- 7 -'!F44</f>
        <v>239.44786096256684</v>
      </c>
      <c r="F44" s="170">
        <f>'- 32 -'!F44</f>
        <v>53940</v>
      </c>
      <c r="G44" s="177">
        <f>F44/I44</f>
        <v>0.30116075865264896</v>
      </c>
      <c r="I44" s="1">
        <v>179107</v>
      </c>
      <c r="J44" s="1">
        <v>179107</v>
      </c>
      <c r="K44" s="1">
        <f t="shared" si="2"/>
        <v>0</v>
      </c>
    </row>
    <row r="45" spans="1:11" ht="14.1" customHeight="1">
      <c r="A45" s="351" t="s">
        <v>257</v>
      </c>
      <c r="B45" s="408">
        <f>'- 32 -'!D45</f>
        <v>1351156</v>
      </c>
      <c r="C45" s="408">
        <f>B45/'- 7 -'!F45</f>
        <v>813.2145651519711</v>
      </c>
      <c r="D45" s="409">
        <f>B45/I45</f>
        <v>6.6459882737181761</v>
      </c>
      <c r="E45" s="408">
        <f>I45/'- 7 -'!F45</f>
        <v>122.36172133614204</v>
      </c>
      <c r="F45" s="408">
        <f>'- 32 -'!F45</f>
        <v>154000</v>
      </c>
      <c r="G45" s="409">
        <f>F45/I45</f>
        <v>0.75748632589619491</v>
      </c>
      <c r="I45" s="1">
        <v>203304</v>
      </c>
      <c r="J45" s="1">
        <v>187957</v>
      </c>
      <c r="K45" s="1">
        <f t="shared" si="2"/>
        <v>15347</v>
      </c>
    </row>
    <row r="46" spans="1:11" ht="14.1" customHeight="1">
      <c r="A46" s="23" t="s">
        <v>258</v>
      </c>
      <c r="B46" s="170">
        <f>'- 32 -'!D46</f>
        <v>36639100</v>
      </c>
      <c r="C46" s="170">
        <f>B46/'- 7 -'!F46</f>
        <v>1202.3857967970596</v>
      </c>
      <c r="D46" s="177">
        <f>B46/I46</f>
        <v>7.3657018043799258</v>
      </c>
      <c r="E46" s="170">
        <f>I46/'- 7 -'!F46</f>
        <v>163.24117222368076</v>
      </c>
      <c r="F46" s="170">
        <f>'- 32 -'!F46</f>
        <v>4228400</v>
      </c>
      <c r="G46" s="177">
        <f>F46/I46</f>
        <v>0.8500518164922195</v>
      </c>
      <c r="I46" s="1">
        <v>4974285</v>
      </c>
      <c r="J46" s="1">
        <v>4979391</v>
      </c>
      <c r="K46" s="1">
        <f t="shared" si="2"/>
        <v>-5106</v>
      </c>
    </row>
    <row r="47" spans="1:11" ht="5.0999999999999996" customHeight="1">
      <c r="A47"/>
      <c r="B47"/>
      <c r="C47"/>
      <c r="D47"/>
      <c r="E47"/>
      <c r="F47"/>
      <c r="G47"/>
      <c r="H47"/>
      <c r="I47"/>
    </row>
    <row r="48" spans="1:11" ht="14.1" customHeight="1">
      <c r="A48" s="354" t="s">
        <v>259</v>
      </c>
      <c r="B48" s="410">
        <f>SUM(B11:B46)</f>
        <v>191828069</v>
      </c>
      <c r="C48" s="410">
        <f>B48/'- 7 -'!F48</f>
        <v>1109.7200637446097</v>
      </c>
      <c r="D48" s="411">
        <f>B48/I48</f>
        <v>6.7960845188752046</v>
      </c>
      <c r="E48" s="410">
        <f>I48/'- 7 -'!F48</f>
        <v>163.28814932517574</v>
      </c>
      <c r="F48" s="410">
        <f>SUM(F11:F46)</f>
        <v>17534860</v>
      </c>
      <c r="G48" s="411">
        <f>F48/I48</f>
        <v>0.62122499177450452</v>
      </c>
      <c r="I48" s="1">
        <f>SUM(I11:I46)</f>
        <v>28226263</v>
      </c>
      <c r="J48" s="1">
        <v>28091453</v>
      </c>
      <c r="K48" s="1">
        <f t="shared" si="2"/>
        <v>134810</v>
      </c>
    </row>
    <row r="49" spans="1:11" ht="5.0999999999999996" customHeight="1">
      <c r="A49" s="25" t="s">
        <v>3</v>
      </c>
      <c r="B49" s="171"/>
      <c r="C49" s="171"/>
      <c r="D49" s="98"/>
      <c r="E49" s="171"/>
      <c r="F49" s="171"/>
      <c r="G49" s="98"/>
    </row>
    <row r="50" spans="1:11" ht="14.1" customHeight="1">
      <c r="A50" s="23" t="s">
        <v>260</v>
      </c>
      <c r="B50" s="170">
        <f>'- 32 -'!D50</f>
        <v>395772</v>
      </c>
      <c r="C50" s="170">
        <f>B50/'- 7 -'!F50</f>
        <v>2186.5856353591162</v>
      </c>
      <c r="D50" s="177">
        <f>B50/I50</f>
        <v>5.3915483747922517</v>
      </c>
      <c r="E50" s="170">
        <f>I50/'- 7 -'!F50</f>
        <v>405.55801104972375</v>
      </c>
      <c r="F50" s="170">
        <f>'- 32 -'!F50</f>
        <v>0</v>
      </c>
      <c r="G50" s="323" t="s">
        <v>179</v>
      </c>
      <c r="I50" s="157">
        <v>73406</v>
      </c>
      <c r="J50" s="1">
        <v>73406</v>
      </c>
      <c r="K50" s="1">
        <f t="shared" si="2"/>
        <v>0</v>
      </c>
    </row>
    <row r="51" spans="1:11" ht="14.1" customHeight="1">
      <c r="A51" s="351" t="s">
        <v>261</v>
      </c>
      <c r="B51" s="408">
        <f>'- 32 -'!D51</f>
        <v>1615732</v>
      </c>
      <c r="C51" s="408">
        <f>B51/'- 7 -'!F51</f>
        <v>2601.8228663446057</v>
      </c>
      <c r="D51" s="413" t="s">
        <v>179</v>
      </c>
      <c r="E51" s="412" t="s">
        <v>179</v>
      </c>
      <c r="F51" s="408">
        <f>'- 32 -'!F51</f>
        <v>47856</v>
      </c>
      <c r="G51" s="413" t="s">
        <v>179</v>
      </c>
    </row>
    <row r="52" spans="1:11" ht="50.1" customHeight="1">
      <c r="A52" s="27"/>
      <c r="B52" s="27"/>
      <c r="C52" s="27"/>
      <c r="D52" s="27"/>
      <c r="E52" s="27"/>
      <c r="F52" s="27"/>
      <c r="G52" s="27"/>
    </row>
    <row r="53" spans="1:11" ht="15" customHeight="1">
      <c r="A53" s="159" t="s">
        <v>614</v>
      </c>
    </row>
    <row r="54" spans="1:11" ht="12" customHeight="1">
      <c r="A54" s="1" t="s">
        <v>553</v>
      </c>
    </row>
    <row r="55" spans="1:11" ht="14.45" customHeight="1"/>
    <row r="56" spans="1:11" ht="14.45" customHeight="1"/>
    <row r="57" spans="1:11" ht="14.45" customHeight="1"/>
    <row r="58" spans="1:11" ht="14.45" customHeight="1"/>
    <row r="59" spans="1:11" ht="14.45" customHeight="1"/>
  </sheetData>
  <phoneticPr fontId="0" type="noConversion"/>
  <printOptions horizontalCentered="1"/>
  <pageMargins left="0.5" right="0.5" top="0.6" bottom="0" header="0.3" footer="0"/>
  <pageSetup scale="88" orientation="portrait" r:id="rId1"/>
  <headerFooter alignWithMargins="0">
    <oddHeader>&amp;C&amp;"Arial,Bold"&amp;10&amp;A</oddHeader>
  </headerFooter>
  <legacyDrawing r:id="rId2"/>
</worksheet>
</file>

<file path=xl/worksheets/sheet34.xml><?xml version="1.0" encoding="utf-8"?>
<worksheet xmlns="http://schemas.openxmlformats.org/spreadsheetml/2006/main" xmlns:r="http://schemas.openxmlformats.org/officeDocument/2006/relationships">
  <sheetPr codeName="Sheet52">
    <pageSetUpPr fitToPage="1"/>
  </sheetPr>
  <dimension ref="A1:J59"/>
  <sheetViews>
    <sheetView showGridLines="0" showZeros="0" workbookViewId="0"/>
  </sheetViews>
  <sheetFormatPr defaultColWidth="15.83203125" defaultRowHeight="12"/>
  <cols>
    <col min="1" max="1" width="29.83203125" style="1" customWidth="1"/>
    <col min="2" max="2" width="15.83203125" style="1"/>
    <col min="3" max="3" width="8.83203125" style="1" customWidth="1"/>
    <col min="4" max="4" width="9.83203125" style="1" customWidth="1"/>
    <col min="5" max="5" width="15.83203125" style="1"/>
    <col min="6" max="6" width="8.83203125" style="1" customWidth="1"/>
    <col min="7" max="7" width="9.83203125" style="1" customWidth="1"/>
    <col min="8" max="8" width="15.83203125" style="1"/>
    <col min="9" max="9" width="8.83203125" style="1" customWidth="1"/>
    <col min="10" max="10" width="9.83203125" style="1" customWidth="1"/>
    <col min="11" max="16384" width="15.83203125" style="1"/>
  </cols>
  <sheetData>
    <row r="1" spans="1:10" ht="6.95" customHeight="1">
      <c r="A1" s="3"/>
      <c r="B1" s="4"/>
      <c r="C1" s="4"/>
      <c r="D1" s="4"/>
      <c r="E1" s="4"/>
      <c r="F1" s="4"/>
      <c r="G1" s="4"/>
      <c r="H1" s="4"/>
      <c r="I1" s="4"/>
      <c r="J1" s="4"/>
    </row>
    <row r="2" spans="1:10" ht="15.95" customHeight="1">
      <c r="A2" s="160"/>
      <c r="B2" s="5" t="s">
        <v>513</v>
      </c>
      <c r="C2" s="6"/>
      <c r="D2" s="6"/>
      <c r="E2" s="6"/>
      <c r="F2" s="6"/>
      <c r="G2" s="6"/>
      <c r="H2" s="105"/>
      <c r="I2" s="172"/>
      <c r="J2" s="116"/>
    </row>
    <row r="3" spans="1:10" ht="15.95" customHeight="1">
      <c r="A3" s="163"/>
      <c r="B3" s="7" t="str">
        <f>OPYEAR</f>
        <v>OPERATING FUND 2012/2013 BUDGET</v>
      </c>
      <c r="C3" s="8"/>
      <c r="D3" s="8"/>
      <c r="E3" s="8"/>
      <c r="F3" s="8"/>
      <c r="G3" s="8"/>
      <c r="H3" s="107"/>
      <c r="I3" s="107"/>
      <c r="J3" s="100"/>
    </row>
    <row r="4" spans="1:10" ht="15.95" customHeight="1">
      <c r="B4" s="4"/>
      <c r="C4" s="4"/>
      <c r="D4" s="4"/>
      <c r="E4" s="4"/>
      <c r="F4" s="4"/>
      <c r="G4" s="4"/>
      <c r="H4" s="4"/>
      <c r="I4" s="4"/>
      <c r="J4" s="4"/>
    </row>
    <row r="5" spans="1:10" ht="14.1" customHeight="1"/>
    <row r="6" spans="1:10" ht="18" customHeight="1">
      <c r="B6" s="165" t="s">
        <v>436</v>
      </c>
      <c r="C6" s="173"/>
      <c r="D6" s="166"/>
      <c r="E6" s="166"/>
      <c r="F6" s="166"/>
      <c r="G6" s="166"/>
      <c r="H6" s="166"/>
      <c r="I6" s="166"/>
      <c r="J6" s="167"/>
    </row>
    <row r="7" spans="1:10" ht="15.95" customHeight="1">
      <c r="B7" s="348" t="s">
        <v>148</v>
      </c>
      <c r="C7" s="349"/>
      <c r="D7" s="350"/>
      <c r="E7" s="348" t="s">
        <v>135</v>
      </c>
      <c r="F7" s="349"/>
      <c r="G7" s="350"/>
      <c r="H7" s="348" t="s">
        <v>140</v>
      </c>
      <c r="I7" s="349"/>
      <c r="J7" s="350"/>
    </row>
    <row r="8" spans="1:10" ht="15.95" customHeight="1">
      <c r="A8" s="101"/>
      <c r="B8" s="168"/>
      <c r="C8" s="103"/>
      <c r="D8" s="16" t="s">
        <v>59</v>
      </c>
      <c r="E8" s="168"/>
      <c r="F8" s="169"/>
      <c r="G8" s="16" t="s">
        <v>59</v>
      </c>
      <c r="H8" s="168"/>
      <c r="I8" s="169"/>
      <c r="J8" s="16" t="s">
        <v>59</v>
      </c>
    </row>
    <row r="9" spans="1:10" ht="15.95" customHeight="1">
      <c r="A9" s="35" t="s">
        <v>79</v>
      </c>
      <c r="B9" s="112" t="s">
        <v>80</v>
      </c>
      <c r="C9" s="112" t="s">
        <v>81</v>
      </c>
      <c r="D9" s="112" t="s">
        <v>82</v>
      </c>
      <c r="E9" s="112" t="s">
        <v>80</v>
      </c>
      <c r="F9" s="112" t="s">
        <v>81</v>
      </c>
      <c r="G9" s="112" t="s">
        <v>82</v>
      </c>
      <c r="H9" s="112" t="s">
        <v>80</v>
      </c>
      <c r="I9" s="112" t="s">
        <v>81</v>
      </c>
      <c r="J9" s="112" t="s">
        <v>82</v>
      </c>
    </row>
    <row r="10" spans="1:10" ht="5.0999999999999996" customHeight="1">
      <c r="A10" s="37"/>
    </row>
    <row r="11" spans="1:10" ht="14.1" customHeight="1">
      <c r="A11" s="351" t="s">
        <v>224</v>
      </c>
      <c r="B11" s="352">
        <v>123800</v>
      </c>
      <c r="C11" s="353">
        <f>B11/'- 3 -'!$D11*100</f>
        <v>0.78035571109441415</v>
      </c>
      <c r="D11" s="352">
        <f>B11/'- 7 -'!$F11</f>
        <v>83.7052062204192</v>
      </c>
      <c r="E11" s="352">
        <v>148592</v>
      </c>
      <c r="F11" s="353">
        <f>E11/'- 3 -'!$D11*100</f>
        <v>0.93662856076689172</v>
      </c>
      <c r="G11" s="352">
        <f>E11/'- 7 -'!$F11</f>
        <v>100.46788370520622</v>
      </c>
      <c r="H11" s="352">
        <v>159608</v>
      </c>
      <c r="I11" s="353">
        <f>H11/'- 3 -'!$D11*100</f>
        <v>1.00606635166686</v>
      </c>
      <c r="J11" s="352">
        <f>H11/'- 7 -'!$F11</f>
        <v>107.91615956727519</v>
      </c>
    </row>
    <row r="12" spans="1:10" ht="14.1" customHeight="1">
      <c r="A12" s="23" t="s">
        <v>225</v>
      </c>
      <c r="B12" s="24">
        <v>262411</v>
      </c>
      <c r="C12" s="344">
        <f>B12/'- 3 -'!$D12*100</f>
        <v>0.87465919219943367</v>
      </c>
      <c r="D12" s="24">
        <f>B12/'- 7 -'!$F12</f>
        <v>113.60668796702772</v>
      </c>
      <c r="E12" s="24">
        <v>101600</v>
      </c>
      <c r="F12" s="344">
        <f>E12/'- 3 -'!$D12*100</f>
        <v>0.33864957615139019</v>
      </c>
      <c r="G12" s="24">
        <f>E12/'- 7 -'!$F12</f>
        <v>43.986111471889579</v>
      </c>
      <c r="H12" s="24">
        <v>372285</v>
      </c>
      <c r="I12" s="344">
        <f>H12/'- 3 -'!$D12*100</f>
        <v>1.2408873765503969</v>
      </c>
      <c r="J12" s="24">
        <f>H12/'- 7 -'!$F12</f>
        <v>161.17489674520093</v>
      </c>
    </row>
    <row r="13" spans="1:10" ht="14.1" customHeight="1">
      <c r="A13" s="351" t="s">
        <v>226</v>
      </c>
      <c r="B13" s="352">
        <v>310600</v>
      </c>
      <c r="C13" s="353">
        <f>B13/'- 3 -'!$D13*100</f>
        <v>0.39624523829571173</v>
      </c>
      <c r="D13" s="352">
        <f>B13/'- 7 -'!$F13</f>
        <v>40.191511387163558</v>
      </c>
      <c r="E13" s="352">
        <v>190400</v>
      </c>
      <c r="F13" s="353">
        <f>E13/'- 3 -'!$D13*100</f>
        <v>0.24290113770606409</v>
      </c>
      <c r="G13" s="352">
        <f>E13/'- 7 -'!$F13</f>
        <v>24.637681159420289</v>
      </c>
      <c r="H13" s="352">
        <v>981400</v>
      </c>
      <c r="I13" s="353">
        <f>H13/'- 3 -'!$D13*100</f>
        <v>1.2520124818525804</v>
      </c>
      <c r="J13" s="352">
        <f>H13/'- 7 -'!$F13</f>
        <v>126.99275362318841</v>
      </c>
    </row>
    <row r="14" spans="1:10" ht="14.1" customHeight="1">
      <c r="A14" s="23" t="s">
        <v>524</v>
      </c>
      <c r="B14" s="24">
        <v>348980</v>
      </c>
      <c r="C14" s="344">
        <f>B14/'- 3 -'!$D14*100</f>
        <v>0.488352414290324</v>
      </c>
      <c r="D14" s="24">
        <f>B14/'- 7 -'!$F14</f>
        <v>69.242063492063494</v>
      </c>
      <c r="E14" s="24">
        <v>313698</v>
      </c>
      <c r="F14" s="344">
        <f>E14/'- 3 -'!$D14*100</f>
        <v>0.43897981448233725</v>
      </c>
      <c r="G14" s="24">
        <f>E14/'- 7 -'!$F14</f>
        <v>62.241666666666667</v>
      </c>
      <c r="H14" s="24">
        <v>801412</v>
      </c>
      <c r="I14" s="344">
        <f>H14/'- 3 -'!$D14*100</f>
        <v>1.1214725343608147</v>
      </c>
      <c r="J14" s="24">
        <f>H14/'- 7 -'!$F14</f>
        <v>159.01031746031745</v>
      </c>
    </row>
    <row r="15" spans="1:10" ht="14.1" customHeight="1">
      <c r="A15" s="351" t="s">
        <v>227</v>
      </c>
      <c r="B15" s="352">
        <v>57000</v>
      </c>
      <c r="C15" s="353">
        <f>B15/'- 3 -'!$D15*100</f>
        <v>0.30472674484529316</v>
      </c>
      <c r="D15" s="352">
        <f>B15/'- 7 -'!$F15</f>
        <v>38.152610441767067</v>
      </c>
      <c r="E15" s="352">
        <v>78850</v>
      </c>
      <c r="F15" s="353">
        <f>E15/'- 3 -'!$D15*100</f>
        <v>0.42153866370265552</v>
      </c>
      <c r="G15" s="352">
        <f>E15/'- 7 -'!$F15</f>
        <v>52.777777777777779</v>
      </c>
      <c r="H15" s="352">
        <v>230972</v>
      </c>
      <c r="I15" s="353">
        <f>H15/'- 3 -'!$D15*100</f>
        <v>1.2347955387790712</v>
      </c>
      <c r="J15" s="352">
        <f>H15/'- 7 -'!$F15</f>
        <v>154.59973226238287</v>
      </c>
    </row>
    <row r="16" spans="1:10" ht="14.1" customHeight="1">
      <c r="A16" s="23" t="s">
        <v>228</v>
      </c>
      <c r="B16" s="24">
        <v>107686</v>
      </c>
      <c r="C16" s="344">
        <f>B16/'- 3 -'!$D16*100</f>
        <v>0.85081590975027488</v>
      </c>
      <c r="D16" s="24">
        <f>B16/'- 7 -'!$F16</f>
        <v>108.82870136432541</v>
      </c>
      <c r="E16" s="24">
        <v>72128</v>
      </c>
      <c r="F16" s="344">
        <f>E16/'- 3 -'!$D16*100</f>
        <v>0.56987584215652753</v>
      </c>
      <c r="G16" s="24">
        <f>E16/'- 7 -'!$F16</f>
        <v>72.893380495199594</v>
      </c>
      <c r="H16" s="24">
        <v>78741</v>
      </c>
      <c r="I16" s="344">
        <f>H16/'- 3 -'!$D16*100</f>
        <v>0.62212446882274752</v>
      </c>
      <c r="J16" s="24">
        <f>H16/'- 7 -'!$F16</f>
        <v>79.576553815058105</v>
      </c>
    </row>
    <row r="17" spans="1:10" ht="14.1" customHeight="1">
      <c r="A17" s="351" t="s">
        <v>229</v>
      </c>
      <c r="B17" s="352">
        <v>136000</v>
      </c>
      <c r="C17" s="353">
        <f>B17/'- 3 -'!$D17*100</f>
        <v>0.83434241731820025</v>
      </c>
      <c r="D17" s="352">
        <f>B17/'- 7 -'!$F17</f>
        <v>105.79541034616881</v>
      </c>
      <c r="E17" s="352">
        <v>114356</v>
      </c>
      <c r="F17" s="353">
        <f>E17/'- 3 -'!$D17*100</f>
        <v>0.70155927555029485</v>
      </c>
      <c r="G17" s="352">
        <f>E17/'- 7 -'!$F17</f>
        <v>88.95838195254764</v>
      </c>
      <c r="H17" s="352">
        <v>282545</v>
      </c>
      <c r="I17" s="353">
        <f>H17/'- 3 -'!$D17*100</f>
        <v>1.7333770463321387</v>
      </c>
      <c r="J17" s="352">
        <f>H17/'- 7 -'!$F17</f>
        <v>219.79385453131079</v>
      </c>
    </row>
    <row r="18" spans="1:10" ht="14.1" customHeight="1">
      <c r="A18" s="23" t="s">
        <v>230</v>
      </c>
      <c r="B18" s="24">
        <v>326422</v>
      </c>
      <c r="C18" s="344">
        <f>B18/'- 3 -'!$D18*100</f>
        <v>0.28343637643860858</v>
      </c>
      <c r="D18" s="24">
        <f>B18/'- 7 -'!$F18</f>
        <v>51.620463350992331</v>
      </c>
      <c r="E18" s="24">
        <v>0</v>
      </c>
      <c r="F18" s="344">
        <f>E18/'- 3 -'!$D18*100</f>
        <v>0</v>
      </c>
      <c r="G18" s="24">
        <f>E18/'- 7 -'!$F18</f>
        <v>0</v>
      </c>
      <c r="H18" s="24">
        <v>1247813</v>
      </c>
      <c r="I18" s="344">
        <f>H18/'- 3 -'!$D18*100</f>
        <v>1.0834919067740212</v>
      </c>
      <c r="J18" s="24">
        <f>H18/'- 7 -'!$F18</f>
        <v>197.32948525341979</v>
      </c>
    </row>
    <row r="19" spans="1:10" ht="14.1" customHeight="1">
      <c r="A19" s="351" t="s">
        <v>231</v>
      </c>
      <c r="B19" s="352">
        <v>299000</v>
      </c>
      <c r="C19" s="353">
        <f>B19/'- 3 -'!$D19*100</f>
        <v>0.76487930063939047</v>
      </c>
      <c r="D19" s="352">
        <f>B19/'- 7 -'!$F19</f>
        <v>70.970804652266793</v>
      </c>
      <c r="E19" s="352">
        <v>145000</v>
      </c>
      <c r="F19" s="353">
        <f>E19/'- 3 -'!$D19*100</f>
        <v>0.37092808893883489</v>
      </c>
      <c r="G19" s="352">
        <f>E19/'- 7 -'!$F19</f>
        <v>34.417279848089251</v>
      </c>
      <c r="H19" s="352">
        <v>461100</v>
      </c>
      <c r="I19" s="353">
        <f>H19/'- 3 -'!$D19*100</f>
        <v>1.1795513228254948</v>
      </c>
      <c r="J19" s="352">
        <f>H19/'- 7 -'!$F19</f>
        <v>109.44694991692381</v>
      </c>
    </row>
    <row r="20" spans="1:10" ht="14.1" customHeight="1">
      <c r="A20" s="23" t="s">
        <v>232</v>
      </c>
      <c r="B20" s="24">
        <v>519700</v>
      </c>
      <c r="C20" s="344">
        <f>B20/'- 3 -'!$D20*100</f>
        <v>0.76800307378563304</v>
      </c>
      <c r="D20" s="24">
        <f>B20/'- 7 -'!$F20</f>
        <v>69.993265993265993</v>
      </c>
      <c r="E20" s="24">
        <v>190000</v>
      </c>
      <c r="F20" s="344">
        <f>E20/'- 3 -'!$D20*100</f>
        <v>0.28077849532282134</v>
      </c>
      <c r="G20" s="24">
        <f>E20/'- 7 -'!$F20</f>
        <v>25.589225589225588</v>
      </c>
      <c r="H20" s="24">
        <v>951400</v>
      </c>
      <c r="I20" s="344">
        <f>H20/'- 3 -'!$D20*100</f>
        <v>1.4059613707901697</v>
      </c>
      <c r="J20" s="24">
        <f>H20/'- 7 -'!$F20</f>
        <v>128.13468013468014</v>
      </c>
    </row>
    <row r="21" spans="1:10" ht="14.1" customHeight="1">
      <c r="A21" s="351" t="s">
        <v>233</v>
      </c>
      <c r="B21" s="352">
        <v>412402</v>
      </c>
      <c r="C21" s="353">
        <f>B21/'- 3 -'!$D21*100</f>
        <v>1.2668298014429011</v>
      </c>
      <c r="D21" s="352">
        <f>B21/'- 7 -'!$F21</f>
        <v>147.81433691756271</v>
      </c>
      <c r="E21" s="352">
        <v>211520</v>
      </c>
      <c r="F21" s="353">
        <f>E21/'- 3 -'!$D21*100</f>
        <v>0.6497539769477414</v>
      </c>
      <c r="G21" s="352">
        <f>E21/'- 7 -'!$F21</f>
        <v>75.813620071684582</v>
      </c>
      <c r="H21" s="352">
        <v>293365</v>
      </c>
      <c r="I21" s="353">
        <f>H21/'- 3 -'!$D21*100</f>
        <v>0.90116809496631112</v>
      </c>
      <c r="J21" s="352">
        <f>H21/'- 7 -'!$F21</f>
        <v>105.14874551971326</v>
      </c>
    </row>
    <row r="22" spans="1:10" ht="14.1" customHeight="1">
      <c r="A22" s="23" t="s">
        <v>234</v>
      </c>
      <c r="B22" s="24">
        <v>117000</v>
      </c>
      <c r="C22" s="344">
        <f>B22/'- 3 -'!$D22*100</f>
        <v>0.61502279921056302</v>
      </c>
      <c r="D22" s="24">
        <f>B22/'- 7 -'!$F22</f>
        <v>72.468256426138126</v>
      </c>
      <c r="E22" s="24">
        <v>164975</v>
      </c>
      <c r="F22" s="344">
        <f>E22/'- 3 -'!$D22*100</f>
        <v>0.86720842991250113</v>
      </c>
      <c r="G22" s="24">
        <f>E22/'- 7 -'!$F22</f>
        <v>102.18333849489007</v>
      </c>
      <c r="H22" s="24">
        <v>106317</v>
      </c>
      <c r="I22" s="344">
        <f>H22/'- 3 -'!$D22*100</f>
        <v>0.5588664866980293</v>
      </c>
      <c r="J22" s="24">
        <f>H22/'- 7 -'!$F22</f>
        <v>65.851347166305359</v>
      </c>
    </row>
    <row r="23" spans="1:10" ht="14.1" customHeight="1">
      <c r="A23" s="351" t="s">
        <v>235</v>
      </c>
      <c r="B23" s="352">
        <v>93500</v>
      </c>
      <c r="C23" s="353">
        <f>B23/'- 3 -'!$D23*100</f>
        <v>0.6006303085119914</v>
      </c>
      <c r="D23" s="352">
        <f>B23/'- 7 -'!$F23</f>
        <v>78.209953994144712</v>
      </c>
      <c r="E23" s="352">
        <v>24000</v>
      </c>
      <c r="F23" s="353">
        <f>E23/'- 3 -'!$D23*100</f>
        <v>0.15417248560735608</v>
      </c>
      <c r="G23" s="352">
        <f>E23/'- 7 -'!$F23</f>
        <v>20.075282308657467</v>
      </c>
      <c r="H23" s="352">
        <v>188000</v>
      </c>
      <c r="I23" s="353">
        <f>H23/'- 3 -'!$D23*100</f>
        <v>1.207684470590956</v>
      </c>
      <c r="J23" s="352">
        <f>H23/'- 7 -'!$F23</f>
        <v>157.25637808448349</v>
      </c>
    </row>
    <row r="24" spans="1:10" ht="14.1" customHeight="1">
      <c r="A24" s="23" t="s">
        <v>236</v>
      </c>
      <c r="B24" s="24">
        <v>414185</v>
      </c>
      <c r="C24" s="344">
        <f>B24/'- 3 -'!$D24*100</f>
        <v>0.81201432623945224</v>
      </c>
      <c r="D24" s="24">
        <f>B24/'- 7 -'!$F24</f>
        <v>96.953417602996254</v>
      </c>
      <c r="E24" s="24">
        <v>321040</v>
      </c>
      <c r="F24" s="344">
        <f>E24/'- 3 -'!$D24*100</f>
        <v>0.62940251166969774</v>
      </c>
      <c r="G24" s="24">
        <f>E24/'- 7 -'!$F24</f>
        <v>75.149812734082403</v>
      </c>
      <c r="H24" s="24">
        <v>748200</v>
      </c>
      <c r="I24" s="344">
        <f>H24/'- 3 -'!$D24*100</f>
        <v>1.4668544705683648</v>
      </c>
      <c r="J24" s="24">
        <f>H24/'- 7 -'!$F24</f>
        <v>175.14044943820224</v>
      </c>
    </row>
    <row r="25" spans="1:10" ht="14.1" customHeight="1">
      <c r="A25" s="351" t="s">
        <v>237</v>
      </c>
      <c r="B25" s="352">
        <v>962884</v>
      </c>
      <c r="C25" s="353">
        <f>B25/'- 3 -'!$D25*100</f>
        <v>0.64128936349338006</v>
      </c>
      <c r="D25" s="352">
        <f>B25/'- 7 -'!$F25</f>
        <v>70.84196586227192</v>
      </c>
      <c r="E25" s="352">
        <v>887300</v>
      </c>
      <c r="F25" s="353">
        <f>E25/'- 3 -'!$D25*100</f>
        <v>0.59094974288458013</v>
      </c>
      <c r="G25" s="352">
        <f>E25/'- 7 -'!$F25</f>
        <v>65.281047675102997</v>
      </c>
      <c r="H25" s="352">
        <v>1245749</v>
      </c>
      <c r="I25" s="353">
        <f>H25/'- 3 -'!$D25*100</f>
        <v>0.82967998562912515</v>
      </c>
      <c r="J25" s="352">
        <f>H25/'- 7 -'!$F25</f>
        <v>91.6531047675103</v>
      </c>
    </row>
    <row r="26" spans="1:10" ht="14.1" customHeight="1">
      <c r="A26" s="23" t="s">
        <v>238</v>
      </c>
      <c r="B26" s="24">
        <v>259756</v>
      </c>
      <c r="C26" s="344">
        <f>B26/'- 3 -'!$D26*100</f>
        <v>0.70626347290508262</v>
      </c>
      <c r="D26" s="24">
        <f>B26/'- 7 -'!$F26</f>
        <v>86.903981264636997</v>
      </c>
      <c r="E26" s="24">
        <v>447360</v>
      </c>
      <c r="F26" s="344">
        <f>E26/'- 3 -'!$D26*100</f>
        <v>1.2163492941022258</v>
      </c>
      <c r="G26" s="24">
        <f>E26/'- 7 -'!$F26</f>
        <v>149.66878554700568</v>
      </c>
      <c r="H26" s="24">
        <v>485469</v>
      </c>
      <c r="I26" s="344">
        <f>H26/'- 3 -'!$D26*100</f>
        <v>1.3199657444977502</v>
      </c>
      <c r="J26" s="24">
        <f>H26/'- 7 -'!$F26</f>
        <v>162.41853462696554</v>
      </c>
    </row>
    <row r="27" spans="1:10" ht="14.1" customHeight="1">
      <c r="A27" s="351" t="s">
        <v>239</v>
      </c>
      <c r="B27" s="352">
        <v>243600</v>
      </c>
      <c r="C27" s="353">
        <f>B27/'- 3 -'!$D27*100</f>
        <v>0.6362403274036309</v>
      </c>
      <c r="D27" s="352">
        <f>B27/'- 7 -'!$F27</f>
        <v>87.062187276626162</v>
      </c>
      <c r="E27" s="352">
        <v>125700</v>
      </c>
      <c r="F27" s="353">
        <f>E27/'- 3 -'!$D27*100</f>
        <v>0.32830627731788348</v>
      </c>
      <c r="G27" s="352">
        <f>E27/'- 7 -'!$F27</f>
        <v>44.92494639027877</v>
      </c>
      <c r="H27" s="352">
        <v>330225</v>
      </c>
      <c r="I27" s="353">
        <f>H27/'- 3 -'!$D27*100</f>
        <v>0.86248958176052548</v>
      </c>
      <c r="J27" s="352">
        <f>H27/'- 7 -'!$F27</f>
        <v>118.02180128663331</v>
      </c>
    </row>
    <row r="28" spans="1:10" ht="14.1" customHeight="1">
      <c r="A28" s="23" t="s">
        <v>240</v>
      </c>
      <c r="B28" s="24">
        <v>159975</v>
      </c>
      <c r="C28" s="344">
        <f>B28/'- 3 -'!$D28*100</f>
        <v>0.62404357690738788</v>
      </c>
      <c r="D28" s="24">
        <f>B28/'- 7 -'!$F28</f>
        <v>81.828644501278774</v>
      </c>
      <c r="E28" s="24">
        <v>151600</v>
      </c>
      <c r="F28" s="344">
        <f>E28/'- 3 -'!$D28*100</f>
        <v>0.59137369125900918</v>
      </c>
      <c r="G28" s="24">
        <f>E28/'- 7 -'!$F28</f>
        <v>77.544757033248075</v>
      </c>
      <c r="H28" s="24">
        <v>252600</v>
      </c>
      <c r="I28" s="344">
        <f>H28/'- 3 -'!$D28*100</f>
        <v>0.98536275997378442</v>
      </c>
      <c r="J28" s="24">
        <f>H28/'- 7 -'!$F28</f>
        <v>129.20716112531969</v>
      </c>
    </row>
    <row r="29" spans="1:10" ht="14.1" customHeight="1">
      <c r="A29" s="351" t="s">
        <v>241</v>
      </c>
      <c r="B29" s="352">
        <v>1013651</v>
      </c>
      <c r="C29" s="353">
        <f>B29/'- 3 -'!$D29*100</f>
        <v>0.73926345511218106</v>
      </c>
      <c r="D29" s="352">
        <f>B29/'- 7 -'!$F29</f>
        <v>83.469285243741766</v>
      </c>
      <c r="E29" s="352">
        <v>551100</v>
      </c>
      <c r="F29" s="353">
        <f>E29/'- 3 -'!$D29*100</f>
        <v>0.40192146025833636</v>
      </c>
      <c r="G29" s="352">
        <f>E29/'- 7 -'!$F29</f>
        <v>45.380434782608695</v>
      </c>
      <c r="H29" s="352">
        <v>833100</v>
      </c>
      <c r="I29" s="353">
        <f>H29/'- 3 -'!$D29*100</f>
        <v>0.60758622489787706</v>
      </c>
      <c r="J29" s="352">
        <f>H29/'- 7 -'!$F29</f>
        <v>68.601778656126484</v>
      </c>
    </row>
    <row r="30" spans="1:10" ht="14.1" customHeight="1">
      <c r="A30" s="23" t="s">
        <v>242</v>
      </c>
      <c r="B30" s="24">
        <v>101000</v>
      </c>
      <c r="C30" s="344">
        <f>B30/'- 3 -'!$D30*100</f>
        <v>0.76159693454971678</v>
      </c>
      <c r="D30" s="24">
        <f>B30/'- 7 -'!$F30</f>
        <v>94.084769445738246</v>
      </c>
      <c r="E30" s="24">
        <v>80300</v>
      </c>
      <c r="F30" s="344">
        <f>E30/'- 3 -'!$D30*100</f>
        <v>0.60550726578556691</v>
      </c>
      <c r="G30" s="24">
        <f>E30/'- 7 -'!$F30</f>
        <v>74.802049371215645</v>
      </c>
      <c r="H30" s="24">
        <v>108356</v>
      </c>
      <c r="I30" s="344">
        <f>H30/'- 3 -'!$D30*100</f>
        <v>0.81706532118880293</v>
      </c>
      <c r="J30" s="24">
        <f>H30/'- 7 -'!$F30</f>
        <v>100.93712156497438</v>
      </c>
    </row>
    <row r="31" spans="1:10" ht="14.1" customHeight="1">
      <c r="A31" s="351" t="s">
        <v>243</v>
      </c>
      <c r="B31" s="352">
        <v>204000</v>
      </c>
      <c r="C31" s="353">
        <f>B31/'- 3 -'!$D31*100</f>
        <v>0.63547446486041148</v>
      </c>
      <c r="D31" s="352">
        <f>B31/'- 7 -'!$F31</f>
        <v>64.353312302839115</v>
      </c>
      <c r="E31" s="352">
        <v>147700</v>
      </c>
      <c r="F31" s="353">
        <f>E31/'- 3 -'!$D31*100</f>
        <v>0.46009597284256259</v>
      </c>
      <c r="G31" s="352">
        <f>E31/'- 7 -'!$F31</f>
        <v>46.593059936908517</v>
      </c>
      <c r="H31" s="352">
        <v>287550</v>
      </c>
      <c r="I31" s="353">
        <f>H31/'- 3 -'!$D31*100</f>
        <v>0.89573863907162421</v>
      </c>
      <c r="J31" s="352">
        <f>H31/'- 7 -'!$F31</f>
        <v>90.709779179810724</v>
      </c>
    </row>
    <row r="32" spans="1:10" ht="14.1" customHeight="1">
      <c r="A32" s="23" t="s">
        <v>244</v>
      </c>
      <c r="B32" s="24">
        <v>240000</v>
      </c>
      <c r="C32" s="344">
        <f>B32/'- 3 -'!$D32*100</f>
        <v>0.971863302081314</v>
      </c>
      <c r="D32" s="24">
        <f>B32/'- 7 -'!$F32</f>
        <v>117.01437814171415</v>
      </c>
      <c r="E32" s="24">
        <v>75000</v>
      </c>
      <c r="F32" s="344">
        <f>E32/'- 3 -'!$D32*100</f>
        <v>0.30370728190041069</v>
      </c>
      <c r="G32" s="24">
        <f>E32/'- 7 -'!$F32</f>
        <v>36.566993169285674</v>
      </c>
      <c r="H32" s="24">
        <v>197400</v>
      </c>
      <c r="I32" s="344">
        <f>H32/'- 3 -'!$D32*100</f>
        <v>0.7993575659618809</v>
      </c>
      <c r="J32" s="24">
        <f>H32/'- 7 -'!$F32</f>
        <v>96.244326021559885</v>
      </c>
    </row>
    <row r="33" spans="1:10" ht="14.1" customHeight="1">
      <c r="A33" s="351" t="s">
        <v>245</v>
      </c>
      <c r="B33" s="352">
        <v>213600</v>
      </c>
      <c r="C33" s="353">
        <f>B33/'- 3 -'!$D33*100</f>
        <v>0.83709228001834091</v>
      </c>
      <c r="D33" s="352">
        <f>B33/'- 7 -'!$F33</f>
        <v>106.56023946121228</v>
      </c>
      <c r="E33" s="352">
        <v>41300</v>
      </c>
      <c r="F33" s="353">
        <f>E33/'- 3 -'!$D33*100</f>
        <v>0.16185351668893949</v>
      </c>
      <c r="G33" s="352">
        <f>E33/'- 7 -'!$F33</f>
        <v>20.603641805936643</v>
      </c>
      <c r="H33" s="352">
        <v>822500</v>
      </c>
      <c r="I33" s="353">
        <f>H33/'- 3 -'!$D33*100</f>
        <v>3.223353934059388</v>
      </c>
      <c r="J33" s="352">
        <f>H33/'- 7 -'!$F33</f>
        <v>410.32676477924667</v>
      </c>
    </row>
    <row r="34" spans="1:10" ht="14.1" customHeight="1">
      <c r="A34" s="23" t="s">
        <v>246</v>
      </c>
      <c r="B34" s="24">
        <v>125676</v>
      </c>
      <c r="C34" s="344">
        <f>B34/'- 3 -'!$D34*100</f>
        <v>0.52503920999638298</v>
      </c>
      <c r="D34" s="24">
        <f>B34/'- 7 -'!$F34</f>
        <v>62.860001000350124</v>
      </c>
      <c r="E34" s="24">
        <v>107584</v>
      </c>
      <c r="F34" s="344">
        <f>E34/'- 3 -'!$D34*100</f>
        <v>0.44945588949561455</v>
      </c>
      <c r="G34" s="24">
        <f>E34/'- 7 -'!$F34</f>
        <v>53.810833791827143</v>
      </c>
      <c r="H34" s="24">
        <v>174637</v>
      </c>
      <c r="I34" s="344">
        <f>H34/'- 3 -'!$D34*100</f>
        <v>0.7295845866843178</v>
      </c>
      <c r="J34" s="24">
        <f>H34/'- 7 -'!$F34</f>
        <v>87.349072175261341</v>
      </c>
    </row>
    <row r="35" spans="1:10" ht="14.1" customHeight="1">
      <c r="A35" s="351" t="s">
        <v>247</v>
      </c>
      <c r="B35" s="352">
        <v>675000</v>
      </c>
      <c r="C35" s="353">
        <f>B35/'- 3 -'!$D35*100</f>
        <v>0.4125687990561111</v>
      </c>
      <c r="D35" s="352">
        <f>B35/'- 7 -'!$F35</f>
        <v>43.285879184301656</v>
      </c>
      <c r="E35" s="352">
        <v>194200</v>
      </c>
      <c r="F35" s="353">
        <f>E35/'- 3 -'!$D35*100</f>
        <v>0.11869757152103225</v>
      </c>
      <c r="G35" s="352">
        <f>E35/'- 7 -'!$F35</f>
        <v>12.45350775939464</v>
      </c>
      <c r="H35" s="352">
        <v>543900</v>
      </c>
      <c r="I35" s="353">
        <f>H35/'- 3 -'!$D35*100</f>
        <v>0.33243877008387968</v>
      </c>
      <c r="J35" s="352">
        <f>H35/'- 7 -'!$F35</f>
        <v>34.878799538283957</v>
      </c>
    </row>
    <row r="36" spans="1:10" ht="14.1" customHeight="1">
      <c r="A36" s="23" t="s">
        <v>248</v>
      </c>
      <c r="B36" s="24">
        <v>152450</v>
      </c>
      <c r="C36" s="344">
        <f>B36/'- 3 -'!$D36*100</f>
        <v>0.72199310826912988</v>
      </c>
      <c r="D36" s="24">
        <f>B36/'- 7 -'!$F36</f>
        <v>93.070818070818078</v>
      </c>
      <c r="E36" s="24">
        <v>246500</v>
      </c>
      <c r="F36" s="344">
        <f>E36/'- 3 -'!$D36*100</f>
        <v>1.167407682442378</v>
      </c>
      <c r="G36" s="24">
        <f>E36/'- 7 -'!$F36</f>
        <v>150.48840048840049</v>
      </c>
      <c r="H36" s="24">
        <v>237150</v>
      </c>
      <c r="I36" s="344">
        <f>H36/'- 3 -'!$D36*100</f>
        <v>1.1231267013842188</v>
      </c>
      <c r="J36" s="24">
        <f>H36/'- 7 -'!$F36</f>
        <v>144.78021978021977</v>
      </c>
    </row>
    <row r="37" spans="1:10" ht="14.1" customHeight="1">
      <c r="A37" s="351" t="s">
        <v>249</v>
      </c>
      <c r="B37" s="352">
        <v>200000</v>
      </c>
      <c r="C37" s="353">
        <f>B37/'- 3 -'!$D37*100</f>
        <v>0.50194569208623385</v>
      </c>
      <c r="D37" s="352">
        <f>B37/'- 7 -'!$F37</f>
        <v>54.384772263766145</v>
      </c>
      <c r="E37" s="352">
        <v>211763</v>
      </c>
      <c r="F37" s="353">
        <f>E37/'- 3 -'!$D37*100</f>
        <v>0.53146762796628566</v>
      </c>
      <c r="G37" s="352">
        <f>E37/'- 7 -'!$F37</f>
        <v>57.58341264445955</v>
      </c>
      <c r="H37" s="352">
        <v>459015</v>
      </c>
      <c r="I37" s="353">
        <f>H37/'- 3 -'!$D37*100</f>
        <v>1.1520030092648132</v>
      </c>
      <c r="J37" s="352">
        <f>H37/'- 7 -'!$F37</f>
        <v>124.81713120326309</v>
      </c>
    </row>
    <row r="38" spans="1:10" ht="14.1" customHeight="1">
      <c r="A38" s="23" t="s">
        <v>250</v>
      </c>
      <c r="B38" s="24">
        <v>248220</v>
      </c>
      <c r="C38" s="344">
        <f>B38/'- 3 -'!$D38*100</f>
        <v>0.22174775322053278</v>
      </c>
      <c r="D38" s="24">
        <f>B38/'- 7 -'!$F38</f>
        <v>23.565935630874396</v>
      </c>
      <c r="E38" s="24">
        <v>556850</v>
      </c>
      <c r="F38" s="344">
        <f>E38/'- 3 -'!$D38*100</f>
        <v>0.49746288123782811</v>
      </c>
      <c r="G38" s="24">
        <f>E38/'- 7 -'!$F38</f>
        <v>52.867179341118387</v>
      </c>
      <c r="H38" s="24">
        <v>998825</v>
      </c>
      <c r="I38" s="344">
        <f>H38/'- 3 -'!$D38*100</f>
        <v>0.89230198860083265</v>
      </c>
      <c r="J38" s="24">
        <f>H38/'- 7 -'!$F38</f>
        <v>94.828159118959462</v>
      </c>
    </row>
    <row r="39" spans="1:10" ht="14.1" customHeight="1">
      <c r="A39" s="351" t="s">
        <v>251</v>
      </c>
      <c r="B39" s="352">
        <v>334000</v>
      </c>
      <c r="C39" s="353">
        <f>B39/'- 3 -'!$D39*100</f>
        <v>1.6780388127362944</v>
      </c>
      <c r="D39" s="352">
        <f>B39/'- 7 -'!$F39</f>
        <v>213.9654067905189</v>
      </c>
      <c r="E39" s="352">
        <v>60750</v>
      </c>
      <c r="F39" s="353">
        <f>E39/'- 3 -'!$D39*100</f>
        <v>0.30521214932254459</v>
      </c>
      <c r="G39" s="352">
        <f>E39/'- 7 -'!$F39</f>
        <v>38.917360666239588</v>
      </c>
      <c r="H39" s="352">
        <v>171500</v>
      </c>
      <c r="I39" s="353">
        <f>H39/'- 3 -'!$D39*100</f>
        <v>0.86162771372537272</v>
      </c>
      <c r="J39" s="352">
        <f>H39/'- 7 -'!$F39</f>
        <v>109.86547085201794</v>
      </c>
    </row>
    <row r="40" spans="1:10" ht="14.1" customHeight="1">
      <c r="A40" s="23" t="s">
        <v>252</v>
      </c>
      <c r="B40" s="24">
        <v>700177</v>
      </c>
      <c r="C40" s="344">
        <f>B40/'- 3 -'!$D40*100</f>
        <v>0.74573609888457459</v>
      </c>
      <c r="D40" s="24">
        <f>B40/'- 7 -'!$F40</f>
        <v>86.118395158909777</v>
      </c>
      <c r="E40" s="24">
        <v>370721</v>
      </c>
      <c r="F40" s="344">
        <f>E40/'- 3 -'!$D40*100</f>
        <v>0.3948430644174093</v>
      </c>
      <c r="G40" s="24">
        <f>E40/'- 7 -'!$F40</f>
        <v>45.596895601692424</v>
      </c>
      <c r="H40" s="24">
        <v>1082570</v>
      </c>
      <c r="I40" s="344">
        <f>H40/'- 3 -'!$D40*100</f>
        <v>1.1530106366953983</v>
      </c>
      <c r="J40" s="24">
        <f>H40/'- 7 -'!$F40</f>
        <v>133.15089048509302</v>
      </c>
    </row>
    <row r="41" spans="1:10" ht="14.1" customHeight="1">
      <c r="A41" s="351" t="s">
        <v>253</v>
      </c>
      <c r="B41" s="352">
        <v>568231</v>
      </c>
      <c r="C41" s="353">
        <f>B41/'- 3 -'!$D41*100</f>
        <v>0.99999171118619079</v>
      </c>
      <c r="D41" s="352">
        <f>B41/'- 7 -'!$F41</f>
        <v>126.17541911846342</v>
      </c>
      <c r="E41" s="352">
        <v>45129</v>
      </c>
      <c r="F41" s="353">
        <f>E41/'- 3 -'!$D41*100</f>
        <v>7.9419507091520167E-2</v>
      </c>
      <c r="G41" s="352">
        <f>E41/'- 7 -'!$F41</f>
        <v>10.020872654601977</v>
      </c>
      <c r="H41" s="352">
        <v>491914</v>
      </c>
      <c r="I41" s="353">
        <f>H41/'- 3 -'!$D41*100</f>
        <v>0.86568652997890616</v>
      </c>
      <c r="J41" s="352">
        <f>H41/'- 7 -'!$F41</f>
        <v>109.22926612634618</v>
      </c>
    </row>
    <row r="42" spans="1:10" ht="14.1" customHeight="1">
      <c r="A42" s="23" t="s">
        <v>254</v>
      </c>
      <c r="B42" s="24">
        <v>136928</v>
      </c>
      <c r="C42" s="344">
        <f>B42/'- 3 -'!$D42*100</f>
        <v>0.68832086465583353</v>
      </c>
      <c r="D42" s="24">
        <f>B42/'- 7 -'!$F42</f>
        <v>93.914951989026065</v>
      </c>
      <c r="E42" s="24">
        <v>142445</v>
      </c>
      <c r="F42" s="344">
        <f>E42/'- 3 -'!$D42*100</f>
        <v>0.71605417128637106</v>
      </c>
      <c r="G42" s="24">
        <f>E42/'- 7 -'!$F42</f>
        <v>97.698902606310014</v>
      </c>
      <c r="H42" s="24">
        <v>215146</v>
      </c>
      <c r="I42" s="344">
        <f>H42/'- 3 -'!$D42*100</f>
        <v>1.0815135016011623</v>
      </c>
      <c r="J42" s="24">
        <f>H42/'- 7 -'!$F42</f>
        <v>147.56241426611797</v>
      </c>
    </row>
    <row r="43" spans="1:10" ht="14.1" customHeight="1">
      <c r="A43" s="351" t="s">
        <v>255</v>
      </c>
      <c r="B43" s="352">
        <v>39607</v>
      </c>
      <c r="C43" s="353">
        <f>B43/'- 3 -'!$D43*100</f>
        <v>0.33518824983529172</v>
      </c>
      <c r="D43" s="352">
        <f>B43/'- 7 -'!$F43</f>
        <v>41.730014487027525</v>
      </c>
      <c r="E43" s="352">
        <v>52489</v>
      </c>
      <c r="F43" s="353">
        <f>E43/'- 3 -'!$D43*100</f>
        <v>0.444206732284814</v>
      </c>
      <c r="G43" s="352">
        <f>E43/'- 7 -'!$F43</f>
        <v>55.302515474779405</v>
      </c>
      <c r="H43" s="352">
        <v>120301</v>
      </c>
      <c r="I43" s="353">
        <f>H43/'- 3 -'!$D43*100</f>
        <v>1.0180897731066587</v>
      </c>
      <c r="J43" s="352">
        <f>H43/'- 7 -'!$F43</f>
        <v>126.7493744238114</v>
      </c>
    </row>
    <row r="44" spans="1:10" ht="14.1" customHeight="1">
      <c r="A44" s="23" t="s">
        <v>256</v>
      </c>
      <c r="B44" s="24">
        <v>101373</v>
      </c>
      <c r="C44" s="344">
        <f>B44/'- 3 -'!$D44*100</f>
        <v>1.0082032315254239</v>
      </c>
      <c r="D44" s="24">
        <f>B44/'- 7 -'!$F44</f>
        <v>135.52540106951872</v>
      </c>
      <c r="E44" s="24">
        <v>116705</v>
      </c>
      <c r="F44" s="344">
        <f>E44/'- 3 -'!$D44*100</f>
        <v>1.1606873441170193</v>
      </c>
      <c r="G44" s="24">
        <f>E44/'- 7 -'!$F44</f>
        <v>156.02272727272728</v>
      </c>
      <c r="H44" s="24">
        <v>176236</v>
      </c>
      <c r="I44" s="344">
        <f>H44/'- 3 -'!$D44*100</f>
        <v>1.7527517653725806</v>
      </c>
      <c r="J44" s="24">
        <f>H44/'- 7 -'!$F44</f>
        <v>235.60962566844921</v>
      </c>
    </row>
    <row r="45" spans="1:10" ht="14.1" customHeight="1">
      <c r="A45" s="351" t="s">
        <v>257</v>
      </c>
      <c r="B45" s="352">
        <v>160300</v>
      </c>
      <c r="C45" s="353">
        <f>B45/'- 3 -'!$D45*100</f>
        <v>0.9791433308244949</v>
      </c>
      <c r="D45" s="352">
        <f>B45/'- 7 -'!$F45</f>
        <v>96.479085164008424</v>
      </c>
      <c r="E45" s="352">
        <v>42500</v>
      </c>
      <c r="F45" s="353">
        <f>E45/'- 3 -'!$D45*100</f>
        <v>0.25959820062408628</v>
      </c>
      <c r="G45" s="352">
        <f>E45/'- 7 -'!$F45</f>
        <v>25.579295817032801</v>
      </c>
      <c r="H45" s="352">
        <v>103600</v>
      </c>
      <c r="I45" s="353">
        <f>H45/'- 3 -'!$D45*100</f>
        <v>0.6328087902271845</v>
      </c>
      <c r="J45" s="352">
        <f>H45/'- 7 -'!$F45</f>
        <v>62.353295215167016</v>
      </c>
    </row>
    <row r="46" spans="1:10" ht="14.1" customHeight="1">
      <c r="A46" s="23" t="s">
        <v>258</v>
      </c>
      <c r="B46" s="24">
        <v>813000</v>
      </c>
      <c r="C46" s="344">
        <f>B46/'- 3 -'!$D46*100</f>
        <v>0.23056314409856191</v>
      </c>
      <c r="D46" s="24">
        <f>B46/'- 7 -'!$F46</f>
        <v>26.680231031766869</v>
      </c>
      <c r="E46" s="24">
        <v>1097100</v>
      </c>
      <c r="F46" s="344">
        <f>E46/'- 3 -'!$D46*100</f>
        <v>0.31113262655662027</v>
      </c>
      <c r="G46" s="24">
        <f>E46/'- 7 -'!$F46</f>
        <v>36.003544237332633</v>
      </c>
      <c r="H46" s="24">
        <v>2103300</v>
      </c>
      <c r="I46" s="344">
        <f>H46/'- 3 -'!$D46*100</f>
        <v>0.59648642187270018</v>
      </c>
      <c r="J46" s="24">
        <f>H46/'- 7 -'!$F46</f>
        <v>69.024022053032297</v>
      </c>
    </row>
    <row r="47" spans="1:10" ht="5.0999999999999996" customHeight="1">
      <c r="A47"/>
      <c r="B47"/>
      <c r="C47"/>
      <c r="D47"/>
      <c r="E47"/>
      <c r="F47"/>
      <c r="G47"/>
      <c r="H47"/>
      <c r="I47"/>
      <c r="J47"/>
    </row>
    <row r="48" spans="1:10" ht="14.1" customHeight="1">
      <c r="A48" s="354" t="s">
        <v>259</v>
      </c>
      <c r="B48" s="355">
        <f>SUM(B11:B46)</f>
        <v>11182114</v>
      </c>
      <c r="C48" s="356">
        <f>B48/'- 3 -'!$D48*100</f>
        <v>0.55665457179094147</v>
      </c>
      <c r="D48" s="355">
        <f>B48/'- 7 -'!$F48</f>
        <v>64.688219641513939</v>
      </c>
      <c r="E48" s="355">
        <f>SUM(E11:E46)</f>
        <v>7828255</v>
      </c>
      <c r="F48" s="356">
        <f>E48/'- 3 -'!$D48*100</f>
        <v>0.38969679032920762</v>
      </c>
      <c r="G48" s="355">
        <f>E48/'- 7 -'!$F48</f>
        <v>45.286238259579513</v>
      </c>
      <c r="H48" s="355">
        <f>SUM(H11:H46)</f>
        <v>18344201</v>
      </c>
      <c r="I48" s="356">
        <f>H48/'- 3 -'!$D48*100</f>
        <v>0.91318898667121085</v>
      </c>
      <c r="J48" s="355">
        <f>H48/'- 7 -'!$F48</f>
        <v>106.12069448013851</v>
      </c>
    </row>
    <row r="49" spans="1:10" ht="5.0999999999999996" customHeight="1">
      <c r="A49" s="25" t="s">
        <v>3</v>
      </c>
      <c r="B49" s="26"/>
      <c r="C49" s="343"/>
      <c r="D49" s="26"/>
      <c r="E49" s="26"/>
      <c r="F49" s="343"/>
      <c r="H49" s="26"/>
      <c r="I49" s="343"/>
      <c r="J49" s="26"/>
    </row>
    <row r="50" spans="1:10" ht="14.1" customHeight="1">
      <c r="A50" s="23" t="s">
        <v>260</v>
      </c>
      <c r="B50" s="24">
        <v>0</v>
      </c>
      <c r="C50" s="344">
        <f>B50/'- 3 -'!$D50*100</f>
        <v>0</v>
      </c>
      <c r="D50" s="24">
        <f>B50/'- 7 -'!$F50</f>
        <v>0</v>
      </c>
      <c r="E50" s="24">
        <v>22000</v>
      </c>
      <c r="F50" s="344">
        <f>E50/'- 3 -'!$D50*100</f>
        <v>0.68132021275772103</v>
      </c>
      <c r="G50" s="24">
        <f>E50/'- 7 -'!$F50</f>
        <v>121.54696132596685</v>
      </c>
      <c r="H50" s="24">
        <v>42000</v>
      </c>
      <c r="I50" s="344">
        <f>H50/'- 3 -'!$D50*100</f>
        <v>1.3007022243556492</v>
      </c>
      <c r="J50" s="24">
        <f>H50/'- 7 -'!$F50</f>
        <v>232.04419889502762</v>
      </c>
    </row>
    <row r="51" spans="1:10" ht="14.1" customHeight="1">
      <c r="A51" s="351" t="s">
        <v>261</v>
      </c>
      <c r="B51" s="352">
        <v>57593</v>
      </c>
      <c r="C51" s="353">
        <f>B51/'- 3 -'!$D51*100</f>
        <v>0.32654368761392855</v>
      </c>
      <c r="D51" s="352">
        <f>B51/'- 7 -'!$F51</f>
        <v>92.742351046698872</v>
      </c>
      <c r="E51" s="352">
        <v>0</v>
      </c>
      <c r="F51" s="353">
        <f>E51/'- 3 -'!$D51*100</f>
        <v>0</v>
      </c>
      <c r="G51" s="352">
        <f>E51/'- 7 -'!$F51</f>
        <v>0</v>
      </c>
      <c r="H51" s="352">
        <v>179733</v>
      </c>
      <c r="I51" s="353">
        <f>H51/'- 3 -'!$D51*100</f>
        <v>1.0190592017417781</v>
      </c>
      <c r="J51" s="352">
        <f>H51/'- 7 -'!$F51</f>
        <v>289.42512077294685</v>
      </c>
    </row>
    <row r="52" spans="1:10" ht="50.1" customHeight="1">
      <c r="A52" s="27"/>
      <c r="B52" s="27"/>
      <c r="C52" s="27"/>
      <c r="D52" s="27"/>
      <c r="E52" s="27"/>
      <c r="F52" s="27"/>
      <c r="G52" s="27"/>
      <c r="H52" s="27"/>
      <c r="I52" s="27"/>
      <c r="J52" s="27"/>
    </row>
    <row r="53" spans="1:10" ht="15" customHeight="1">
      <c r="A53" s="1" t="s">
        <v>552</v>
      </c>
    </row>
    <row r="54" spans="1:10" ht="12" customHeight="1">
      <c r="A54" s="154" t="s">
        <v>514</v>
      </c>
    </row>
    <row r="55" spans="1:10">
      <c r="A55" s="1" t="s">
        <v>515</v>
      </c>
    </row>
    <row r="56" spans="1:10" ht="14.45" customHeight="1"/>
    <row r="57" spans="1:10" ht="14.45" customHeight="1"/>
    <row r="58" spans="1:10" ht="14.45" customHeight="1"/>
    <row r="59" spans="1:10" ht="14.45" customHeight="1"/>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5.xml><?xml version="1.0" encoding="utf-8"?>
<worksheet xmlns="http://schemas.openxmlformats.org/spreadsheetml/2006/main" xmlns:r="http://schemas.openxmlformats.org/officeDocument/2006/relationships">
  <sheetPr codeName="Sheet53">
    <pageSetUpPr fitToPage="1"/>
  </sheetPr>
  <dimension ref="A1:H54"/>
  <sheetViews>
    <sheetView showGridLines="0" workbookViewId="0"/>
  </sheetViews>
  <sheetFormatPr defaultColWidth="15.83203125" defaultRowHeight="12"/>
  <cols>
    <col min="1" max="1" width="32.83203125" style="1" customWidth="1"/>
    <col min="2" max="2" width="18.83203125" style="1" customWidth="1"/>
    <col min="3" max="3" width="9.83203125" style="1" customWidth="1"/>
    <col min="4" max="4" width="10.83203125" style="1" customWidth="1"/>
    <col min="5" max="5" width="18.83203125" style="1" customWidth="1"/>
    <col min="6" max="6" width="9.83203125" style="1" customWidth="1"/>
    <col min="7" max="7" width="10.83203125" style="1" customWidth="1"/>
    <col min="8" max="8" width="21.83203125" style="1" customWidth="1"/>
    <col min="9" max="16384" width="15.83203125" style="1"/>
  </cols>
  <sheetData>
    <row r="1" spans="1:8" ht="6.95" customHeight="1">
      <c r="A1" s="3"/>
      <c r="B1" s="3"/>
      <c r="C1" s="3"/>
      <c r="D1" s="3"/>
      <c r="E1" s="4"/>
      <c r="F1" s="4"/>
      <c r="G1" s="4"/>
    </row>
    <row r="2" spans="1:8" ht="15.95" customHeight="1">
      <c r="A2" s="160"/>
      <c r="B2" s="5" t="s">
        <v>513</v>
      </c>
      <c r="C2" s="236"/>
      <c r="D2" s="236"/>
      <c r="E2" s="5"/>
      <c r="F2" s="237"/>
      <c r="G2" s="174"/>
      <c r="H2" s="162"/>
    </row>
    <row r="3" spans="1:8" ht="15.95" customHeight="1">
      <c r="A3" s="163"/>
      <c r="B3" s="7" t="str">
        <f>OPYEAR</f>
        <v>OPERATING FUND 2012/2013 BUDGET</v>
      </c>
      <c r="C3" s="238"/>
      <c r="D3" s="238"/>
      <c r="E3" s="7"/>
      <c r="F3" s="175"/>
      <c r="G3" s="175"/>
      <c r="H3" s="164"/>
    </row>
    <row r="4" spans="1:8" ht="15.95" customHeight="1">
      <c r="E4" s="4"/>
      <c r="F4" s="4"/>
      <c r="G4" s="4"/>
    </row>
    <row r="5" spans="1:8" ht="18" customHeight="1">
      <c r="B5" s="165" t="s">
        <v>436</v>
      </c>
      <c r="C5" s="239"/>
      <c r="D5" s="240"/>
      <c r="E5" s="241"/>
      <c r="F5" s="242"/>
      <c r="G5" s="243"/>
    </row>
    <row r="6" spans="1:8" ht="15.95" customHeight="1">
      <c r="B6" s="415" t="s">
        <v>15</v>
      </c>
      <c r="C6" s="416"/>
      <c r="D6" s="417"/>
      <c r="E6" s="418"/>
      <c r="F6" s="419"/>
      <c r="G6" s="420"/>
    </row>
    <row r="7" spans="1:8" ht="15.95" customHeight="1">
      <c r="B7" s="421" t="s">
        <v>376</v>
      </c>
      <c r="C7" s="422"/>
      <c r="D7" s="423"/>
      <c r="E7" s="421" t="s">
        <v>54</v>
      </c>
      <c r="F7" s="422"/>
      <c r="G7" s="423"/>
    </row>
    <row r="8" spans="1:8" ht="15.95" customHeight="1">
      <c r="A8" s="101"/>
      <c r="B8" s="168"/>
      <c r="C8" s="103"/>
      <c r="D8" s="16" t="s">
        <v>59</v>
      </c>
      <c r="E8" s="168"/>
      <c r="F8" s="169"/>
      <c r="G8" s="16" t="s">
        <v>59</v>
      </c>
    </row>
    <row r="9" spans="1:8" ht="15.95" customHeight="1">
      <c r="A9" s="35" t="s">
        <v>79</v>
      </c>
      <c r="B9" s="112" t="s">
        <v>80</v>
      </c>
      <c r="C9" s="112" t="s">
        <v>81</v>
      </c>
      <c r="D9" s="112" t="s">
        <v>82</v>
      </c>
      <c r="E9" s="112" t="s">
        <v>80</v>
      </c>
      <c r="F9" s="112" t="s">
        <v>81</v>
      </c>
      <c r="G9" s="112" t="s">
        <v>82</v>
      </c>
    </row>
    <row r="10" spans="1:8" ht="5.0999999999999996" customHeight="1">
      <c r="A10" s="37"/>
      <c r="B10" s="37"/>
      <c r="C10" s="37"/>
      <c r="D10" s="37"/>
    </row>
    <row r="11" spans="1:8" ht="14.1" customHeight="1">
      <c r="A11" s="351" t="s">
        <v>224</v>
      </c>
      <c r="B11" s="352">
        <f>'- 27 -'!B11</f>
        <v>0</v>
      </c>
      <c r="C11" s="353">
        <f>'- 27 -'!C11</f>
        <v>0</v>
      </c>
      <c r="D11" s="352">
        <f>'- 27 -'!D11</f>
        <v>0</v>
      </c>
      <c r="E11" s="352">
        <f>SUM('- 38 -'!B11,'- 38 -'!E11,'- 38 -'!H11,B11)</f>
        <v>432000</v>
      </c>
      <c r="F11" s="353">
        <f>E11/'- 3 -'!D11*100</f>
        <v>2.7230506235281662</v>
      </c>
      <c r="G11" s="352">
        <f>E11/'- 7 -'!F11</f>
        <v>292.08924949290059</v>
      </c>
    </row>
    <row r="12" spans="1:8" ht="14.1" customHeight="1">
      <c r="A12" s="23" t="s">
        <v>225</v>
      </c>
      <c r="B12" s="24">
        <f>'- 27 -'!B12</f>
        <v>60350</v>
      </c>
      <c r="C12" s="344">
        <f>'- 27 -'!C12</f>
        <v>0.20115651496787795</v>
      </c>
      <c r="D12" s="24">
        <f>'- 27 -'!D12</f>
        <v>26.127577040635199</v>
      </c>
      <c r="E12" s="24">
        <f>SUM('- 38 -'!B12,'- 38 -'!E12,'- 38 -'!H12,B12)</f>
        <v>796646</v>
      </c>
      <c r="F12" s="344">
        <f>E12/'- 3 -'!D12*100</f>
        <v>2.6553526598690986</v>
      </c>
      <c r="G12" s="24">
        <f>E12/'- 7 -'!F12</f>
        <v>344.8952732247534</v>
      </c>
    </row>
    <row r="13" spans="1:8" ht="14.1" customHeight="1">
      <c r="A13" s="351" t="s">
        <v>226</v>
      </c>
      <c r="B13" s="352">
        <f>'- 27 -'!B13</f>
        <v>220000</v>
      </c>
      <c r="C13" s="353">
        <f>'- 27 -'!C13</f>
        <v>0.28066307928221695</v>
      </c>
      <c r="D13" s="352">
        <f>'- 27 -'!D13</f>
        <v>28.467908902691512</v>
      </c>
      <c r="E13" s="352">
        <f>SUM('- 38 -'!B13,'- 38 -'!E13,'- 38 -'!H13,B13)</f>
        <v>1702400</v>
      </c>
      <c r="F13" s="353">
        <f>E13/'- 3 -'!D13*100</f>
        <v>2.1718219371365732</v>
      </c>
      <c r="G13" s="352">
        <f>E13/'- 7 -'!F13</f>
        <v>220.28985507246378</v>
      </c>
    </row>
    <row r="14" spans="1:8" ht="14.1" customHeight="1">
      <c r="A14" s="23" t="s">
        <v>524</v>
      </c>
      <c r="B14" s="24">
        <f>'- 27 -'!B14</f>
        <v>112146</v>
      </c>
      <c r="C14" s="344">
        <f>'- 27 -'!C14</f>
        <v>0.1569338353286798</v>
      </c>
      <c r="D14" s="24">
        <f>'- 27 -'!D14</f>
        <v>22.251190476190477</v>
      </c>
      <c r="E14" s="24">
        <f>SUM('- 38 -'!B14,'- 38 -'!E14,'- 38 -'!H14,B14)</f>
        <v>1576236</v>
      </c>
      <c r="F14" s="344">
        <f>E14/'- 3 -'!D14*100</f>
        <v>2.205738598462156</v>
      </c>
      <c r="G14" s="24">
        <f>E14/'- 7 -'!F14</f>
        <v>312.74523809523811</v>
      </c>
    </row>
    <row r="15" spans="1:8" ht="14.1" customHeight="1">
      <c r="A15" s="351" t="s">
        <v>227</v>
      </c>
      <c r="B15" s="352">
        <f>'- 27 -'!B15</f>
        <v>33300</v>
      </c>
      <c r="C15" s="353">
        <f>'- 27 -'!C15</f>
        <v>0.17802457198856603</v>
      </c>
      <c r="D15" s="352">
        <f>'- 27 -'!D15</f>
        <v>22.289156626506024</v>
      </c>
      <c r="E15" s="352">
        <f>SUM('- 38 -'!B15,'- 38 -'!E15,'- 38 -'!H15,B15)</f>
        <v>400122</v>
      </c>
      <c r="F15" s="353">
        <f>E15/'- 3 -'!D15*100</f>
        <v>2.1390855193155858</v>
      </c>
      <c r="G15" s="352">
        <f>E15/'- 7 -'!F15</f>
        <v>267.81927710843371</v>
      </c>
    </row>
    <row r="16" spans="1:8" ht="14.1" customHeight="1">
      <c r="A16" s="23" t="s">
        <v>228</v>
      </c>
      <c r="B16" s="24">
        <f>'- 27 -'!B16</f>
        <v>32154</v>
      </c>
      <c r="C16" s="344">
        <f>'- 27 -'!C16</f>
        <v>0.25404541687972748</v>
      </c>
      <c r="D16" s="24">
        <f>'- 27 -'!D16</f>
        <v>32.49519959575543</v>
      </c>
      <c r="E16" s="24">
        <f>SUM('- 38 -'!B16,'- 38 -'!E16,'- 38 -'!H16,B16)</f>
        <v>290709</v>
      </c>
      <c r="F16" s="344">
        <f>E16/'- 3 -'!D16*100</f>
        <v>2.2968616376092772</v>
      </c>
      <c r="G16" s="24">
        <f>E16/'- 7 -'!F16</f>
        <v>293.79383527033855</v>
      </c>
    </row>
    <row r="17" spans="1:7" ht="14.1" customHeight="1">
      <c r="A17" s="351" t="s">
        <v>229</v>
      </c>
      <c r="B17" s="352">
        <f>'- 27 -'!B17</f>
        <v>55760</v>
      </c>
      <c r="C17" s="353">
        <f>'- 27 -'!C17</f>
        <v>0.34208039110046207</v>
      </c>
      <c r="D17" s="352">
        <f>'- 27 -'!D17</f>
        <v>43.376118241929213</v>
      </c>
      <c r="E17" s="352">
        <f>SUM('- 38 -'!B17,'- 38 -'!E17,'- 38 -'!H17,B17)</f>
        <v>588661</v>
      </c>
      <c r="F17" s="353">
        <f>E17/'- 3 -'!D17*100</f>
        <v>3.6113591303010959</v>
      </c>
      <c r="G17" s="352">
        <f>E17/'- 7 -'!F17</f>
        <v>457.92376507195644</v>
      </c>
    </row>
    <row r="18" spans="1:7" ht="14.1" customHeight="1">
      <c r="A18" s="23" t="s">
        <v>230</v>
      </c>
      <c r="B18" s="24">
        <f>'- 27 -'!B18</f>
        <v>475986</v>
      </c>
      <c r="C18" s="344">
        <f>'- 27 -'!C18</f>
        <v>0.41330470089487703</v>
      </c>
      <c r="D18" s="24">
        <f>'- 27 -'!D18</f>
        <v>75.272554756068629</v>
      </c>
      <c r="E18" s="24">
        <f>SUM('- 38 -'!B18,'- 38 -'!E18,'- 38 -'!H18,B18)</f>
        <v>2050221</v>
      </c>
      <c r="F18" s="344">
        <f>E18/'- 3 -'!D18*100</f>
        <v>1.7802329841075066</v>
      </c>
      <c r="G18" s="24">
        <f>E18/'- 7 -'!F18</f>
        <v>324.22250336048074</v>
      </c>
    </row>
    <row r="19" spans="1:7" ht="14.1" customHeight="1">
      <c r="A19" s="351" t="s">
        <v>231</v>
      </c>
      <c r="B19" s="352">
        <f>'- 27 -'!B19</f>
        <v>47100</v>
      </c>
      <c r="C19" s="353">
        <f>'- 27 -'!C19</f>
        <v>0.12048767578633876</v>
      </c>
      <c r="D19" s="352">
        <f>'- 27 -'!D19</f>
        <v>11.179681936862094</v>
      </c>
      <c r="E19" s="352">
        <f>SUM('- 38 -'!B19,'- 38 -'!E19,'- 38 -'!H19,B19)</f>
        <v>952200</v>
      </c>
      <c r="F19" s="353">
        <f>E19/'- 3 -'!D19*100</f>
        <v>2.4358463881900589</v>
      </c>
      <c r="G19" s="352">
        <f>E19/'- 7 -'!F19</f>
        <v>226.01471635414194</v>
      </c>
    </row>
    <row r="20" spans="1:7" ht="14.1" customHeight="1">
      <c r="A20" s="23" t="s">
        <v>232</v>
      </c>
      <c r="B20" s="24">
        <f>'- 27 -'!B20</f>
        <v>59700</v>
      </c>
      <c r="C20" s="344">
        <f>'- 27 -'!C20</f>
        <v>8.8223558793539145E-2</v>
      </c>
      <c r="D20" s="24">
        <f>'- 27 -'!D20</f>
        <v>8.0404040404040398</v>
      </c>
      <c r="E20" s="24">
        <f>SUM('- 38 -'!B20,'- 38 -'!E20,'- 38 -'!H20,B20)</f>
        <v>1720800</v>
      </c>
      <c r="F20" s="344">
        <f>E20/'- 3 -'!D20*100</f>
        <v>2.5429664986921634</v>
      </c>
      <c r="G20" s="24">
        <f>E20/'- 7 -'!F20</f>
        <v>231.75757575757575</v>
      </c>
    </row>
    <row r="21" spans="1:7" ht="14.1" customHeight="1">
      <c r="A21" s="351" t="s">
        <v>233</v>
      </c>
      <c r="B21" s="352">
        <f>'- 27 -'!B21</f>
        <v>50000</v>
      </c>
      <c r="C21" s="353">
        <f>'- 27 -'!C21</f>
        <v>0.15359161709241237</v>
      </c>
      <c r="D21" s="352">
        <f>'- 27 -'!D21</f>
        <v>17.921146953405017</v>
      </c>
      <c r="E21" s="352">
        <f>SUM('- 38 -'!B21,'- 38 -'!E21,'- 38 -'!H21,B21)</f>
        <v>967287</v>
      </c>
      <c r="F21" s="353">
        <f>E21/'- 3 -'!D21*100</f>
        <v>2.9713434904493661</v>
      </c>
      <c r="G21" s="352">
        <f>E21/'- 7 -'!F21</f>
        <v>346.69784946236558</v>
      </c>
    </row>
    <row r="22" spans="1:7" ht="14.1" customHeight="1">
      <c r="A22" s="23" t="s">
        <v>234</v>
      </c>
      <c r="B22" s="24">
        <f>'- 27 -'!B22</f>
        <v>0</v>
      </c>
      <c r="C22" s="344">
        <f>'- 27 -'!C22</f>
        <v>0</v>
      </c>
      <c r="D22" s="24">
        <f>'- 27 -'!D22</f>
        <v>0</v>
      </c>
      <c r="E22" s="24">
        <f>SUM('- 38 -'!B22,'- 38 -'!E22,'- 38 -'!H22,B22)</f>
        <v>388292</v>
      </c>
      <c r="F22" s="344">
        <f>E22/'- 3 -'!D22*100</f>
        <v>2.0410977158210932</v>
      </c>
      <c r="G22" s="24">
        <f>E22/'- 7 -'!F22</f>
        <v>240.50294208733354</v>
      </c>
    </row>
    <row r="23" spans="1:7" ht="14.1" customHeight="1">
      <c r="A23" s="351" t="s">
        <v>235</v>
      </c>
      <c r="B23" s="352">
        <f>'- 27 -'!B23</f>
        <v>0</v>
      </c>
      <c r="C23" s="353">
        <f>'- 27 -'!C23</f>
        <v>0</v>
      </c>
      <c r="D23" s="352">
        <f>'- 27 -'!D23</f>
        <v>0</v>
      </c>
      <c r="E23" s="352">
        <f>SUM('- 38 -'!B23,'- 38 -'!E23,'- 38 -'!H23,B23)</f>
        <v>305500</v>
      </c>
      <c r="F23" s="353">
        <f>E23/'- 3 -'!D23*100</f>
        <v>1.9624872647103035</v>
      </c>
      <c r="G23" s="352">
        <f>E23/'- 7 -'!F23</f>
        <v>255.54161438728565</v>
      </c>
    </row>
    <row r="24" spans="1:7" ht="14.1" customHeight="1">
      <c r="A24" s="23" t="s">
        <v>236</v>
      </c>
      <c r="B24" s="24">
        <f>'- 27 -'!B24</f>
        <v>148865</v>
      </c>
      <c r="C24" s="344">
        <f>'- 27 -'!C24</f>
        <v>0.29185149794327669</v>
      </c>
      <c r="D24" s="24">
        <f>'- 27 -'!D24</f>
        <v>34.846676029962545</v>
      </c>
      <c r="E24" s="24">
        <f>SUM('- 38 -'!B24,'- 38 -'!E24,'- 38 -'!H24,B24)</f>
        <v>1632290</v>
      </c>
      <c r="F24" s="344">
        <f>E24/'- 3 -'!D24*100</f>
        <v>3.2001228064207918</v>
      </c>
      <c r="G24" s="24">
        <f>E24/'- 7 -'!F24</f>
        <v>382.09035580524346</v>
      </c>
    </row>
    <row r="25" spans="1:7" ht="14.1" customHeight="1">
      <c r="A25" s="351" t="s">
        <v>237</v>
      </c>
      <c r="B25" s="352">
        <f>'- 27 -'!B25</f>
        <v>391703</v>
      </c>
      <c r="C25" s="353">
        <f>'- 27 -'!C25</f>
        <v>0.2608777044259199</v>
      </c>
      <c r="D25" s="352">
        <f>'- 27 -'!D25</f>
        <v>28.818643319599765</v>
      </c>
      <c r="E25" s="352">
        <f>SUM('- 38 -'!B25,'- 38 -'!E25,'- 38 -'!H25,B25)</f>
        <v>3487636</v>
      </c>
      <c r="F25" s="353">
        <f>E25/'- 3 -'!D25*100</f>
        <v>2.3227967964330052</v>
      </c>
      <c r="G25" s="352">
        <f>E25/'- 7 -'!F25</f>
        <v>256.59476162448499</v>
      </c>
    </row>
    <row r="26" spans="1:7" ht="14.1" customHeight="1">
      <c r="A26" s="23" t="s">
        <v>238</v>
      </c>
      <c r="B26" s="24">
        <f>'- 27 -'!B26</f>
        <v>35000</v>
      </c>
      <c r="C26" s="344">
        <f>'- 27 -'!C26</f>
        <v>9.5163236081853328E-2</v>
      </c>
      <c r="D26" s="24">
        <f>'- 27 -'!D26</f>
        <v>11.7096018735363</v>
      </c>
      <c r="E26" s="24">
        <f>SUM('- 38 -'!B26,'- 38 -'!E26,'- 38 -'!H26,B26)</f>
        <v>1227585</v>
      </c>
      <c r="F26" s="344">
        <f>E26/'- 3 -'!D26*100</f>
        <v>3.3377417475869122</v>
      </c>
      <c r="G26" s="24">
        <f>E26/'- 7 -'!F26</f>
        <v>410.70090331214453</v>
      </c>
    </row>
    <row r="27" spans="1:7" ht="14.1" customHeight="1">
      <c r="A27" s="351" t="s">
        <v>239</v>
      </c>
      <c r="B27" s="352">
        <f>'- 27 -'!B27</f>
        <v>124160</v>
      </c>
      <c r="C27" s="353">
        <f>'- 27 -'!C27</f>
        <v>0.32428406835153867</v>
      </c>
      <c r="D27" s="352">
        <f>'- 27 -'!D27</f>
        <v>44.374553252323089</v>
      </c>
      <c r="E27" s="352">
        <f>SUM('- 38 -'!B27,'- 38 -'!E27,'- 38 -'!H27,B27)</f>
        <v>823685</v>
      </c>
      <c r="F27" s="353">
        <f>E27/'- 3 -'!D27*100</f>
        <v>2.1513202548335784</v>
      </c>
      <c r="G27" s="352">
        <f>E27/'- 7 -'!F27</f>
        <v>294.38348820586134</v>
      </c>
    </row>
    <row r="28" spans="1:7" ht="14.1" customHeight="1">
      <c r="A28" s="23" t="s">
        <v>240</v>
      </c>
      <c r="B28" s="24">
        <f>'- 27 -'!B28</f>
        <v>43000</v>
      </c>
      <c r="C28" s="344">
        <f>'- 27 -'!C28</f>
        <v>0.16773792034391424</v>
      </c>
      <c r="D28" s="24">
        <f>'- 27 -'!D28</f>
        <v>21.994884910485933</v>
      </c>
      <c r="E28" s="24">
        <f>SUM('- 38 -'!B28,'- 38 -'!E28,'- 38 -'!H28,B28)</f>
        <v>607175</v>
      </c>
      <c r="F28" s="344">
        <f>E28/'- 3 -'!D28*100</f>
        <v>2.3685179484840959</v>
      </c>
      <c r="G28" s="24">
        <f>E28/'- 7 -'!F28</f>
        <v>310.57544757033247</v>
      </c>
    </row>
    <row r="29" spans="1:7" ht="14.1" customHeight="1">
      <c r="A29" s="351" t="s">
        <v>241</v>
      </c>
      <c r="B29" s="352">
        <f>'- 27 -'!B29</f>
        <v>812062</v>
      </c>
      <c r="C29" s="353">
        <f>'- 27 -'!C29</f>
        <v>0.59224305000962651</v>
      </c>
      <c r="D29" s="352">
        <f>'- 27 -'!D29</f>
        <v>66.869400527009219</v>
      </c>
      <c r="E29" s="352">
        <f>SUM('- 38 -'!B29,'- 38 -'!E29,'- 38 -'!H29,B29)</f>
        <v>3209913</v>
      </c>
      <c r="F29" s="353">
        <f>E29/'- 3 -'!D29*100</f>
        <v>2.3410141902780213</v>
      </c>
      <c r="G29" s="352">
        <f>E29/'- 7 -'!F29</f>
        <v>264.32089920948619</v>
      </c>
    </row>
    <row r="30" spans="1:7" ht="14.1" customHeight="1">
      <c r="A30" s="23" t="s">
        <v>242</v>
      </c>
      <c r="B30" s="24">
        <f>'- 27 -'!B30</f>
        <v>26500</v>
      </c>
      <c r="C30" s="344">
        <f>'- 27 -'!C30</f>
        <v>0.19982493827294551</v>
      </c>
      <c r="D30" s="24">
        <f>'- 27 -'!D30</f>
        <v>24.685607824871916</v>
      </c>
      <c r="E30" s="24">
        <f>SUM('- 38 -'!B30,'- 38 -'!E30,'- 38 -'!H30,B30)</f>
        <v>316156</v>
      </c>
      <c r="F30" s="344">
        <f>E30/'- 3 -'!D30*100</f>
        <v>2.383994459797032</v>
      </c>
      <c r="G30" s="24">
        <f>E30/'- 7 -'!F30</f>
        <v>294.50954820680016</v>
      </c>
    </row>
    <row r="31" spans="1:7" ht="14.1" customHeight="1">
      <c r="A31" s="351" t="s">
        <v>243</v>
      </c>
      <c r="B31" s="352">
        <f>'- 27 -'!B31</f>
        <v>123863</v>
      </c>
      <c r="C31" s="353">
        <f>'- 27 -'!C31</f>
        <v>0.38584202765198605</v>
      </c>
      <c r="D31" s="352">
        <f>'- 27 -'!D31</f>
        <v>39.073501577287068</v>
      </c>
      <c r="E31" s="352">
        <f>SUM('- 38 -'!B31,'- 38 -'!E31,'- 38 -'!H31,B31)</f>
        <v>763113</v>
      </c>
      <c r="F31" s="353">
        <f>E31/'- 3 -'!D31*100</f>
        <v>2.3771511044265843</v>
      </c>
      <c r="G31" s="352">
        <f>E31/'- 7 -'!F31</f>
        <v>240.72965299684543</v>
      </c>
    </row>
    <row r="32" spans="1:7" ht="14.1" customHeight="1">
      <c r="A32" s="23" t="s">
        <v>244</v>
      </c>
      <c r="B32" s="24">
        <f>'- 27 -'!B32</f>
        <v>36500</v>
      </c>
      <c r="C32" s="344">
        <f>'- 27 -'!C32</f>
        <v>0.14780421052486653</v>
      </c>
      <c r="D32" s="24">
        <f>'- 27 -'!D32</f>
        <v>17.795936675719027</v>
      </c>
      <c r="E32" s="24">
        <f>SUM('- 38 -'!B32,'- 38 -'!E32,'- 38 -'!H32,B32)</f>
        <v>548900</v>
      </c>
      <c r="F32" s="344">
        <f>E32/'- 3 -'!D32*100</f>
        <v>2.2227323604684721</v>
      </c>
      <c r="G32" s="24">
        <f>E32/'- 7 -'!F32</f>
        <v>267.62163400827876</v>
      </c>
    </row>
    <row r="33" spans="1:7" ht="14.1" customHeight="1">
      <c r="A33" s="351" t="s">
        <v>245</v>
      </c>
      <c r="B33" s="352">
        <f>'- 27 -'!B33</f>
        <v>30000</v>
      </c>
      <c r="C33" s="353">
        <f>'- 27 -'!C33</f>
        <v>0.11756914045201415</v>
      </c>
      <c r="D33" s="352">
        <f>'- 27 -'!D33</f>
        <v>14.966325767024195</v>
      </c>
      <c r="E33" s="352">
        <f>SUM('- 38 -'!B33,'- 38 -'!E33,'- 38 -'!H33,B33)</f>
        <v>1107400</v>
      </c>
      <c r="F33" s="353">
        <f>E33/'- 3 -'!D33*100</f>
        <v>4.339868871218683</v>
      </c>
      <c r="G33" s="352">
        <f>E33/'- 7 -'!F33</f>
        <v>552.45697181341984</v>
      </c>
    </row>
    <row r="34" spans="1:7" ht="14.1" customHeight="1">
      <c r="A34" s="23" t="s">
        <v>246</v>
      </c>
      <c r="B34" s="24">
        <f>'- 27 -'!B34</f>
        <v>18500</v>
      </c>
      <c r="C34" s="344">
        <f>'- 27 -'!C34</f>
        <v>7.7287830492163048E-2</v>
      </c>
      <c r="D34" s="24">
        <f>'- 27 -'!D34</f>
        <v>9.2532386335217325</v>
      </c>
      <c r="E34" s="24">
        <f>SUM('- 38 -'!B34,'- 38 -'!E34,'- 38 -'!H34,B34)</f>
        <v>426397</v>
      </c>
      <c r="F34" s="344">
        <f>E34/'- 3 -'!D34*100</f>
        <v>1.7813675166684786</v>
      </c>
      <c r="G34" s="24">
        <f>E34/'- 7 -'!F34</f>
        <v>213.27314560096033</v>
      </c>
    </row>
    <row r="35" spans="1:7" ht="14.1" customHeight="1">
      <c r="A35" s="351" t="s">
        <v>247</v>
      </c>
      <c r="B35" s="352">
        <f>'- 27 -'!B35</f>
        <v>1032700</v>
      </c>
      <c r="C35" s="353">
        <f>'- 27 -'!C35</f>
        <v>0.63119970190406793</v>
      </c>
      <c r="D35" s="352">
        <f>'- 27 -'!D35</f>
        <v>66.224188790560476</v>
      </c>
      <c r="E35" s="352">
        <f>SUM('- 38 -'!B35,'- 38 -'!E35,'- 38 -'!H35,B35)</f>
        <v>2445800</v>
      </c>
      <c r="F35" s="353">
        <f>E35/'- 3 -'!D35*100</f>
        <v>1.494904842565091</v>
      </c>
      <c r="G35" s="352">
        <f>E35/'- 7 -'!F35</f>
        <v>156.84237527254072</v>
      </c>
    </row>
    <row r="36" spans="1:7" ht="14.1" customHeight="1">
      <c r="A36" s="23" t="s">
        <v>248</v>
      </c>
      <c r="B36" s="24">
        <f>'- 27 -'!B36</f>
        <v>0</v>
      </c>
      <c r="C36" s="344">
        <f>'- 27 -'!C36</f>
        <v>0</v>
      </c>
      <c r="D36" s="24">
        <f>'- 27 -'!D36</f>
        <v>0</v>
      </c>
      <c r="E36" s="24">
        <f>SUM('- 38 -'!B36,'- 38 -'!E36,'- 38 -'!H36,B36)</f>
        <v>636100</v>
      </c>
      <c r="F36" s="344">
        <f>E36/'- 3 -'!D36*100</f>
        <v>3.0125274920957268</v>
      </c>
      <c r="G36" s="24">
        <f>E36/'- 7 -'!F36</f>
        <v>388.33943833943835</v>
      </c>
    </row>
    <row r="37" spans="1:7" ht="14.1" customHeight="1">
      <c r="A37" s="504" t="s">
        <v>249</v>
      </c>
      <c r="B37" s="352">
        <f>'- 27 -'!B37</f>
        <v>194692</v>
      </c>
      <c r="C37" s="353">
        <f>'- 27 -'!C37</f>
        <v>0.4886240534182652</v>
      </c>
      <c r="D37" s="352">
        <f>'- 27 -'!D37</f>
        <v>52.941400407885794</v>
      </c>
      <c r="E37" s="352">
        <f>SUM('- 38 -'!B37,'- 38 -'!E37,'- 38 -'!H37,B37)</f>
        <v>1065470</v>
      </c>
      <c r="F37" s="353">
        <f>E37/'- 3 -'!D37*100</f>
        <v>2.6740403827355976</v>
      </c>
      <c r="G37" s="352">
        <f>E37/'- 7 -'!F37</f>
        <v>289.72671651937458</v>
      </c>
    </row>
    <row r="38" spans="1:7" ht="14.1" customHeight="1">
      <c r="A38" s="23" t="s">
        <v>250</v>
      </c>
      <c r="B38" s="24">
        <f>'- 27 -'!B38</f>
        <v>381875</v>
      </c>
      <c r="C38" s="344">
        <f>'- 27 -'!C38</f>
        <v>0.34114867158605655</v>
      </c>
      <c r="D38" s="24">
        <f>'- 27 -'!D38</f>
        <v>36.255103009588908</v>
      </c>
      <c r="E38" s="24">
        <f>SUM('- 38 -'!B38,'- 38 -'!E38,'- 38 -'!H38,B38)</f>
        <v>2185770</v>
      </c>
      <c r="F38" s="344">
        <f>E38/'- 3 -'!D38*100</f>
        <v>1.9526612946452502</v>
      </c>
      <c r="G38" s="24">
        <f>E38/'- 7 -'!F38</f>
        <v>207.51637710054115</v>
      </c>
    </row>
    <row r="39" spans="1:7" ht="14.1" customHeight="1">
      <c r="A39" s="351" t="s">
        <v>251</v>
      </c>
      <c r="B39" s="352">
        <f>'- 27 -'!B39</f>
        <v>35000</v>
      </c>
      <c r="C39" s="353">
        <f>'- 27 -'!C39</f>
        <v>0.17584239055619852</v>
      </c>
      <c r="D39" s="352">
        <f>'- 27 -'!D39</f>
        <v>22.421524663677129</v>
      </c>
      <c r="E39" s="352">
        <f>SUM('- 38 -'!B39,'- 38 -'!E39,'- 38 -'!H39,B39)</f>
        <v>601250</v>
      </c>
      <c r="F39" s="353">
        <f>E39/'- 3 -'!D39*100</f>
        <v>3.0207210663404105</v>
      </c>
      <c r="G39" s="352">
        <f>E39/'- 7 -'!F39</f>
        <v>385.16976297245355</v>
      </c>
    </row>
    <row r="40" spans="1:7" ht="14.1" customHeight="1">
      <c r="A40" s="23" t="s">
        <v>252</v>
      </c>
      <c r="B40" s="24">
        <f>'- 27 -'!B40</f>
        <v>236301</v>
      </c>
      <c r="C40" s="344">
        <f>'- 27 -'!C40</f>
        <v>0.25167662734212043</v>
      </c>
      <c r="D40" s="24">
        <f>'- 27 -'!D40</f>
        <v>29.063883695759131</v>
      </c>
      <c r="E40" s="24">
        <f>SUM('- 38 -'!B40,'- 38 -'!E40,'- 38 -'!H40,B40)</f>
        <v>2389769</v>
      </c>
      <c r="F40" s="344">
        <f>E40/'- 3 -'!D40*100</f>
        <v>2.5452664273395027</v>
      </c>
      <c r="G40" s="24">
        <f>E40/'- 7 -'!F40</f>
        <v>293.93006494145436</v>
      </c>
    </row>
    <row r="41" spans="1:7" ht="14.1" customHeight="1">
      <c r="A41" s="351" t="s">
        <v>253</v>
      </c>
      <c r="B41" s="352">
        <f>'- 27 -'!B41</f>
        <v>148634</v>
      </c>
      <c r="C41" s="353">
        <f>'- 27 -'!C41</f>
        <v>0.26157103009242416</v>
      </c>
      <c r="D41" s="352">
        <f>'- 27 -'!D41</f>
        <v>33.00410791606528</v>
      </c>
      <c r="E41" s="352">
        <f>SUM('- 38 -'!B41,'- 38 -'!E41,'- 38 -'!H41,B41)</f>
        <v>1253908</v>
      </c>
      <c r="F41" s="353">
        <f>E41/'- 3 -'!D41*100</f>
        <v>2.2066687783490408</v>
      </c>
      <c r="G41" s="352">
        <f>E41/'- 7 -'!F41</f>
        <v>278.42966581547682</v>
      </c>
    </row>
    <row r="42" spans="1:7" ht="14.1" customHeight="1">
      <c r="A42" s="23" t="s">
        <v>254</v>
      </c>
      <c r="B42" s="24">
        <f>'- 27 -'!B42</f>
        <v>30500</v>
      </c>
      <c r="C42" s="344">
        <f>'- 27 -'!C42</f>
        <v>0.15331989346227889</v>
      </c>
      <c r="D42" s="24">
        <f>'- 27 -'!D42</f>
        <v>20.919067215363512</v>
      </c>
      <c r="E42" s="24">
        <f>SUM('- 38 -'!B42,'- 38 -'!E42,'- 38 -'!H42,B42)</f>
        <v>525019</v>
      </c>
      <c r="F42" s="344">
        <f>E42/'- 3 -'!D42*100</f>
        <v>2.6392084310056458</v>
      </c>
      <c r="G42" s="24">
        <f>E42/'- 7 -'!F42</f>
        <v>360.09533607681755</v>
      </c>
    </row>
    <row r="43" spans="1:7" ht="14.1" customHeight="1">
      <c r="A43" s="351" t="s">
        <v>255</v>
      </c>
      <c r="B43" s="352">
        <f>'- 27 -'!B43</f>
        <v>0</v>
      </c>
      <c r="C43" s="353">
        <f>'- 27 -'!C43</f>
        <v>0</v>
      </c>
      <c r="D43" s="352">
        <f>'- 27 -'!D43</f>
        <v>0</v>
      </c>
      <c r="E43" s="352">
        <f>SUM('- 38 -'!B43,'- 38 -'!E43,'- 38 -'!H43,B43)</f>
        <v>212397</v>
      </c>
      <c r="F43" s="353">
        <f>E43/'- 3 -'!D43*100</f>
        <v>1.7974847552267643</v>
      </c>
      <c r="G43" s="352">
        <f>E43/'- 7 -'!F43</f>
        <v>223.78190438561833</v>
      </c>
    </row>
    <row r="44" spans="1:7" ht="14.1" customHeight="1">
      <c r="A44" s="23" t="s">
        <v>256</v>
      </c>
      <c r="B44" s="24">
        <f>'- 27 -'!B44</f>
        <v>0</v>
      </c>
      <c r="C44" s="344">
        <f>'- 27 -'!C44</f>
        <v>0</v>
      </c>
      <c r="D44" s="24">
        <f>'- 27 -'!D44</f>
        <v>0</v>
      </c>
      <c r="E44" s="24">
        <f>SUM('- 38 -'!B44,'- 38 -'!E44,'- 38 -'!H44,B44)</f>
        <v>394314</v>
      </c>
      <c r="F44" s="344">
        <f>E44/'- 3 -'!D44*100</f>
        <v>3.9216423410150241</v>
      </c>
      <c r="G44" s="24">
        <f>E44/'- 7 -'!F44</f>
        <v>527.15775401069516</v>
      </c>
    </row>
    <row r="45" spans="1:7" ht="14.1" customHeight="1">
      <c r="A45" s="351" t="s">
        <v>257</v>
      </c>
      <c r="B45" s="352">
        <f>'- 27 -'!B45</f>
        <v>33000</v>
      </c>
      <c r="C45" s="353">
        <f>'- 27 -'!C45</f>
        <v>0.20157036754340818</v>
      </c>
      <c r="D45" s="352">
        <f>'- 27 -'!D45</f>
        <v>19.861570869696056</v>
      </c>
      <c r="E45" s="352">
        <f>SUM('- 38 -'!B45,'- 38 -'!E45,'- 38 -'!H45,B45)</f>
        <v>339400</v>
      </c>
      <c r="F45" s="353">
        <f>E45/'- 3 -'!D45*100</f>
        <v>2.073120689219174</v>
      </c>
      <c r="G45" s="352">
        <f>E45/'- 7 -'!F45</f>
        <v>204.27324706590431</v>
      </c>
    </row>
    <row r="46" spans="1:7" ht="14.1" customHeight="1">
      <c r="A46" s="23" t="s">
        <v>258</v>
      </c>
      <c r="B46" s="24">
        <f>'- 27 -'!B46</f>
        <v>1281700</v>
      </c>
      <c r="C46" s="344">
        <f>'- 27 -'!C46</f>
        <v>0.36348435644665045</v>
      </c>
      <c r="D46" s="24">
        <f>'- 27 -'!D46</f>
        <v>42.061564715148336</v>
      </c>
      <c r="E46" s="24">
        <f>SUM('- 38 -'!B46,'- 38 -'!E46,'- 38 -'!H46,B46)</f>
        <v>5295100</v>
      </c>
      <c r="F46" s="344">
        <f>E46/'- 3 -'!D46*100</f>
        <v>1.5016665489745329</v>
      </c>
      <c r="G46" s="24">
        <f>E46/'- 7 -'!F46</f>
        <v>173.76936203728013</v>
      </c>
    </row>
    <row r="47" spans="1:7" ht="5.0999999999999996" customHeight="1">
      <c r="A47"/>
      <c r="B47"/>
      <c r="C47"/>
      <c r="D47"/>
      <c r="E47"/>
      <c r="F47"/>
      <c r="G47"/>
    </row>
    <row r="48" spans="1:7" ht="14.1" customHeight="1">
      <c r="A48" s="354" t="s">
        <v>259</v>
      </c>
      <c r="B48" s="355">
        <f>SUM(B11:B46)</f>
        <v>6311051</v>
      </c>
      <c r="C48" s="356">
        <f>'- 27 -'!C48</f>
        <v>0.31416916264275191</v>
      </c>
      <c r="D48" s="355">
        <f>'- 27 -'!D48</f>
        <v>36.509255160231433</v>
      </c>
      <c r="E48" s="355">
        <f>SUM(E11:E46)</f>
        <v>43665621</v>
      </c>
      <c r="F48" s="356">
        <f>E48/'- 3 -'!D48*100</f>
        <v>2.1737095114341116</v>
      </c>
      <c r="G48" s="355">
        <f>E48/'- 7 -'!F48</f>
        <v>252.60440754146339</v>
      </c>
    </row>
    <row r="49" spans="1:8" ht="5.0999999999999996" customHeight="1">
      <c r="A49" s="25" t="s">
        <v>3</v>
      </c>
      <c r="B49" s="26"/>
      <c r="C49" s="343"/>
      <c r="D49" s="26"/>
      <c r="E49" s="26"/>
      <c r="F49" s="343"/>
    </row>
    <row r="50" spans="1:8" ht="14.1" customHeight="1">
      <c r="A50" s="23" t="s">
        <v>260</v>
      </c>
      <c r="B50" s="24">
        <f>'- 27 -'!B50</f>
        <v>0</v>
      </c>
      <c r="C50" s="344">
        <f>'- 27 -'!C50</f>
        <v>0</v>
      </c>
      <c r="D50" s="24">
        <f>'- 27 -'!D50</f>
        <v>0</v>
      </c>
      <c r="E50" s="24">
        <f>SUM('- 38 -'!B50,'- 38 -'!E50,'- 38 -'!H50,B50)</f>
        <v>64000</v>
      </c>
      <c r="F50" s="344">
        <f>E50/'- 3 -'!D50*100</f>
        <v>1.9820224371133701</v>
      </c>
      <c r="G50" s="24">
        <f>E50/'- 7 -'!F50</f>
        <v>353.59116022099448</v>
      </c>
    </row>
    <row r="51" spans="1:8" ht="14.1" customHeight="1">
      <c r="A51" s="351" t="s">
        <v>261</v>
      </c>
      <c r="B51" s="352">
        <f>'- 27 -'!B51</f>
        <v>678160</v>
      </c>
      <c r="C51" s="353">
        <f>'- 27 -'!C51</f>
        <v>3.8450656710409565</v>
      </c>
      <c r="D51" s="352">
        <f>'- 27 -'!D51</f>
        <v>1092.0450885668276</v>
      </c>
      <c r="E51" s="352">
        <f>SUM('- 38 -'!B51,'- 38 -'!E51,'- 38 -'!H51,B51)</f>
        <v>915486</v>
      </c>
      <c r="F51" s="353">
        <f>E51/'- 3 -'!D51*100</f>
        <v>5.1906685603966629</v>
      </c>
      <c r="G51" s="352">
        <f>E51/'- 7 -'!F51</f>
        <v>1474.2125603864733</v>
      </c>
    </row>
    <row r="52" spans="1:8" ht="50.1" customHeight="1">
      <c r="A52" s="27"/>
      <c r="B52" s="27"/>
      <c r="C52" s="27"/>
      <c r="D52" s="27"/>
      <c r="E52" s="27"/>
      <c r="F52" s="27"/>
      <c r="G52" s="27"/>
      <c r="H52" s="27"/>
    </row>
    <row r="53" spans="1:8" ht="15" customHeight="1">
      <c r="A53" s="1" t="s">
        <v>550</v>
      </c>
    </row>
    <row r="54" spans="1:8" ht="12" customHeight="1">
      <c r="A54" s="1" t="s">
        <v>551</v>
      </c>
      <c r="B54" s="154"/>
      <c r="C54" s="154"/>
      <c r="D54" s="154"/>
    </row>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6.xml><?xml version="1.0" encoding="utf-8"?>
<worksheet xmlns="http://schemas.openxmlformats.org/spreadsheetml/2006/main" xmlns:r="http://schemas.openxmlformats.org/officeDocument/2006/relationships">
  <sheetPr codeName="Sheet35">
    <pageSetUpPr fitToPage="1"/>
  </sheetPr>
  <dimension ref="A1:L59"/>
  <sheetViews>
    <sheetView showGridLines="0" showZeros="0" workbookViewId="0"/>
  </sheetViews>
  <sheetFormatPr defaultColWidth="14.83203125" defaultRowHeight="12"/>
  <cols>
    <col min="1" max="1" width="29.83203125" style="1" customWidth="1"/>
    <col min="2" max="2" width="15.83203125" style="1" customWidth="1"/>
    <col min="3" max="3" width="13.83203125" style="1" customWidth="1"/>
    <col min="4" max="5" width="15.83203125" style="1" customWidth="1"/>
    <col min="6" max="6" width="12.83203125" style="1" customWidth="1"/>
    <col min="7" max="7" width="15.83203125" style="1" customWidth="1"/>
    <col min="8" max="8" width="13.83203125" style="1" customWidth="1"/>
    <col min="9" max="9" width="14.83203125" style="1"/>
    <col min="10" max="10" width="14.83203125" style="605"/>
    <col min="11" max="11" width="19.5" style="605" customWidth="1"/>
    <col min="12" max="12" width="14.83203125" style="605"/>
    <col min="13" max="16384" width="14.83203125" style="1"/>
  </cols>
  <sheetData>
    <row r="1" spans="1:12" ht="6.95" customHeight="1">
      <c r="A1" s="3"/>
    </row>
    <row r="2" spans="1:12" ht="15.95" customHeight="1">
      <c r="A2" s="72" t="str">
        <f>"  SUMMARY"&amp;REPLACE(REVYEAR,1,8,"")</f>
        <v xml:space="preserve">  SUMMARY OF OPERATING FUND REVENUE: 2012/2013 BUDGET</v>
      </c>
      <c r="B2" s="128"/>
      <c r="C2" s="128"/>
      <c r="D2" s="128"/>
      <c r="E2" s="128"/>
      <c r="F2" s="128"/>
      <c r="G2" s="128"/>
      <c r="H2" s="128"/>
    </row>
    <row r="3" spans="1:12" ht="15.95" customHeight="1">
      <c r="A3" s="244"/>
    </row>
    <row r="4" spans="1:12" ht="15.95" customHeight="1">
      <c r="B4" s="4"/>
      <c r="C4" s="104"/>
      <c r="D4" s="104"/>
      <c r="E4" s="4"/>
      <c r="F4" s="4"/>
      <c r="G4" s="4"/>
      <c r="H4" s="4"/>
    </row>
    <row r="5" spans="1:12" ht="15.95" customHeight="1">
      <c r="B5" s="4"/>
      <c r="C5" s="4"/>
      <c r="D5" s="4"/>
      <c r="E5" s="4"/>
      <c r="F5" s="4"/>
      <c r="G5" s="4"/>
      <c r="H5" s="4"/>
    </row>
    <row r="6" spans="1:12" ht="15.95" customHeight="1">
      <c r="B6" s="245" t="s">
        <v>98</v>
      </c>
      <c r="C6" s="194"/>
      <c r="D6" s="194"/>
      <c r="E6" s="194"/>
      <c r="F6" s="194"/>
      <c r="G6" s="194"/>
      <c r="H6" s="195"/>
    </row>
    <row r="7" spans="1:12" ht="15.95" customHeight="1">
      <c r="B7" s="345" t="s">
        <v>105</v>
      </c>
      <c r="C7" s="346"/>
      <c r="D7" s="346"/>
      <c r="E7" s="367" t="s">
        <v>44</v>
      </c>
      <c r="F7" s="367" t="s">
        <v>3</v>
      </c>
      <c r="G7" s="367" t="s">
        <v>97</v>
      </c>
      <c r="H7" s="367" t="s">
        <v>3</v>
      </c>
    </row>
    <row r="8" spans="1:12" ht="15.95" customHeight="1">
      <c r="A8" s="32"/>
      <c r="B8" s="424"/>
      <c r="C8" s="425"/>
      <c r="D8" s="425"/>
      <c r="E8" s="426" t="s">
        <v>123</v>
      </c>
      <c r="F8" s="426" t="s">
        <v>124</v>
      </c>
      <c r="G8" s="426" t="s">
        <v>125</v>
      </c>
      <c r="H8" s="426" t="s">
        <v>3</v>
      </c>
    </row>
    <row r="9" spans="1:12" ht="15.95" customHeight="1">
      <c r="A9" s="117" t="s">
        <v>79</v>
      </c>
      <c r="B9" s="370" t="s">
        <v>516</v>
      </c>
      <c r="C9" s="370" t="s">
        <v>99</v>
      </c>
      <c r="D9" s="370" t="s">
        <v>100</v>
      </c>
      <c r="E9" s="370" t="s">
        <v>119</v>
      </c>
      <c r="F9" s="370" t="s">
        <v>137</v>
      </c>
      <c r="G9" s="370" t="s">
        <v>138</v>
      </c>
      <c r="H9" s="370" t="s">
        <v>44</v>
      </c>
      <c r="J9" s="606" t="s">
        <v>164</v>
      </c>
    </row>
    <row r="10" spans="1:12" ht="5.0999999999999996" customHeight="1">
      <c r="A10" s="37"/>
      <c r="B10" s="246"/>
      <c r="C10" s="246"/>
      <c r="D10" s="246"/>
      <c r="E10" s="246"/>
      <c r="F10" s="246"/>
      <c r="G10" s="246"/>
      <c r="H10" s="246"/>
    </row>
    <row r="11" spans="1:12" ht="14.1" customHeight="1">
      <c r="A11" s="351" t="s">
        <v>224</v>
      </c>
      <c r="B11" s="353">
        <f>'- 42 -'!I11</f>
        <v>62.849737092231365</v>
      </c>
      <c r="C11" s="353">
        <f>'- 43 -'!C11</f>
        <v>0</v>
      </c>
      <c r="D11" s="353">
        <f>'- 43 -'!E11</f>
        <v>36.160543778721475</v>
      </c>
      <c r="E11" s="353">
        <f>'- 43 -'!G11</f>
        <v>0.18685697842300183</v>
      </c>
      <c r="F11" s="353">
        <f>'- 43 -'!I11</f>
        <v>9.3428489211500917E-2</v>
      </c>
      <c r="G11" s="353">
        <f>'- 44 -'!C11</f>
        <v>0.25474834725002587</v>
      </c>
      <c r="H11" s="353">
        <f>'- 44 -'!E11</f>
        <v>0.4546853141626378</v>
      </c>
      <c r="J11" s="607">
        <f>SUM(B11:H11)</f>
        <v>100</v>
      </c>
      <c r="K11" s="605" t="s">
        <v>116</v>
      </c>
      <c r="L11" s="607">
        <f>B48</f>
        <v>64.798961632795496</v>
      </c>
    </row>
    <row r="12" spans="1:12" ht="14.1" customHeight="1">
      <c r="A12" s="23" t="s">
        <v>225</v>
      </c>
      <c r="B12" s="344">
        <f>'- 42 -'!I12</f>
        <v>69.658254552884998</v>
      </c>
      <c r="C12" s="344">
        <f>'- 43 -'!C12</f>
        <v>0.87526214677126157</v>
      </c>
      <c r="D12" s="344">
        <f>'- 43 -'!E12</f>
        <v>27.123413114355465</v>
      </c>
      <c r="E12" s="344">
        <f>'- 43 -'!G12</f>
        <v>1.0867136357780842</v>
      </c>
      <c r="F12" s="344">
        <f>'- 43 -'!I12</f>
        <v>0.32904591983882014</v>
      </c>
      <c r="G12" s="344">
        <f>'- 44 -'!C12</f>
        <v>0.52998110124759401</v>
      </c>
      <c r="H12" s="344">
        <f>'- 44 -'!E12</f>
        <v>0.39732952912377212</v>
      </c>
      <c r="J12" s="607">
        <f t="shared" ref="J12:J46" si="0">SUM(B12:H12)</f>
        <v>100</v>
      </c>
      <c r="K12" s="605" t="s">
        <v>99</v>
      </c>
      <c r="L12" s="607">
        <f>C48</f>
        <v>0.6553363428610548</v>
      </c>
    </row>
    <row r="13" spans="1:12" ht="14.1" customHeight="1">
      <c r="A13" s="351" t="s">
        <v>226</v>
      </c>
      <c r="B13" s="353">
        <f>'- 42 -'!I13</f>
        <v>62.316718219157238</v>
      </c>
      <c r="C13" s="353">
        <f>'- 43 -'!C13</f>
        <v>3.0297652248871758E-2</v>
      </c>
      <c r="D13" s="353">
        <f>'- 43 -'!E13</f>
        <v>36.079914811622125</v>
      </c>
      <c r="E13" s="353">
        <f>'- 43 -'!G13</f>
        <v>0.30868110136402821</v>
      </c>
      <c r="F13" s="353">
        <f>'- 43 -'!I13</f>
        <v>0.36128999543633689</v>
      </c>
      <c r="G13" s="353">
        <f>'- 44 -'!C13</f>
        <v>0.79559860047664932</v>
      </c>
      <c r="H13" s="353">
        <f>'- 44 -'!E13</f>
        <v>0.10749961969474164</v>
      </c>
      <c r="J13" s="607">
        <f t="shared" si="0"/>
        <v>99.999999999999986</v>
      </c>
      <c r="K13" s="605" t="s">
        <v>100</v>
      </c>
      <c r="L13" s="607">
        <f>D48</f>
        <v>29.735001920016074</v>
      </c>
    </row>
    <row r="14" spans="1:12" ht="14.1" customHeight="1">
      <c r="A14" s="23" t="s">
        <v>524</v>
      </c>
      <c r="B14" s="344">
        <f>'- 42 -'!I14</f>
        <v>71.175416444226784</v>
      </c>
      <c r="C14" s="344">
        <f>'- 43 -'!C14</f>
        <v>7.7902059576067467E-2</v>
      </c>
      <c r="D14" s="344">
        <f>'- 43 -'!E14</f>
        <v>27.027316470502434</v>
      </c>
      <c r="E14" s="344">
        <f>'- 43 -'!G14</f>
        <v>1.6131349444546275</v>
      </c>
      <c r="F14" s="344">
        <f>'- 43 -'!I14</f>
        <v>0</v>
      </c>
      <c r="G14" s="344">
        <f>'- 44 -'!C14</f>
        <v>9.9148075824085871E-2</v>
      </c>
      <c r="H14" s="344">
        <f>'- 44 -'!E14</f>
        <v>7.0820054160061338E-3</v>
      </c>
      <c r="J14" s="607">
        <f t="shared" si="0"/>
        <v>100.00000000000001</v>
      </c>
      <c r="K14" s="605" t="s">
        <v>144</v>
      </c>
      <c r="L14" s="607">
        <f>E48</f>
        <v>0.49945212015752338</v>
      </c>
    </row>
    <row r="15" spans="1:12" ht="14.1" customHeight="1">
      <c r="A15" s="351" t="s">
        <v>227</v>
      </c>
      <c r="B15" s="353">
        <f>'- 42 -'!I15</f>
        <v>64.508483989933083</v>
      </c>
      <c r="C15" s="353">
        <f>'- 43 -'!C15</f>
        <v>0</v>
      </c>
      <c r="D15" s="353">
        <f>'- 43 -'!E15</f>
        <v>34.081510083848706</v>
      </c>
      <c r="E15" s="353">
        <f>'- 43 -'!G15</f>
        <v>0.3407077516884166</v>
      </c>
      <c r="F15" s="353">
        <f>'- 43 -'!I15</f>
        <v>0.83866523492533307</v>
      </c>
      <c r="G15" s="353">
        <f>'- 44 -'!C15</f>
        <v>0.15200807383021661</v>
      </c>
      <c r="H15" s="353">
        <f>'- 44 -'!E15</f>
        <v>7.8624865774249986E-2</v>
      </c>
      <c r="J15" s="607">
        <f t="shared" si="0"/>
        <v>99.999999999999986</v>
      </c>
      <c r="K15" s="605" t="s">
        <v>120</v>
      </c>
      <c r="L15" s="607">
        <f>F48</f>
        <v>3.2341816295915655</v>
      </c>
    </row>
    <row r="16" spans="1:12" ht="14.1" customHeight="1">
      <c r="A16" s="23" t="s">
        <v>228</v>
      </c>
      <c r="B16" s="344">
        <f>'- 42 -'!I16</f>
        <v>74.677292566628822</v>
      </c>
      <c r="C16" s="344">
        <f>'- 43 -'!C16</f>
        <v>0</v>
      </c>
      <c r="D16" s="344">
        <f>'- 43 -'!E16</f>
        <v>22.44612091962691</v>
      </c>
      <c r="E16" s="344">
        <f>'- 43 -'!G16</f>
        <v>1.1233114790953507</v>
      </c>
      <c r="F16" s="344">
        <f>'- 43 -'!I16</f>
        <v>0</v>
      </c>
      <c r="G16" s="344">
        <f>'- 44 -'!C16</f>
        <v>1.4666071778987158</v>
      </c>
      <c r="H16" s="344">
        <f>'- 44 -'!E16</f>
        <v>0.2866678567502044</v>
      </c>
      <c r="J16" s="607">
        <f t="shared" si="0"/>
        <v>99.999999999999986</v>
      </c>
      <c r="K16" s="605" t="s">
        <v>97</v>
      </c>
      <c r="L16" s="607">
        <f>G48</f>
        <v>0.85728909212522619</v>
      </c>
    </row>
    <row r="17" spans="1:12" ht="14.1" customHeight="1">
      <c r="A17" s="351" t="s">
        <v>229</v>
      </c>
      <c r="B17" s="353">
        <f>'- 42 -'!I17</f>
        <v>57.427697071276349</v>
      </c>
      <c r="C17" s="353">
        <f>'- 43 -'!C17</f>
        <v>0</v>
      </c>
      <c r="D17" s="353">
        <f>'- 43 -'!E17</f>
        <v>37.346587426902374</v>
      </c>
      <c r="E17" s="353">
        <f>'- 43 -'!G17</f>
        <v>4.6747001988905142E-2</v>
      </c>
      <c r="F17" s="353">
        <f>'- 43 -'!I17</f>
        <v>5.0435220581722087</v>
      </c>
      <c r="G17" s="353">
        <f>'- 44 -'!C17</f>
        <v>9.9487209361003248E-2</v>
      </c>
      <c r="H17" s="353">
        <f>'- 44 -'!E17</f>
        <v>3.5959232299157796E-2</v>
      </c>
      <c r="J17" s="607">
        <f t="shared" si="0"/>
        <v>100.00000000000001</v>
      </c>
      <c r="K17" s="608" t="s">
        <v>44</v>
      </c>
      <c r="L17" s="607">
        <f>H48</f>
        <v>0.219777262453065</v>
      </c>
    </row>
    <row r="18" spans="1:12" ht="14.1" customHeight="1">
      <c r="A18" s="23" t="s">
        <v>230</v>
      </c>
      <c r="B18" s="344">
        <f>'- 42 -'!I18</f>
        <v>39.977983386247466</v>
      </c>
      <c r="C18" s="344">
        <f>'- 43 -'!C18</f>
        <v>10.298787519269213</v>
      </c>
      <c r="D18" s="344">
        <f>'- 43 -'!E18</f>
        <v>2.3339057015589608</v>
      </c>
      <c r="E18" s="344">
        <f>'- 43 -'!G18</f>
        <v>0</v>
      </c>
      <c r="F18" s="344">
        <f>'- 43 -'!I18</f>
        <v>42.967008247688696</v>
      </c>
      <c r="G18" s="344">
        <f>'- 44 -'!C18</f>
        <v>3.6741576078643661</v>
      </c>
      <c r="H18" s="344">
        <f>'- 44 -'!E18</f>
        <v>0.74815753737130031</v>
      </c>
      <c r="J18" s="607">
        <f t="shared" si="0"/>
        <v>100</v>
      </c>
      <c r="L18" s="607"/>
    </row>
    <row r="19" spans="1:12" ht="14.1" customHeight="1">
      <c r="A19" s="351" t="s">
        <v>231</v>
      </c>
      <c r="B19" s="353">
        <f>'- 42 -'!I19</f>
        <v>69.134282050938538</v>
      </c>
      <c r="C19" s="353">
        <f>'- 43 -'!C19</f>
        <v>0</v>
      </c>
      <c r="D19" s="353">
        <f>'- 43 -'!E19</f>
        <v>29.626988173603031</v>
      </c>
      <c r="E19" s="353">
        <f>'- 43 -'!G19</f>
        <v>0.61813354600410886</v>
      </c>
      <c r="F19" s="353">
        <f>'- 43 -'!I19</f>
        <v>0</v>
      </c>
      <c r="G19" s="353">
        <f>'- 44 -'!C19</f>
        <v>0</v>
      </c>
      <c r="H19" s="353">
        <f>'- 44 -'!E19</f>
        <v>0.62059622945432458</v>
      </c>
      <c r="J19" s="607">
        <f t="shared" si="0"/>
        <v>99.999999999999986</v>
      </c>
      <c r="L19" s="607">
        <f>SUM(L11:L17)</f>
        <v>100</v>
      </c>
    </row>
    <row r="20" spans="1:12" ht="14.1" customHeight="1">
      <c r="A20" s="23" t="s">
        <v>232</v>
      </c>
      <c r="B20" s="344">
        <f>'- 42 -'!I20</f>
        <v>71.593697449725866</v>
      </c>
      <c r="C20" s="344">
        <f>'- 43 -'!C20</f>
        <v>0</v>
      </c>
      <c r="D20" s="344">
        <f>'- 43 -'!E20</f>
        <v>27.691441137296319</v>
      </c>
      <c r="E20" s="344">
        <f>'- 43 -'!G20</f>
        <v>0.14214782520934821</v>
      </c>
      <c r="F20" s="344">
        <f>'- 43 -'!I20</f>
        <v>0</v>
      </c>
      <c r="G20" s="344">
        <f>'- 44 -'!C20</f>
        <v>0.45828458847493858</v>
      </c>
      <c r="H20" s="344">
        <f>'- 44 -'!E20</f>
        <v>0.1144289992935253</v>
      </c>
      <c r="J20" s="607">
        <f t="shared" si="0"/>
        <v>100</v>
      </c>
    </row>
    <row r="21" spans="1:12" ht="14.1" customHeight="1">
      <c r="A21" s="351" t="s">
        <v>233</v>
      </c>
      <c r="B21" s="353">
        <f>'- 42 -'!I21</f>
        <v>68.069112964366937</v>
      </c>
      <c r="C21" s="353">
        <f>'- 43 -'!C21</f>
        <v>0</v>
      </c>
      <c r="D21" s="353">
        <f>'- 43 -'!E21</f>
        <v>30.693828658074302</v>
      </c>
      <c r="E21" s="353">
        <f>'- 43 -'!G21</f>
        <v>0.16679302501895374</v>
      </c>
      <c r="F21" s="353">
        <f>'- 43 -'!I21</f>
        <v>0</v>
      </c>
      <c r="G21" s="353">
        <f>'- 44 -'!C21</f>
        <v>0.67960576194086431</v>
      </c>
      <c r="H21" s="353">
        <f>'- 44 -'!E21</f>
        <v>0.39065959059893857</v>
      </c>
      <c r="J21" s="607">
        <f t="shared" si="0"/>
        <v>100</v>
      </c>
    </row>
    <row r="22" spans="1:12" ht="14.1" customHeight="1">
      <c r="A22" s="23" t="s">
        <v>234</v>
      </c>
      <c r="B22" s="344">
        <f>'- 42 -'!I22</f>
        <v>85.072679018374387</v>
      </c>
      <c r="C22" s="344">
        <f>'- 43 -'!C22</f>
        <v>0.10903605121267559</v>
      </c>
      <c r="D22" s="344">
        <f>'- 43 -'!E22</f>
        <v>13.961573099456196</v>
      </c>
      <c r="E22" s="344">
        <f>'- 43 -'!G22</f>
        <v>2.596096457444657E-2</v>
      </c>
      <c r="F22" s="344">
        <f>'- 43 -'!I22</f>
        <v>0</v>
      </c>
      <c r="G22" s="344">
        <f>'- 44 -'!C22</f>
        <v>0.83075086638229023</v>
      </c>
      <c r="H22" s="344">
        <f>'- 44 -'!E22</f>
        <v>0</v>
      </c>
      <c r="J22" s="607">
        <f t="shared" si="0"/>
        <v>99.999999999999986</v>
      </c>
    </row>
    <row r="23" spans="1:12" ht="14.1" customHeight="1">
      <c r="A23" s="351" t="s">
        <v>235</v>
      </c>
      <c r="B23" s="353">
        <f>'- 42 -'!I23</f>
        <v>72.85188077260888</v>
      </c>
      <c r="C23" s="353">
        <f>'- 43 -'!C23</f>
        <v>0</v>
      </c>
      <c r="D23" s="353">
        <f>'- 43 -'!E23</f>
        <v>18.599152823373672</v>
      </c>
      <c r="E23" s="353">
        <f>'- 43 -'!G23</f>
        <v>0.56950923490863814</v>
      </c>
      <c r="F23" s="353">
        <f>'- 43 -'!I23</f>
        <v>6.2329621820556502</v>
      </c>
      <c r="G23" s="353">
        <f>'- 44 -'!C23</f>
        <v>1.4680682499867115</v>
      </c>
      <c r="H23" s="353">
        <f>'- 44 -'!E23</f>
        <v>0.27842673706644527</v>
      </c>
      <c r="J23" s="607">
        <f t="shared" si="0"/>
        <v>99.999999999999986</v>
      </c>
    </row>
    <row r="24" spans="1:12" ht="14.1" customHeight="1">
      <c r="A24" s="23" t="s">
        <v>236</v>
      </c>
      <c r="B24" s="344">
        <f>'- 42 -'!I24</f>
        <v>64.327027063985739</v>
      </c>
      <c r="C24" s="344">
        <f>'- 43 -'!C24</f>
        <v>0</v>
      </c>
      <c r="D24" s="344">
        <f>'- 43 -'!E24</f>
        <v>33.578744936816761</v>
      </c>
      <c r="E24" s="344">
        <f>'- 43 -'!G24</f>
        <v>0.39242200186588333</v>
      </c>
      <c r="F24" s="344">
        <f>'- 43 -'!I24</f>
        <v>0.76820577571583415</v>
      </c>
      <c r="G24" s="344">
        <f>'- 44 -'!C24</f>
        <v>0.75249727406167655</v>
      </c>
      <c r="H24" s="344">
        <f>'- 44 -'!E24</f>
        <v>0.1811029475540972</v>
      </c>
      <c r="J24" s="607">
        <f t="shared" si="0"/>
        <v>99.999999999999986</v>
      </c>
    </row>
    <row r="25" spans="1:12" ht="14.1" customHeight="1">
      <c r="A25" s="351" t="s">
        <v>237</v>
      </c>
      <c r="B25" s="353">
        <f>'- 42 -'!I25</f>
        <v>67.386677011355545</v>
      </c>
      <c r="C25" s="353">
        <f>'- 43 -'!C25</f>
        <v>0</v>
      </c>
      <c r="D25" s="353">
        <f>'- 43 -'!E25</f>
        <v>31.1349499920961</v>
      </c>
      <c r="E25" s="353">
        <f>'- 43 -'!G25</f>
        <v>0.28312870546339369</v>
      </c>
      <c r="F25" s="353">
        <f>'- 43 -'!I25</f>
        <v>0</v>
      </c>
      <c r="G25" s="353">
        <f>'- 44 -'!C25</f>
        <v>1.1294004060934777</v>
      </c>
      <c r="H25" s="353">
        <f>'- 44 -'!E25</f>
        <v>6.5843884991486912E-2</v>
      </c>
      <c r="J25" s="607">
        <f t="shared" si="0"/>
        <v>100</v>
      </c>
    </row>
    <row r="26" spans="1:12" ht="14.1" customHeight="1">
      <c r="A26" s="23" t="s">
        <v>238</v>
      </c>
      <c r="B26" s="344">
        <f>'- 42 -'!I26</f>
        <v>69.824920777006795</v>
      </c>
      <c r="C26" s="344">
        <f>'- 43 -'!C26</f>
        <v>1.0682371840460871</v>
      </c>
      <c r="D26" s="344">
        <f>'- 43 -'!E26</f>
        <v>25.692325556788258</v>
      </c>
      <c r="E26" s="344">
        <f>'- 43 -'!G26</f>
        <v>0.84296928884194033</v>
      </c>
      <c r="F26" s="344">
        <f>'- 43 -'!I26</f>
        <v>0.68113961038562176</v>
      </c>
      <c r="G26" s="344">
        <f>'- 44 -'!C26</f>
        <v>1.4631062997936188</v>
      </c>
      <c r="H26" s="344">
        <f>'- 44 -'!E26</f>
        <v>0.42730128313768184</v>
      </c>
      <c r="J26" s="607">
        <f t="shared" si="0"/>
        <v>100.00000000000001</v>
      </c>
    </row>
    <row r="27" spans="1:12" ht="14.1" customHeight="1">
      <c r="A27" s="351" t="s">
        <v>239</v>
      </c>
      <c r="B27" s="353">
        <f>'- 42 -'!I27</f>
        <v>78.564836284778877</v>
      </c>
      <c r="C27" s="353">
        <f>'- 43 -'!C27</f>
        <v>0.21167176327838061</v>
      </c>
      <c r="D27" s="353">
        <f>'- 43 -'!E27</f>
        <v>19.617103744991606</v>
      </c>
      <c r="E27" s="353">
        <f>'- 43 -'!G27</f>
        <v>0.42540036164888817</v>
      </c>
      <c r="F27" s="353">
        <f>'- 43 -'!I27</f>
        <v>0.54675363208437799</v>
      </c>
      <c r="G27" s="353">
        <f>'- 44 -'!C27</f>
        <v>0.47150991795467068</v>
      </c>
      <c r="H27" s="353">
        <f>'- 44 -'!E27</f>
        <v>0.16272429526320772</v>
      </c>
      <c r="J27" s="607">
        <f t="shared" si="0"/>
        <v>100</v>
      </c>
    </row>
    <row r="28" spans="1:12" ht="14.1" customHeight="1">
      <c r="A28" s="23" t="s">
        <v>240</v>
      </c>
      <c r="B28" s="344">
        <f>'- 42 -'!I28</f>
        <v>51.317817122168819</v>
      </c>
      <c r="C28" s="344">
        <f>'- 43 -'!C28</f>
        <v>0</v>
      </c>
      <c r="D28" s="344">
        <f>'- 43 -'!E28</f>
        <v>24.55102104773686</v>
      </c>
      <c r="E28" s="344">
        <f>'- 43 -'!G28</f>
        <v>3.8547486011984648E-2</v>
      </c>
      <c r="F28" s="344">
        <f>'- 43 -'!I28</f>
        <v>24.015519372058371</v>
      </c>
      <c r="G28" s="344">
        <f>'- 44 -'!C28</f>
        <v>0</v>
      </c>
      <c r="H28" s="344">
        <f>'- 44 -'!E28</f>
        <v>7.7094972023969296E-2</v>
      </c>
      <c r="J28" s="607">
        <f t="shared" si="0"/>
        <v>99.999999999999986</v>
      </c>
    </row>
    <row r="29" spans="1:12" ht="14.1" customHeight="1">
      <c r="A29" s="351" t="s">
        <v>241</v>
      </c>
      <c r="B29" s="353">
        <f>'- 42 -'!I29</f>
        <v>58.178509014022637</v>
      </c>
      <c r="C29" s="353">
        <f>'- 43 -'!C29</f>
        <v>0</v>
      </c>
      <c r="D29" s="353">
        <f>'- 43 -'!E29</f>
        <v>39.556104612771115</v>
      </c>
      <c r="E29" s="353">
        <f>'- 43 -'!G29</f>
        <v>0.4954410768660244</v>
      </c>
      <c r="F29" s="353">
        <f>'- 43 -'!I29</f>
        <v>0</v>
      </c>
      <c r="G29" s="353">
        <f>'- 44 -'!C29</f>
        <v>1.6310063856538759</v>
      </c>
      <c r="H29" s="353">
        <f>'- 44 -'!E29</f>
        <v>0.13893891068634162</v>
      </c>
      <c r="J29" s="607">
        <f t="shared" si="0"/>
        <v>100</v>
      </c>
    </row>
    <row r="30" spans="1:12" ht="14.1" customHeight="1">
      <c r="A30" s="23" t="s">
        <v>242</v>
      </c>
      <c r="B30" s="344">
        <f>'- 42 -'!I30</f>
        <v>66.75835350755905</v>
      </c>
      <c r="C30" s="344">
        <f>'- 43 -'!C30</f>
        <v>0</v>
      </c>
      <c r="D30" s="344">
        <f>'- 43 -'!E30</f>
        <v>32.685908145738566</v>
      </c>
      <c r="E30" s="344">
        <f>'- 43 -'!G30</f>
        <v>0.1947331133997578</v>
      </c>
      <c r="F30" s="344">
        <f>'- 43 -'!I30</f>
        <v>0</v>
      </c>
      <c r="G30" s="344">
        <f>'- 44 -'!C30</f>
        <v>0</v>
      </c>
      <c r="H30" s="344">
        <f>'- 44 -'!E30</f>
        <v>0.3610052333026279</v>
      </c>
      <c r="J30" s="607">
        <f t="shared" si="0"/>
        <v>100.00000000000001</v>
      </c>
    </row>
    <row r="31" spans="1:12" ht="14.1" customHeight="1">
      <c r="A31" s="351" t="s">
        <v>243</v>
      </c>
      <c r="B31" s="353">
        <f>'- 42 -'!I31</f>
        <v>65.194963427476651</v>
      </c>
      <c r="C31" s="353">
        <f>'- 43 -'!C31</f>
        <v>6.0221014737346951E-2</v>
      </c>
      <c r="D31" s="353">
        <f>'- 43 -'!E31</f>
        <v>31.739786922392394</v>
      </c>
      <c r="E31" s="353">
        <f>'- 43 -'!G31</f>
        <v>0.54198913263612247</v>
      </c>
      <c r="F31" s="353">
        <f>'- 43 -'!I31</f>
        <v>2.3636748284408675</v>
      </c>
      <c r="G31" s="353">
        <f>'- 44 -'!C31</f>
        <v>1.5055253684336738E-2</v>
      </c>
      <c r="H31" s="353">
        <f>'- 44 -'!E31</f>
        <v>8.4309420632285734E-2</v>
      </c>
      <c r="J31" s="607">
        <f t="shared" si="0"/>
        <v>100</v>
      </c>
    </row>
    <row r="32" spans="1:12" ht="14.1" customHeight="1">
      <c r="A32" s="23" t="s">
        <v>244</v>
      </c>
      <c r="B32" s="344">
        <f>'- 42 -'!I32</f>
        <v>64.713621877283884</v>
      </c>
      <c r="C32" s="344">
        <f>'- 43 -'!C32</f>
        <v>0</v>
      </c>
      <c r="D32" s="344">
        <f>'- 43 -'!E32</f>
        <v>34.682784598698937</v>
      </c>
      <c r="E32" s="344">
        <f>'- 43 -'!G32</f>
        <v>0.28488189924114982</v>
      </c>
      <c r="F32" s="344">
        <f>'- 43 -'!I32</f>
        <v>0</v>
      </c>
      <c r="G32" s="344">
        <f>'- 44 -'!C32</f>
        <v>2.195964639983863E-2</v>
      </c>
      <c r="H32" s="344">
        <f>'- 44 -'!E32</f>
        <v>0.29675197837619771</v>
      </c>
      <c r="J32" s="607">
        <f t="shared" si="0"/>
        <v>100</v>
      </c>
    </row>
    <row r="33" spans="1:10" ht="14.1" customHeight="1">
      <c r="A33" s="351" t="s">
        <v>245</v>
      </c>
      <c r="B33" s="353">
        <f>'- 42 -'!I33</f>
        <v>65.104887118865264</v>
      </c>
      <c r="C33" s="353">
        <f>'- 43 -'!C33</f>
        <v>0</v>
      </c>
      <c r="D33" s="353">
        <f>'- 43 -'!E33</f>
        <v>33.684242351498462</v>
      </c>
      <c r="E33" s="353">
        <f>'- 43 -'!G33</f>
        <v>5.6759556076700773E-2</v>
      </c>
      <c r="F33" s="353">
        <f>'- 43 -'!I33</f>
        <v>0.94599260127834617</v>
      </c>
      <c r="G33" s="353">
        <f>'- 44 -'!C33</f>
        <v>9.4599260127834636E-2</v>
      </c>
      <c r="H33" s="353">
        <f>'- 44 -'!E33</f>
        <v>0.11351911215340155</v>
      </c>
      <c r="J33" s="607">
        <f t="shared" si="0"/>
        <v>100</v>
      </c>
    </row>
    <row r="34" spans="1:10" ht="14.1" customHeight="1">
      <c r="A34" s="23" t="s">
        <v>246</v>
      </c>
      <c r="B34" s="344">
        <f>'- 42 -'!I34</f>
        <v>61.964132585555632</v>
      </c>
      <c r="C34" s="344">
        <f>'- 43 -'!C34</f>
        <v>9.0736434143537159E-2</v>
      </c>
      <c r="D34" s="344">
        <f>'- 43 -'!E34</f>
        <v>33.990956246234539</v>
      </c>
      <c r="E34" s="344">
        <f>'- 43 -'!G34</f>
        <v>3.2437782519794296</v>
      </c>
      <c r="F34" s="344">
        <f>'- 43 -'!I34</f>
        <v>1.7453419979374499E-2</v>
      </c>
      <c r="G34" s="344">
        <f>'- 44 -'!C34</f>
        <v>0.56248377726989096</v>
      </c>
      <c r="H34" s="344">
        <f>'- 44 -'!E34</f>
        <v>0.13045928483759697</v>
      </c>
      <c r="J34" s="607">
        <f t="shared" si="0"/>
        <v>100</v>
      </c>
    </row>
    <row r="35" spans="1:10" ht="14.1" customHeight="1">
      <c r="A35" s="351" t="s">
        <v>247</v>
      </c>
      <c r="B35" s="353">
        <f>'- 42 -'!I35</f>
        <v>70.333072401705977</v>
      </c>
      <c r="C35" s="353">
        <f>'- 43 -'!C35</f>
        <v>0</v>
      </c>
      <c r="D35" s="353">
        <f>'- 43 -'!E35</f>
        <v>29.083506388895298</v>
      </c>
      <c r="E35" s="353">
        <f>'- 43 -'!G35</f>
        <v>0.12931501033064538</v>
      </c>
      <c r="F35" s="353">
        <f>'- 43 -'!I35</f>
        <v>0</v>
      </c>
      <c r="G35" s="353">
        <f>'- 44 -'!C35</f>
        <v>0.44207689578150861</v>
      </c>
      <c r="H35" s="353">
        <f>'- 44 -'!E35</f>
        <v>1.2029303286571662E-2</v>
      </c>
      <c r="J35" s="607">
        <f t="shared" si="0"/>
        <v>100</v>
      </c>
    </row>
    <row r="36" spans="1:10" ht="14.1" customHeight="1">
      <c r="A36" s="23" t="s">
        <v>248</v>
      </c>
      <c r="B36" s="344">
        <f>'- 42 -'!I36</f>
        <v>60.621941133454541</v>
      </c>
      <c r="C36" s="344">
        <f>'- 43 -'!C36</f>
        <v>0.39879238665730926</v>
      </c>
      <c r="D36" s="344">
        <f>'- 43 -'!E36</f>
        <v>33.222334584049413</v>
      </c>
      <c r="E36" s="344">
        <f>'- 43 -'!G36</f>
        <v>0.3202772574135781</v>
      </c>
      <c r="F36" s="344">
        <f>'- 43 -'!I36</f>
        <v>5.1345671030357956</v>
      </c>
      <c r="G36" s="344">
        <f>'- 44 -'!C36</f>
        <v>0.12548605700244433</v>
      </c>
      <c r="H36" s="344">
        <f>'- 44 -'!E36</f>
        <v>0.17660147838692625</v>
      </c>
      <c r="J36" s="607">
        <f t="shared" si="0"/>
        <v>100.00000000000001</v>
      </c>
    </row>
    <row r="37" spans="1:10" ht="14.1" customHeight="1">
      <c r="A37" s="351" t="s">
        <v>249</v>
      </c>
      <c r="B37" s="353">
        <f>'- 42 -'!I37</f>
        <v>74.764138285630338</v>
      </c>
      <c r="C37" s="353">
        <f>'- 43 -'!C37</f>
        <v>3.6725999559288007E-2</v>
      </c>
      <c r="D37" s="353">
        <f>'- 43 -'!E37</f>
        <v>24.542964522684425</v>
      </c>
      <c r="E37" s="353">
        <f>'- 43 -'!G37</f>
        <v>0.48967999412384011</v>
      </c>
      <c r="F37" s="353">
        <f>'- 43 -'!I37</f>
        <v>0</v>
      </c>
      <c r="G37" s="353">
        <f>'- 44 -'!C37</f>
        <v>0</v>
      </c>
      <c r="H37" s="353">
        <f>'- 44 -'!E37</f>
        <v>0.16649119800210563</v>
      </c>
      <c r="J37" s="607">
        <f t="shared" si="0"/>
        <v>100.00000000000001</v>
      </c>
    </row>
    <row r="38" spans="1:10" ht="14.1" customHeight="1">
      <c r="A38" s="23" t="s">
        <v>250</v>
      </c>
      <c r="B38" s="344">
        <f>'- 42 -'!I38</f>
        <v>72.041611107638673</v>
      </c>
      <c r="C38" s="344">
        <f>'- 43 -'!C38</f>
        <v>5.2086588745129904E-3</v>
      </c>
      <c r="D38" s="344">
        <f>'- 43 -'!E38</f>
        <v>26.136573640019169</v>
      </c>
      <c r="E38" s="344">
        <f>'- 43 -'!G38</f>
        <v>0.79866102742532519</v>
      </c>
      <c r="F38" s="344">
        <f>'- 43 -'!I38</f>
        <v>0.15625976623538973</v>
      </c>
      <c r="G38" s="344">
        <f>'- 44 -'!C38</f>
        <v>0.8165440895611531</v>
      </c>
      <c r="H38" s="344">
        <f>'- 44 -'!E38</f>
        <v>4.5141710245779246E-2</v>
      </c>
      <c r="J38" s="607">
        <f t="shared" si="0"/>
        <v>99.999999999999986</v>
      </c>
    </row>
    <row r="39" spans="1:10" ht="14.1" customHeight="1">
      <c r="A39" s="351" t="s">
        <v>251</v>
      </c>
      <c r="B39" s="353">
        <f>'- 42 -'!I39</f>
        <v>57.705795073900489</v>
      </c>
      <c r="C39" s="353">
        <f>'- 43 -'!C39</f>
        <v>0</v>
      </c>
      <c r="D39" s="353">
        <f>'- 43 -'!E39</f>
        <v>41.4698485160704</v>
      </c>
      <c r="E39" s="353">
        <f>'- 43 -'!G39</f>
        <v>0.48923229081846015</v>
      </c>
      <c r="F39" s="353">
        <f>'- 43 -'!I39</f>
        <v>0</v>
      </c>
      <c r="G39" s="353">
        <f>'- 44 -'!C39</f>
        <v>0</v>
      </c>
      <c r="H39" s="353">
        <f>'- 44 -'!E39</f>
        <v>0.33512411921064522</v>
      </c>
      <c r="J39" s="607">
        <f t="shared" si="0"/>
        <v>100</v>
      </c>
    </row>
    <row r="40" spans="1:10" ht="14.1" customHeight="1">
      <c r="A40" s="23" t="s">
        <v>252</v>
      </c>
      <c r="B40" s="344">
        <f>'- 42 -'!I40</f>
        <v>59.497568168216731</v>
      </c>
      <c r="C40" s="344">
        <f>'- 43 -'!C40</f>
        <v>0</v>
      </c>
      <c r="D40" s="344">
        <f>'- 43 -'!E40</f>
        <v>36.163535163844024</v>
      </c>
      <c r="E40" s="344">
        <f>'- 43 -'!G40</f>
        <v>0.80142994378194188</v>
      </c>
      <c r="F40" s="344">
        <f>'- 43 -'!I40</f>
        <v>3.6666729454075772E-2</v>
      </c>
      <c r="G40" s="344">
        <f>'- 44 -'!C40</f>
        <v>2.6213568697139542</v>
      </c>
      <c r="H40" s="344">
        <f>'- 44 -'!E40</f>
        <v>0.8794431249892749</v>
      </c>
      <c r="J40" s="607">
        <f t="shared" si="0"/>
        <v>99.999999999999986</v>
      </c>
    </row>
    <row r="41" spans="1:10" ht="14.1" customHeight="1">
      <c r="A41" s="351" t="s">
        <v>253</v>
      </c>
      <c r="B41" s="353">
        <f>'- 42 -'!I41</f>
        <v>62.922398108463504</v>
      </c>
      <c r="C41" s="353">
        <f>'- 43 -'!C41</f>
        <v>0</v>
      </c>
      <c r="D41" s="353">
        <f>'- 43 -'!E41</f>
        <v>35.851064220559174</v>
      </c>
      <c r="E41" s="353">
        <f>'- 43 -'!G41</f>
        <v>0.50934119265052169</v>
      </c>
      <c r="F41" s="353">
        <f>'- 43 -'!I41</f>
        <v>0.5037666861916108</v>
      </c>
      <c r="G41" s="353">
        <f>'- 44 -'!C41</f>
        <v>0.10983036154432672</v>
      </c>
      <c r="H41" s="353">
        <f>'- 44 -'!E41</f>
        <v>0.10359943059086436</v>
      </c>
      <c r="J41" s="607">
        <f t="shared" si="0"/>
        <v>100</v>
      </c>
    </row>
    <row r="42" spans="1:10" ht="14.1" customHeight="1">
      <c r="A42" s="23" t="s">
        <v>254</v>
      </c>
      <c r="B42" s="344">
        <f>'- 42 -'!I42</f>
        <v>73.794160370593048</v>
      </c>
      <c r="C42" s="344">
        <f>'- 43 -'!C42</f>
        <v>2.246829386710943E-4</v>
      </c>
      <c r="D42" s="344">
        <f>'- 43 -'!E42</f>
        <v>23.936766631767583</v>
      </c>
      <c r="E42" s="344">
        <f>'- 43 -'!G42</f>
        <v>0.12232737772092911</v>
      </c>
      <c r="F42" s="344">
        <f>'- 43 -'!I42</f>
        <v>0.64414102039906385</v>
      </c>
      <c r="G42" s="344">
        <f>'- 44 -'!C42</f>
        <v>1.040531653756801</v>
      </c>
      <c r="H42" s="344">
        <f>'- 44 -'!E42</f>
        <v>0.46184826282391606</v>
      </c>
      <c r="J42" s="607">
        <f t="shared" si="0"/>
        <v>100.00000000000001</v>
      </c>
    </row>
    <row r="43" spans="1:10" ht="14.1" customHeight="1">
      <c r="A43" s="351" t="s">
        <v>255</v>
      </c>
      <c r="B43" s="353">
        <f>'- 42 -'!I43</f>
        <v>62.498392665991219</v>
      </c>
      <c r="C43" s="353">
        <f>'- 43 -'!C43</f>
        <v>0</v>
      </c>
      <c r="D43" s="353">
        <f>'- 43 -'!E43</f>
        <v>36.311271178104235</v>
      </c>
      <c r="E43" s="353">
        <f>'- 43 -'!G43</f>
        <v>0.29054455936634721</v>
      </c>
      <c r="F43" s="353">
        <f>'- 43 -'!I43</f>
        <v>0</v>
      </c>
      <c r="G43" s="353">
        <f>'- 44 -'!C43</f>
        <v>0.72968190766576924</v>
      </c>
      <c r="H43" s="353">
        <f>'- 44 -'!E43</f>
        <v>0.17010968887243391</v>
      </c>
      <c r="J43" s="607">
        <f t="shared" si="0"/>
        <v>100</v>
      </c>
    </row>
    <row r="44" spans="1:10" ht="14.1" customHeight="1">
      <c r="A44" s="23" t="s">
        <v>256</v>
      </c>
      <c r="B44" s="344">
        <f>'- 42 -'!I44</f>
        <v>80.912820396612418</v>
      </c>
      <c r="C44" s="344">
        <f>'- 43 -'!C44</f>
        <v>0</v>
      </c>
      <c r="D44" s="344">
        <f>'- 43 -'!E44</f>
        <v>18.859605417350238</v>
      </c>
      <c r="E44" s="344">
        <f>'- 43 -'!G44</f>
        <v>0.1258921029142763</v>
      </c>
      <c r="F44" s="344">
        <f>'- 43 -'!I44</f>
        <v>0</v>
      </c>
      <c r="G44" s="344">
        <f>'- 44 -'!C44</f>
        <v>0</v>
      </c>
      <c r="H44" s="344">
        <f>'- 44 -'!E44</f>
        <v>0.10168208312306931</v>
      </c>
      <c r="J44" s="607">
        <f t="shared" si="0"/>
        <v>100</v>
      </c>
    </row>
    <row r="45" spans="1:10" ht="14.1" customHeight="1">
      <c r="A45" s="351" t="s">
        <v>257</v>
      </c>
      <c r="B45" s="353">
        <f>'- 42 -'!I45</f>
        <v>66.857177446245643</v>
      </c>
      <c r="C45" s="353">
        <f>'- 43 -'!C45</f>
        <v>0.116855076976237</v>
      </c>
      <c r="D45" s="353">
        <f>'- 43 -'!E45</f>
        <v>30.862687864255534</v>
      </c>
      <c r="E45" s="353">
        <f>'- 43 -'!G45</f>
        <v>0.25445193011575606</v>
      </c>
      <c r="F45" s="353">
        <f>'- 43 -'!I45</f>
        <v>0</v>
      </c>
      <c r="G45" s="353">
        <f>'- 44 -'!C45</f>
        <v>1.8468944916094256</v>
      </c>
      <c r="H45" s="353">
        <f>'- 44 -'!E45</f>
        <v>6.1933190797405606E-2</v>
      </c>
      <c r="J45" s="607">
        <f t="shared" si="0"/>
        <v>99.999999999999986</v>
      </c>
    </row>
    <row r="46" spans="1:10" ht="14.1" customHeight="1">
      <c r="A46" s="23" t="s">
        <v>258</v>
      </c>
      <c r="B46" s="344">
        <f>'- 42 -'!I46</f>
        <v>64.468899619567395</v>
      </c>
      <c r="C46" s="344">
        <f>'- 43 -'!C46</f>
        <v>0</v>
      </c>
      <c r="D46" s="344">
        <f>'- 43 -'!E46</f>
        <v>33.879443502921589</v>
      </c>
      <c r="E46" s="344">
        <f>'- 43 -'!G46</f>
        <v>0.6104773062429234</v>
      </c>
      <c r="F46" s="344">
        <f>'- 43 -'!I46</f>
        <v>0.61749428677445128</v>
      </c>
      <c r="G46" s="344">
        <f>'- 44 -'!C46</f>
        <v>0.2482607712054555</v>
      </c>
      <c r="H46" s="344">
        <f>'- 44 -'!E46</f>
        <v>0.17542451328819636</v>
      </c>
      <c r="J46" s="607">
        <f t="shared" si="0"/>
        <v>100</v>
      </c>
    </row>
    <row r="47" spans="1:10" ht="5.0999999999999996" customHeight="1">
      <c r="A47"/>
      <c r="B47"/>
      <c r="C47"/>
      <c r="D47"/>
      <c r="E47"/>
      <c r="F47"/>
      <c r="G47"/>
      <c r="H47"/>
      <c r="J47" s="607"/>
    </row>
    <row r="48" spans="1:10" ht="14.1" customHeight="1">
      <c r="A48" s="354" t="s">
        <v>259</v>
      </c>
      <c r="B48" s="356">
        <f>'- 42 -'!I48</f>
        <v>64.798961632795496</v>
      </c>
      <c r="C48" s="356">
        <f>'- 43 -'!C48</f>
        <v>0.6553363428610548</v>
      </c>
      <c r="D48" s="356">
        <f>'- 43 -'!E48</f>
        <v>29.735001920016074</v>
      </c>
      <c r="E48" s="356">
        <f>'- 43 -'!G48</f>
        <v>0.49945212015752338</v>
      </c>
      <c r="F48" s="356">
        <f>'- 43 -'!I48</f>
        <v>3.2341816295915655</v>
      </c>
      <c r="G48" s="356">
        <f>'- 44 -'!C48</f>
        <v>0.85728909212522619</v>
      </c>
      <c r="H48" s="356">
        <f>'- 44 -'!E48</f>
        <v>0.219777262453065</v>
      </c>
      <c r="J48" s="607">
        <f>SUM(B48:H48)</f>
        <v>100</v>
      </c>
    </row>
    <row r="49" spans="1:10" ht="5.0999999999999996" customHeight="1">
      <c r="A49" s="25" t="s">
        <v>3</v>
      </c>
      <c r="B49" s="343"/>
      <c r="C49" s="343"/>
      <c r="D49" s="343"/>
      <c r="E49" s="343"/>
      <c r="F49" s="343"/>
      <c r="G49" s="343"/>
      <c r="H49" s="343"/>
      <c r="J49" s="607"/>
    </row>
    <row r="50" spans="1:10" ht="14.1" customHeight="1">
      <c r="A50" s="23" t="s">
        <v>260</v>
      </c>
      <c r="B50" s="344">
        <f>'- 42 -'!I50</f>
        <v>41.252885933060291</v>
      </c>
      <c r="C50" s="344">
        <f>'- 43 -'!C50</f>
        <v>0</v>
      </c>
      <c r="D50" s="344">
        <f>'- 43 -'!E50</f>
        <v>55.472255557017981</v>
      </c>
      <c r="E50" s="344">
        <f>'- 43 -'!G50</f>
        <v>0.86713481623709943</v>
      </c>
      <c r="F50" s="344">
        <f>'- 43 -'!I50</f>
        <v>0</v>
      </c>
      <c r="G50" s="344">
        <f>'- 44 -'!C50</f>
        <v>0</v>
      </c>
      <c r="H50" s="344">
        <f>'- 44 -'!E50</f>
        <v>2.407723693684626</v>
      </c>
      <c r="J50" s="607">
        <f>SUM(B50:H50)</f>
        <v>100</v>
      </c>
    </row>
    <row r="51" spans="1:10" ht="14.1" customHeight="1">
      <c r="A51" s="351" t="s">
        <v>261</v>
      </c>
      <c r="B51" s="353">
        <f>'- 42 -'!I51</f>
        <v>62.538443270026164</v>
      </c>
      <c r="C51" s="353">
        <f>'- 43 -'!C51</f>
        <v>0</v>
      </c>
      <c r="D51" s="353">
        <f>'- 43 -'!E51</f>
        <v>0</v>
      </c>
      <c r="E51" s="353">
        <f>'- 43 -'!G51</f>
        <v>8.037676402026829</v>
      </c>
      <c r="F51" s="353">
        <f>'- 43 -'!I51</f>
        <v>0</v>
      </c>
      <c r="G51" s="353">
        <f>'- 44 -'!C51</f>
        <v>28.246620115690547</v>
      </c>
      <c r="H51" s="353">
        <f>'- 44 -'!E51</f>
        <v>1.1772602122564504</v>
      </c>
      <c r="J51" s="607">
        <f>SUM(B51:H51)</f>
        <v>100</v>
      </c>
    </row>
    <row r="52" spans="1:10" ht="50.1" customHeight="1">
      <c r="A52" s="27"/>
      <c r="B52" s="27"/>
      <c r="C52" s="27"/>
      <c r="D52" s="27"/>
      <c r="E52" s="27"/>
      <c r="F52" s="27"/>
      <c r="G52" s="27"/>
      <c r="H52" s="27"/>
    </row>
    <row r="53" spans="1:10" ht="14.45" customHeight="1">
      <c r="A53" s="39" t="s">
        <v>568</v>
      </c>
    </row>
    <row r="54" spans="1:10">
      <c r="A54" s="159" t="s">
        <v>615</v>
      </c>
    </row>
    <row r="55" spans="1:10">
      <c r="A55" s="1" t="s">
        <v>567</v>
      </c>
    </row>
    <row r="56" spans="1:10" ht="14.45" customHeight="1"/>
    <row r="57" spans="1:10" ht="14.45" customHeight="1"/>
    <row r="58" spans="1:10" ht="14.45" customHeight="1"/>
    <row r="59" spans="1:10" ht="14.45" customHeight="1"/>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7.xml><?xml version="1.0" encoding="utf-8"?>
<worksheet xmlns="http://schemas.openxmlformats.org/spreadsheetml/2006/main" xmlns:r="http://schemas.openxmlformats.org/officeDocument/2006/relationships">
  <sheetPr codeName="Sheet36">
    <pageSetUpPr fitToPage="1"/>
  </sheetPr>
  <dimension ref="A1:I61"/>
  <sheetViews>
    <sheetView showGridLines="0" showZeros="0" workbookViewId="0"/>
  </sheetViews>
  <sheetFormatPr defaultColWidth="15.83203125" defaultRowHeight="12"/>
  <cols>
    <col min="1" max="1" width="26.83203125" style="1" customWidth="1"/>
    <col min="2" max="2" width="14.6640625" style="1" customWidth="1"/>
    <col min="3" max="3" width="14.6640625" style="1" bestFit="1" customWidth="1"/>
    <col min="4" max="4" width="14.33203125" style="1" customWidth="1"/>
    <col min="5" max="5" width="14.1640625" style="1" customWidth="1"/>
    <col min="6" max="6" width="15.6640625" style="1" customWidth="1"/>
    <col min="7" max="7" width="13.5" style="1" customWidth="1"/>
    <col min="8" max="8" width="15.33203125" style="1" customWidth="1"/>
    <col min="9" max="9" width="13" style="1" customWidth="1"/>
    <col min="10" max="16384" width="15.83203125" style="1"/>
  </cols>
  <sheetData>
    <row r="1" spans="1:9" ht="18" customHeight="1">
      <c r="A1" s="247"/>
      <c r="B1" s="619" t="s">
        <v>639</v>
      </c>
      <c r="C1" s="248"/>
      <c r="D1" s="248"/>
      <c r="E1" s="128"/>
      <c r="F1" s="128"/>
      <c r="G1" s="128"/>
      <c r="H1" s="128"/>
      <c r="I1" s="249" t="s">
        <v>2</v>
      </c>
    </row>
    <row r="2" spans="1:9" ht="8.1" customHeight="1">
      <c r="A2" s="244"/>
    </row>
    <row r="3" spans="1:9" ht="15.95" customHeight="1">
      <c r="B3" s="380" t="s">
        <v>94</v>
      </c>
      <c r="C3" s="427"/>
      <c r="D3" s="427"/>
      <c r="E3" s="428"/>
      <c r="F3" s="428"/>
      <c r="G3" s="428"/>
      <c r="H3" s="428"/>
      <c r="I3" s="429"/>
    </row>
    <row r="4" spans="1:9" ht="8.1" customHeight="1"/>
    <row r="5" spans="1:9" ht="15.95" customHeight="1">
      <c r="B5" s="430" t="s">
        <v>76</v>
      </c>
      <c r="C5" s="427"/>
      <c r="D5" s="427"/>
      <c r="E5" s="431"/>
      <c r="F5" s="366"/>
    </row>
    <row r="6" spans="1:9" ht="15.95" customHeight="1">
      <c r="B6" s="326"/>
      <c r="C6" s="326"/>
      <c r="D6" s="326"/>
      <c r="E6" s="329"/>
      <c r="F6" s="329"/>
      <c r="G6" s="326"/>
      <c r="H6" s="326"/>
      <c r="I6" s="250" t="s">
        <v>81</v>
      </c>
    </row>
    <row r="7" spans="1:9" ht="15.95" customHeight="1">
      <c r="B7" s="327" t="s">
        <v>214</v>
      </c>
      <c r="C7" s="327" t="s">
        <v>76</v>
      </c>
      <c r="D7" s="327" t="s">
        <v>491</v>
      </c>
      <c r="E7" s="330"/>
      <c r="F7" s="330"/>
      <c r="G7" s="327" t="s">
        <v>44</v>
      </c>
      <c r="H7" s="327" t="s">
        <v>54</v>
      </c>
      <c r="I7" s="252" t="s">
        <v>104</v>
      </c>
    </row>
    <row r="8" spans="1:9" ht="15.95" customHeight="1">
      <c r="A8" s="324"/>
      <c r="B8" s="327" t="s">
        <v>213</v>
      </c>
      <c r="C8" s="327" t="s">
        <v>367</v>
      </c>
      <c r="D8" s="327" t="s">
        <v>492</v>
      </c>
      <c r="E8" s="331" t="s">
        <v>44</v>
      </c>
      <c r="F8" s="330"/>
      <c r="G8" s="327" t="s">
        <v>116</v>
      </c>
      <c r="H8" s="327" t="s">
        <v>116</v>
      </c>
      <c r="I8" s="252" t="s">
        <v>117</v>
      </c>
    </row>
    <row r="9" spans="1:9" ht="15.95" customHeight="1">
      <c r="A9" s="325" t="s">
        <v>79</v>
      </c>
      <c r="B9" s="328" t="s">
        <v>356</v>
      </c>
      <c r="C9" s="328" t="s">
        <v>368</v>
      </c>
      <c r="D9" s="328" t="s">
        <v>493</v>
      </c>
      <c r="E9" s="328" t="s">
        <v>370</v>
      </c>
      <c r="F9" s="328" t="s">
        <v>54</v>
      </c>
      <c r="G9" s="328" t="s">
        <v>371</v>
      </c>
      <c r="H9" s="328" t="s">
        <v>122</v>
      </c>
      <c r="I9" s="328" t="s">
        <v>494</v>
      </c>
    </row>
    <row r="10" spans="1:9" ht="5.0999999999999996" customHeight="1">
      <c r="A10" s="37"/>
      <c r="B10" s="246"/>
      <c r="C10" s="246"/>
      <c r="D10" s="246"/>
      <c r="E10" s="246"/>
      <c r="F10" s="246"/>
      <c r="G10" s="246"/>
      <c r="H10" s="246"/>
      <c r="I10" s="246"/>
    </row>
    <row r="11" spans="1:9" ht="14.1" customHeight="1">
      <c r="A11" s="351" t="s">
        <v>224</v>
      </c>
      <c r="B11" s="352">
        <f>'- 56 -'!$F11</f>
        <v>7900232</v>
      </c>
      <c r="C11" s="352">
        <v>1434078</v>
      </c>
      <c r="D11" s="352">
        <v>504331</v>
      </c>
      <c r="E11" s="352">
        <v>251922</v>
      </c>
      <c r="F11" s="352">
        <f>SUM(B11:E11)</f>
        <v>10090563</v>
      </c>
      <c r="G11" s="352">
        <v>0</v>
      </c>
      <c r="H11" s="352">
        <f>SUM(F11,G11)</f>
        <v>10090563</v>
      </c>
      <c r="I11" s="353">
        <f>H11/'- 44 -'!$I11*100</f>
        <v>62.849737092231365</v>
      </c>
    </row>
    <row r="12" spans="1:9" ht="14.1" customHeight="1">
      <c r="A12" s="23" t="s">
        <v>225</v>
      </c>
      <c r="B12" s="24">
        <f>'- 56 -'!$F12</f>
        <v>15110357</v>
      </c>
      <c r="C12" s="24">
        <v>2206060</v>
      </c>
      <c r="D12" s="24">
        <v>2736955</v>
      </c>
      <c r="E12" s="24">
        <v>681169</v>
      </c>
      <c r="F12" s="24">
        <f t="shared" ref="F12:F46" si="0">SUM(B12:E12)</f>
        <v>20734541</v>
      </c>
      <c r="G12" s="24">
        <v>435226</v>
      </c>
      <c r="H12" s="24">
        <f>SUM(F12,G12)</f>
        <v>21169767</v>
      </c>
      <c r="I12" s="344">
        <f>H12/'- 44 -'!$I12*100</f>
        <v>69.658254552884998</v>
      </c>
    </row>
    <row r="13" spans="1:9" ht="14.1" customHeight="1">
      <c r="A13" s="351" t="s">
        <v>226</v>
      </c>
      <c r="B13" s="352">
        <f>'- 56 -'!$F13</f>
        <v>38742500</v>
      </c>
      <c r="C13" s="352">
        <v>7206320</v>
      </c>
      <c r="D13" s="352">
        <v>1848000</v>
      </c>
      <c r="E13" s="352">
        <v>1361100</v>
      </c>
      <c r="F13" s="352">
        <f t="shared" si="0"/>
        <v>49157920</v>
      </c>
      <c r="G13" s="352">
        <v>0</v>
      </c>
      <c r="H13" s="352">
        <f t="shared" ref="H13:H46" si="1">SUM(F13,G13)</f>
        <v>49157920</v>
      </c>
      <c r="I13" s="353">
        <f>H13/'- 44 -'!$I13*100</f>
        <v>62.316718219157238</v>
      </c>
    </row>
    <row r="14" spans="1:9" ht="14.1" customHeight="1">
      <c r="A14" s="23" t="s">
        <v>524</v>
      </c>
      <c r="B14" s="24">
        <f>'- 56 -'!$F14</f>
        <v>30530905</v>
      </c>
      <c r="C14" s="24">
        <v>5607315</v>
      </c>
      <c r="D14" s="24">
        <v>0</v>
      </c>
      <c r="E14" s="24">
        <v>13346671</v>
      </c>
      <c r="F14" s="24">
        <f t="shared" si="0"/>
        <v>49484891</v>
      </c>
      <c r="G14" s="24">
        <v>766000</v>
      </c>
      <c r="H14" s="24">
        <f t="shared" si="1"/>
        <v>50250891</v>
      </c>
      <c r="I14" s="344">
        <f>H14/'- 44 -'!$I14*100</f>
        <v>71.175416444226784</v>
      </c>
    </row>
    <row r="15" spans="1:9" ht="14.1" customHeight="1">
      <c r="A15" s="351" t="s">
        <v>227</v>
      </c>
      <c r="B15" s="352">
        <f>'- 56 -'!$F15</f>
        <v>8156933</v>
      </c>
      <c r="C15" s="352">
        <v>2267636</v>
      </c>
      <c r="D15" s="352">
        <v>1595317</v>
      </c>
      <c r="E15" s="352">
        <v>287000</v>
      </c>
      <c r="F15" s="352">
        <f t="shared" si="0"/>
        <v>12306886</v>
      </c>
      <c r="G15" s="352">
        <v>0</v>
      </c>
      <c r="H15" s="352">
        <f t="shared" si="1"/>
        <v>12306886</v>
      </c>
      <c r="I15" s="353">
        <f>H15/'- 44 -'!$I15*100</f>
        <v>64.508483989933083</v>
      </c>
    </row>
    <row r="16" spans="1:9" ht="14.1" customHeight="1">
      <c r="A16" s="23" t="s">
        <v>228</v>
      </c>
      <c r="B16" s="24">
        <f>'- 56 -'!$F16</f>
        <v>7754235</v>
      </c>
      <c r="C16" s="24">
        <v>825877</v>
      </c>
      <c r="D16" s="24">
        <v>752713</v>
      </c>
      <c r="E16" s="24">
        <v>267600</v>
      </c>
      <c r="F16" s="24">
        <f t="shared" si="0"/>
        <v>9600425</v>
      </c>
      <c r="G16" s="24">
        <v>92300</v>
      </c>
      <c r="H16" s="24">
        <f t="shared" si="1"/>
        <v>9692725</v>
      </c>
      <c r="I16" s="344">
        <f>H16/'- 44 -'!$I16*100</f>
        <v>74.677292566628822</v>
      </c>
    </row>
    <row r="17" spans="1:9" ht="14.1" customHeight="1">
      <c r="A17" s="351" t="s">
        <v>229</v>
      </c>
      <c r="B17" s="352">
        <f>'- 56 -'!$F17</f>
        <v>7406382</v>
      </c>
      <c r="C17" s="352">
        <v>1220467</v>
      </c>
      <c r="D17" s="352">
        <v>487785</v>
      </c>
      <c r="E17" s="352">
        <v>262000</v>
      </c>
      <c r="F17" s="352">
        <f t="shared" si="0"/>
        <v>9376634</v>
      </c>
      <c r="G17" s="352">
        <v>205500</v>
      </c>
      <c r="H17" s="352">
        <f t="shared" si="1"/>
        <v>9582134</v>
      </c>
      <c r="I17" s="353">
        <f>H17/'- 44 -'!$I17*100</f>
        <v>57.427697071276349</v>
      </c>
    </row>
    <row r="18" spans="1:9" ht="14.1" customHeight="1">
      <c r="A18" s="23" t="s">
        <v>230</v>
      </c>
      <c r="B18" s="24">
        <f>'- 56 -'!$F18</f>
        <v>36940967</v>
      </c>
      <c r="C18" s="24">
        <v>461515</v>
      </c>
      <c r="D18" s="24">
        <v>318474</v>
      </c>
      <c r="E18" s="24">
        <v>8771267</v>
      </c>
      <c r="F18" s="24">
        <f t="shared" si="0"/>
        <v>46492223</v>
      </c>
      <c r="G18" s="24">
        <v>1599500</v>
      </c>
      <c r="H18" s="24">
        <f t="shared" si="1"/>
        <v>48091723</v>
      </c>
      <c r="I18" s="344">
        <f>H18/'- 44 -'!$I18*100</f>
        <v>39.977983386247466</v>
      </c>
    </row>
    <row r="19" spans="1:9" ht="14.1" customHeight="1">
      <c r="A19" s="351" t="s">
        <v>231</v>
      </c>
      <c r="B19" s="352">
        <f>'- 56 -'!$F19</f>
        <v>23918744</v>
      </c>
      <c r="C19" s="352">
        <v>2959827</v>
      </c>
      <c r="D19" s="352">
        <v>646173</v>
      </c>
      <c r="E19" s="352">
        <v>548000</v>
      </c>
      <c r="F19" s="352">
        <f t="shared" si="0"/>
        <v>28072744</v>
      </c>
      <c r="G19" s="352">
        <v>0</v>
      </c>
      <c r="H19" s="352">
        <f t="shared" si="1"/>
        <v>28072744</v>
      </c>
      <c r="I19" s="353">
        <f>H19/'- 44 -'!$I19*100</f>
        <v>69.134282050938538</v>
      </c>
    </row>
    <row r="20" spans="1:9" ht="14.1" customHeight="1">
      <c r="A20" s="23" t="s">
        <v>232</v>
      </c>
      <c r="B20" s="24">
        <f>'- 56 -'!$F20</f>
        <v>42186463</v>
      </c>
      <c r="C20" s="24">
        <v>5481276</v>
      </c>
      <c r="D20" s="24">
        <v>1508126</v>
      </c>
      <c r="E20" s="24">
        <v>1138300</v>
      </c>
      <c r="F20" s="24">
        <f t="shared" si="0"/>
        <v>50314165</v>
      </c>
      <c r="G20" s="24">
        <v>51500</v>
      </c>
      <c r="H20" s="24">
        <f t="shared" si="1"/>
        <v>50365665</v>
      </c>
      <c r="I20" s="344">
        <f>H20/'- 44 -'!$I20*100</f>
        <v>71.593697449725866</v>
      </c>
    </row>
    <row r="21" spans="1:9" ht="14.1" customHeight="1">
      <c r="A21" s="351" t="s">
        <v>233</v>
      </c>
      <c r="B21" s="352">
        <f>'- 56 -'!$F21</f>
        <v>17111580</v>
      </c>
      <c r="C21" s="352">
        <v>3389159</v>
      </c>
      <c r="D21" s="352">
        <v>1289551</v>
      </c>
      <c r="E21" s="352">
        <v>655500</v>
      </c>
      <c r="F21" s="352">
        <f t="shared" si="0"/>
        <v>22445790</v>
      </c>
      <c r="G21" s="352">
        <v>0</v>
      </c>
      <c r="H21" s="352">
        <f t="shared" si="1"/>
        <v>22445790</v>
      </c>
      <c r="I21" s="353">
        <f>H21/'- 44 -'!$I21*100</f>
        <v>68.069112964366937</v>
      </c>
    </row>
    <row r="22" spans="1:9" ht="14.1" customHeight="1">
      <c r="A22" s="23" t="s">
        <v>234</v>
      </c>
      <c r="B22" s="24">
        <f>'- 56 -'!$F22</f>
        <v>13491009</v>
      </c>
      <c r="C22" s="24">
        <v>1099454</v>
      </c>
      <c r="D22" s="24">
        <v>309407</v>
      </c>
      <c r="E22" s="24">
        <v>765500</v>
      </c>
      <c r="F22" s="24">
        <f t="shared" si="0"/>
        <v>15665370</v>
      </c>
      <c r="G22" s="24">
        <v>719360</v>
      </c>
      <c r="H22" s="24">
        <f t="shared" si="1"/>
        <v>16384730</v>
      </c>
      <c r="I22" s="344">
        <f>H22/'- 44 -'!$I22*100</f>
        <v>85.072679018374387</v>
      </c>
    </row>
    <row r="23" spans="1:9" ht="14.1" customHeight="1">
      <c r="A23" s="351" t="s">
        <v>235</v>
      </c>
      <c r="B23" s="352">
        <f>'- 56 -'!$F23</f>
        <v>9533364</v>
      </c>
      <c r="C23" s="352">
        <v>1019404</v>
      </c>
      <c r="D23" s="352">
        <v>440073</v>
      </c>
      <c r="E23" s="352">
        <v>257000</v>
      </c>
      <c r="F23" s="352">
        <f t="shared" si="0"/>
        <v>11249841</v>
      </c>
      <c r="G23" s="352">
        <v>263000</v>
      </c>
      <c r="H23" s="352">
        <f t="shared" si="1"/>
        <v>11512841</v>
      </c>
      <c r="I23" s="353">
        <f>H23/'- 44 -'!$I23*100</f>
        <v>72.85188077260888</v>
      </c>
    </row>
    <row r="24" spans="1:9" ht="14.1" customHeight="1">
      <c r="A24" s="23" t="s">
        <v>236</v>
      </c>
      <c r="B24" s="24">
        <f>'- 56 -'!$F24</f>
        <v>23908365</v>
      </c>
      <c r="C24" s="24">
        <v>5447665</v>
      </c>
      <c r="D24" s="24">
        <v>2692903</v>
      </c>
      <c r="E24" s="24">
        <v>858185</v>
      </c>
      <c r="F24" s="24">
        <f t="shared" si="0"/>
        <v>32907118</v>
      </c>
      <c r="G24" s="24">
        <v>303700</v>
      </c>
      <c r="H24" s="24">
        <f t="shared" si="1"/>
        <v>33210818</v>
      </c>
      <c r="I24" s="344">
        <f>H24/'- 44 -'!$I24*100</f>
        <v>64.327027063985739</v>
      </c>
    </row>
    <row r="25" spans="1:9" ht="14.1" customHeight="1">
      <c r="A25" s="351" t="s">
        <v>237</v>
      </c>
      <c r="B25" s="352">
        <f>'- 56 -'!$F25</f>
        <v>71203727</v>
      </c>
      <c r="C25" s="352">
        <v>20641050</v>
      </c>
      <c r="D25" s="352">
        <v>6541003</v>
      </c>
      <c r="E25" s="352">
        <v>3734986</v>
      </c>
      <c r="F25" s="352">
        <f t="shared" si="0"/>
        <v>102120766</v>
      </c>
      <c r="G25" s="352">
        <v>222340</v>
      </c>
      <c r="H25" s="352">
        <f t="shared" si="1"/>
        <v>102343106</v>
      </c>
      <c r="I25" s="353">
        <f>H25/'- 44 -'!$I25*100</f>
        <v>67.386677011355545</v>
      </c>
    </row>
    <row r="26" spans="1:9" ht="14.1" customHeight="1">
      <c r="A26" s="23" t="s">
        <v>238</v>
      </c>
      <c r="B26" s="24">
        <f>'- 56 -'!$F26</f>
        <v>21390179</v>
      </c>
      <c r="C26" s="24">
        <v>3442181</v>
      </c>
      <c r="D26" s="24">
        <v>690360</v>
      </c>
      <c r="E26" s="24">
        <v>622737</v>
      </c>
      <c r="F26" s="24">
        <f t="shared" si="0"/>
        <v>26145457</v>
      </c>
      <c r="G26" s="24">
        <v>0</v>
      </c>
      <c r="H26" s="24">
        <f t="shared" si="1"/>
        <v>26145457</v>
      </c>
      <c r="I26" s="344">
        <f>H26/'- 44 -'!$I26*100</f>
        <v>69.824920777006795</v>
      </c>
    </row>
    <row r="27" spans="1:9" ht="14.1" customHeight="1">
      <c r="A27" s="351" t="s">
        <v>239</v>
      </c>
      <c r="B27" s="352">
        <f>'- 56 -'!$F27</f>
        <v>26551692</v>
      </c>
      <c r="C27" s="352">
        <v>1754822</v>
      </c>
      <c r="D27" s="352">
        <v>1086050</v>
      </c>
      <c r="E27" s="352">
        <v>739030</v>
      </c>
      <c r="F27" s="352">
        <f t="shared" si="0"/>
        <v>30131594</v>
      </c>
      <c r="G27" s="352">
        <v>44000</v>
      </c>
      <c r="H27" s="352">
        <f t="shared" si="1"/>
        <v>30175594</v>
      </c>
      <c r="I27" s="353">
        <f>H27/'- 44 -'!$I27*100</f>
        <v>78.564836284778877</v>
      </c>
    </row>
    <row r="28" spans="1:9" ht="14.1" customHeight="1">
      <c r="A28" s="23" t="s">
        <v>240</v>
      </c>
      <c r="B28" s="24">
        <f>'- 56 -'!$F28</f>
        <v>10707321</v>
      </c>
      <c r="C28" s="24">
        <v>1402209</v>
      </c>
      <c r="D28" s="24">
        <v>817353</v>
      </c>
      <c r="E28" s="24">
        <v>386000</v>
      </c>
      <c r="F28" s="24">
        <f t="shared" si="0"/>
        <v>13312883</v>
      </c>
      <c r="G28" s="24">
        <v>0</v>
      </c>
      <c r="H28" s="24">
        <f t="shared" si="1"/>
        <v>13312883</v>
      </c>
      <c r="I28" s="344">
        <f>H28/'- 44 -'!$I28*100</f>
        <v>51.317817122168819</v>
      </c>
    </row>
    <row r="29" spans="1:9" ht="14.1" customHeight="1">
      <c r="A29" s="351" t="s">
        <v>241</v>
      </c>
      <c r="B29" s="352">
        <f>'- 56 -'!$F29</f>
        <v>53896620</v>
      </c>
      <c r="C29" s="352">
        <v>19558308</v>
      </c>
      <c r="D29" s="352">
        <v>4859689</v>
      </c>
      <c r="E29" s="352">
        <v>2493000</v>
      </c>
      <c r="F29" s="352">
        <f t="shared" si="0"/>
        <v>80807617</v>
      </c>
      <c r="G29" s="352">
        <v>217500</v>
      </c>
      <c r="H29" s="352">
        <f t="shared" si="1"/>
        <v>81025117</v>
      </c>
      <c r="I29" s="353">
        <f>H29/'- 44 -'!$I29*100</f>
        <v>58.178509014022637</v>
      </c>
    </row>
    <row r="30" spans="1:9" ht="14.1" customHeight="1">
      <c r="A30" s="23" t="s">
        <v>242</v>
      </c>
      <c r="B30" s="24">
        <f>'- 56 -'!$F30</f>
        <v>7477856</v>
      </c>
      <c r="C30" s="24">
        <v>890988</v>
      </c>
      <c r="D30" s="24">
        <v>332215</v>
      </c>
      <c r="E30" s="24">
        <v>212254</v>
      </c>
      <c r="F30" s="24">
        <f t="shared" si="0"/>
        <v>8913313</v>
      </c>
      <c r="G30" s="24">
        <v>0</v>
      </c>
      <c r="H30" s="24">
        <f t="shared" si="1"/>
        <v>8913313</v>
      </c>
      <c r="I30" s="344">
        <f>H30/'- 44 -'!$I30*100</f>
        <v>66.75835350755905</v>
      </c>
    </row>
    <row r="31" spans="1:9" ht="14.1" customHeight="1">
      <c r="A31" s="351" t="s">
        <v>243</v>
      </c>
      <c r="B31" s="352">
        <f>'- 56 -'!$F31</f>
        <v>17585158</v>
      </c>
      <c r="C31" s="352">
        <v>2951198</v>
      </c>
      <c r="D31" s="352">
        <v>523036</v>
      </c>
      <c r="E31" s="352">
        <v>592506</v>
      </c>
      <c r="F31" s="352">
        <f t="shared" si="0"/>
        <v>21651898</v>
      </c>
      <c r="G31" s="352">
        <v>0</v>
      </c>
      <c r="H31" s="352">
        <f t="shared" si="1"/>
        <v>21651898</v>
      </c>
      <c r="I31" s="353">
        <f>H31/'- 44 -'!$I31*100</f>
        <v>65.194963427476651</v>
      </c>
    </row>
    <row r="32" spans="1:9" ht="14.1" customHeight="1">
      <c r="A32" s="23" t="s">
        <v>244</v>
      </c>
      <c r="B32" s="24">
        <f>'- 56 -'!$F32</f>
        <v>12211438</v>
      </c>
      <c r="C32" s="24">
        <v>2196335</v>
      </c>
      <c r="D32" s="24">
        <v>1153109</v>
      </c>
      <c r="E32" s="24">
        <v>515000</v>
      </c>
      <c r="F32" s="24">
        <f t="shared" si="0"/>
        <v>16075882</v>
      </c>
      <c r="G32" s="24">
        <v>279600</v>
      </c>
      <c r="H32" s="24">
        <f t="shared" si="1"/>
        <v>16355482</v>
      </c>
      <c r="I32" s="344">
        <f>H32/'- 44 -'!$I32*100</f>
        <v>64.713621877283884</v>
      </c>
    </row>
    <row r="33" spans="1:9" ht="14.1" customHeight="1">
      <c r="A33" s="351" t="s">
        <v>245</v>
      </c>
      <c r="B33" s="352">
        <f>'- 56 -'!$F33</f>
        <v>14129927</v>
      </c>
      <c r="C33" s="352">
        <v>1771131</v>
      </c>
      <c r="D33" s="352">
        <v>893985</v>
      </c>
      <c r="E33" s="352">
        <v>400400</v>
      </c>
      <c r="F33" s="352">
        <f t="shared" si="0"/>
        <v>17195443</v>
      </c>
      <c r="G33" s="352">
        <v>10000</v>
      </c>
      <c r="H33" s="352">
        <f t="shared" si="1"/>
        <v>17205443</v>
      </c>
      <c r="I33" s="353">
        <f>H33/'- 44 -'!$I33*100</f>
        <v>65.104887118865264</v>
      </c>
    </row>
    <row r="34" spans="1:9" ht="14.1" customHeight="1">
      <c r="A34" s="23" t="s">
        <v>246</v>
      </c>
      <c r="B34" s="24">
        <f>'- 56 -'!$F34</f>
        <v>11756279</v>
      </c>
      <c r="C34" s="24">
        <v>1935990</v>
      </c>
      <c r="D34" s="24">
        <v>869876</v>
      </c>
      <c r="E34" s="24">
        <v>529999</v>
      </c>
      <c r="F34" s="24">
        <f t="shared" si="0"/>
        <v>15092144</v>
      </c>
      <c r="G34" s="24">
        <v>0</v>
      </c>
      <c r="H34" s="24">
        <f t="shared" si="1"/>
        <v>15092144</v>
      </c>
      <c r="I34" s="344">
        <f>H34/'- 44 -'!$I34*100</f>
        <v>61.964132585555632</v>
      </c>
    </row>
    <row r="35" spans="1:9" ht="14.1" customHeight="1">
      <c r="A35" s="351" t="s">
        <v>247</v>
      </c>
      <c r="B35" s="352">
        <f>'- 56 -'!$F35</f>
        <v>89172009</v>
      </c>
      <c r="C35" s="352">
        <v>22686449</v>
      </c>
      <c r="D35" s="352">
        <v>1490523</v>
      </c>
      <c r="E35" s="352">
        <v>3587255</v>
      </c>
      <c r="F35" s="352">
        <f t="shared" si="0"/>
        <v>116936236</v>
      </c>
      <c r="G35" s="352">
        <v>0</v>
      </c>
      <c r="H35" s="352">
        <f t="shared" si="1"/>
        <v>116936236</v>
      </c>
      <c r="I35" s="353">
        <f>H35/'- 44 -'!$I35*100</f>
        <v>70.333072401705977</v>
      </c>
    </row>
    <row r="36" spans="1:9" ht="14.1" customHeight="1">
      <c r="A36" s="23" t="s">
        <v>248</v>
      </c>
      <c r="B36" s="24">
        <f>'- 56 -'!$F36</f>
        <v>10152977</v>
      </c>
      <c r="C36" s="24">
        <v>1901026</v>
      </c>
      <c r="D36" s="24">
        <v>763891</v>
      </c>
      <c r="E36" s="24">
        <v>346000</v>
      </c>
      <c r="F36" s="24">
        <f t="shared" si="0"/>
        <v>13163894</v>
      </c>
      <c r="G36" s="24">
        <v>500</v>
      </c>
      <c r="H36" s="24">
        <f t="shared" si="1"/>
        <v>13164394</v>
      </c>
      <c r="I36" s="344">
        <f>H36/'- 44 -'!$I36*100</f>
        <v>60.621941133454541</v>
      </c>
    </row>
    <row r="37" spans="1:9" ht="14.1" customHeight="1">
      <c r="A37" s="351" t="s">
        <v>249</v>
      </c>
      <c r="B37" s="352">
        <f>'- 56 -'!$F37</f>
        <v>23240568</v>
      </c>
      <c r="C37" s="352">
        <v>4156255</v>
      </c>
      <c r="D37" s="352">
        <v>2579094</v>
      </c>
      <c r="E37" s="352">
        <v>560000</v>
      </c>
      <c r="F37" s="352">
        <f t="shared" si="0"/>
        <v>30535917</v>
      </c>
      <c r="G37" s="352">
        <v>0</v>
      </c>
      <c r="H37" s="352">
        <f t="shared" si="1"/>
        <v>30535917</v>
      </c>
      <c r="I37" s="353">
        <f>H37/'- 44 -'!$I37*100</f>
        <v>74.764138285630338</v>
      </c>
    </row>
    <row r="38" spans="1:9" ht="14.1" customHeight="1">
      <c r="A38" s="23" t="s">
        <v>250</v>
      </c>
      <c r="B38" s="24">
        <f>'- 56 -'!$F38</f>
        <v>62313959</v>
      </c>
      <c r="C38" s="24">
        <v>11887456</v>
      </c>
      <c r="D38" s="24">
        <v>5363834</v>
      </c>
      <c r="E38" s="24">
        <v>2664500</v>
      </c>
      <c r="F38" s="24">
        <f t="shared" si="0"/>
        <v>82229749</v>
      </c>
      <c r="G38" s="24">
        <v>757000</v>
      </c>
      <c r="H38" s="24">
        <f t="shared" si="1"/>
        <v>82986749</v>
      </c>
      <c r="I38" s="344">
        <f>H38/'- 44 -'!$I38*100</f>
        <v>72.041611107638673</v>
      </c>
    </row>
    <row r="39" spans="1:9" ht="14.1" customHeight="1">
      <c r="A39" s="351" t="s">
        <v>251</v>
      </c>
      <c r="B39" s="352">
        <f>'- 56 -'!$F39</f>
        <v>9154209</v>
      </c>
      <c r="C39" s="352">
        <v>1446493</v>
      </c>
      <c r="D39" s="352">
        <v>758456</v>
      </c>
      <c r="E39" s="352">
        <v>270000</v>
      </c>
      <c r="F39" s="352">
        <f t="shared" si="0"/>
        <v>11629158</v>
      </c>
      <c r="G39" s="352">
        <v>166015</v>
      </c>
      <c r="H39" s="352">
        <f t="shared" si="1"/>
        <v>11795173</v>
      </c>
      <c r="I39" s="353">
        <f>H39/'- 44 -'!$I39*100</f>
        <v>57.705795073900489</v>
      </c>
    </row>
    <row r="40" spans="1:9" ht="14.1" customHeight="1">
      <c r="A40" s="23" t="s">
        <v>252</v>
      </c>
      <c r="B40" s="24">
        <f>'- 56 -'!$F40</f>
        <v>38666067</v>
      </c>
      <c r="C40" s="24">
        <v>12735318</v>
      </c>
      <c r="D40" s="24">
        <v>3480523</v>
      </c>
      <c r="E40" s="24">
        <v>1889128</v>
      </c>
      <c r="F40" s="24">
        <f t="shared" si="0"/>
        <v>56771036</v>
      </c>
      <c r="G40" s="24">
        <v>22000</v>
      </c>
      <c r="H40" s="24">
        <f t="shared" si="1"/>
        <v>56793036</v>
      </c>
      <c r="I40" s="344">
        <f>H40/'- 44 -'!$I40*100</f>
        <v>59.497568168216731</v>
      </c>
    </row>
    <row r="41" spans="1:9" ht="14.1" customHeight="1">
      <c r="A41" s="351" t="s">
        <v>253</v>
      </c>
      <c r="B41" s="352">
        <f>'- 56 -'!$F41</f>
        <v>25606940</v>
      </c>
      <c r="C41" s="352">
        <v>6260199</v>
      </c>
      <c r="D41" s="352">
        <v>2979697</v>
      </c>
      <c r="E41" s="352">
        <v>1177812</v>
      </c>
      <c r="F41" s="352">
        <f t="shared" si="0"/>
        <v>36024648</v>
      </c>
      <c r="G41" s="352">
        <v>975869</v>
      </c>
      <c r="H41" s="352">
        <f t="shared" si="1"/>
        <v>37000517</v>
      </c>
      <c r="I41" s="353">
        <f>H41/'- 44 -'!$I41*100</f>
        <v>62.922398108463504</v>
      </c>
    </row>
    <row r="42" spans="1:9" ht="14.1" customHeight="1">
      <c r="A42" s="23" t="s">
        <v>254</v>
      </c>
      <c r="B42" s="24">
        <f>'- 56 -'!$F42</f>
        <v>11722354</v>
      </c>
      <c r="C42" s="24">
        <v>1570908</v>
      </c>
      <c r="D42" s="24">
        <v>1056497</v>
      </c>
      <c r="E42" s="24">
        <v>388900</v>
      </c>
      <c r="F42" s="24">
        <f t="shared" si="0"/>
        <v>14738659</v>
      </c>
      <c r="G42" s="24">
        <v>41000</v>
      </c>
      <c r="H42" s="24">
        <f t="shared" si="1"/>
        <v>14779659</v>
      </c>
      <c r="I42" s="344">
        <f>H42/'- 44 -'!$I42*100</f>
        <v>73.794160370593048</v>
      </c>
    </row>
    <row r="43" spans="1:9" ht="14.1" customHeight="1">
      <c r="A43" s="351" t="s">
        <v>255</v>
      </c>
      <c r="B43" s="352">
        <f>'- 56 -'!$F43</f>
        <v>6030176</v>
      </c>
      <c r="C43" s="352">
        <v>1121346</v>
      </c>
      <c r="D43" s="352">
        <v>0</v>
      </c>
      <c r="E43" s="352">
        <v>188200</v>
      </c>
      <c r="F43" s="352">
        <f t="shared" si="0"/>
        <v>7339722</v>
      </c>
      <c r="G43" s="352">
        <v>189050</v>
      </c>
      <c r="H43" s="352">
        <f t="shared" si="1"/>
        <v>7528772</v>
      </c>
      <c r="I43" s="353">
        <f>H43/'- 44 -'!$I43*100</f>
        <v>62.498392665991219</v>
      </c>
    </row>
    <row r="44" spans="1:9" ht="14.1" customHeight="1">
      <c r="A44" s="23" t="s">
        <v>256</v>
      </c>
      <c r="B44" s="24">
        <f>'- 56 -'!$F44</f>
        <v>7078634</v>
      </c>
      <c r="C44" s="24">
        <v>649778</v>
      </c>
      <c r="D44" s="24">
        <v>468919</v>
      </c>
      <c r="E44" s="24">
        <v>157972</v>
      </c>
      <c r="F44" s="24">
        <f t="shared" si="0"/>
        <v>8355303</v>
      </c>
      <c r="G44" s="24">
        <v>0</v>
      </c>
      <c r="H44" s="24">
        <f t="shared" si="1"/>
        <v>8355303</v>
      </c>
      <c r="I44" s="344">
        <f>H44/'- 44 -'!$I44*100</f>
        <v>80.912820396612418</v>
      </c>
    </row>
    <row r="45" spans="1:9" ht="14.1" customHeight="1">
      <c r="A45" s="351" t="s">
        <v>257</v>
      </c>
      <c r="B45" s="352">
        <f>'- 56 -'!$F45</f>
        <v>8956425</v>
      </c>
      <c r="C45" s="352">
        <v>1815260</v>
      </c>
      <c r="D45" s="352">
        <v>0</v>
      </c>
      <c r="E45" s="352">
        <v>292766</v>
      </c>
      <c r="F45" s="352">
        <f t="shared" si="0"/>
        <v>11064451</v>
      </c>
      <c r="G45" s="352">
        <v>378300</v>
      </c>
      <c r="H45" s="352">
        <f t="shared" si="1"/>
        <v>11442751</v>
      </c>
      <c r="I45" s="353">
        <f>H45/'- 44 -'!$I45*100</f>
        <v>66.857177446245643</v>
      </c>
    </row>
    <row r="46" spans="1:9" ht="14.1" customHeight="1">
      <c r="A46" s="23" t="s">
        <v>258</v>
      </c>
      <c r="B46" s="24">
        <f>'- 56 -'!$F46</f>
        <v>174115978</v>
      </c>
      <c r="C46" s="24">
        <v>29248719</v>
      </c>
      <c r="D46" s="24">
        <v>9580396</v>
      </c>
      <c r="E46" s="24">
        <v>12533800</v>
      </c>
      <c r="F46" s="24">
        <f t="shared" si="0"/>
        <v>225478893</v>
      </c>
      <c r="G46" s="24">
        <v>4210000</v>
      </c>
      <c r="H46" s="24">
        <f t="shared" si="1"/>
        <v>229688893</v>
      </c>
      <c r="I46" s="344">
        <f>H46/'- 44 -'!$I46*100</f>
        <v>64.468899619567395</v>
      </c>
    </row>
    <row r="47" spans="1:9" ht="5.0999999999999996" customHeight="1">
      <c r="A47"/>
      <c r="B47"/>
      <c r="C47"/>
      <c r="D47"/>
      <c r="E47"/>
      <c r="F47"/>
      <c r="G47"/>
      <c r="H47"/>
      <c r="I47"/>
    </row>
    <row r="48" spans="1:9" ht="14.1" customHeight="1">
      <c r="A48" s="354" t="s">
        <v>259</v>
      </c>
      <c r="B48" s="355">
        <f t="shared" ref="B48:H48" si="2">SUM(B11:B46)</f>
        <v>995812529</v>
      </c>
      <c r="C48" s="355">
        <f t="shared" si="2"/>
        <v>192649472</v>
      </c>
      <c r="D48" s="355">
        <f>SUM(D11:D46)</f>
        <v>61418314</v>
      </c>
      <c r="E48" s="355">
        <f t="shared" si="2"/>
        <v>63733459</v>
      </c>
      <c r="F48" s="355">
        <f t="shared" si="2"/>
        <v>1313613774</v>
      </c>
      <c r="G48" s="355">
        <f t="shared" si="2"/>
        <v>11949260</v>
      </c>
      <c r="H48" s="355">
        <f t="shared" si="2"/>
        <v>1325563034</v>
      </c>
      <c r="I48" s="356">
        <f>H48/'- 44 -'!$I48*100</f>
        <v>64.798961632795496</v>
      </c>
    </row>
    <row r="49" spans="1:9" ht="5.0999999999999996" customHeight="1">
      <c r="A49" s="25" t="s">
        <v>3</v>
      </c>
      <c r="B49" s="26"/>
      <c r="C49" s="26"/>
      <c r="D49" s="26"/>
      <c r="E49" s="26"/>
      <c r="F49" s="26"/>
      <c r="G49" s="26"/>
      <c r="H49" s="26"/>
      <c r="I49" s="343"/>
    </row>
    <row r="50" spans="1:9" ht="14.1" customHeight="1">
      <c r="A50" s="23" t="s">
        <v>260</v>
      </c>
      <c r="B50" s="24">
        <f>'- 56 -'!$F50</f>
        <v>931141</v>
      </c>
      <c r="C50" s="24">
        <v>371671</v>
      </c>
      <c r="D50" s="24">
        <v>24000</v>
      </c>
      <c r="E50" s="24">
        <v>5254</v>
      </c>
      <c r="F50" s="24">
        <f>SUM(B50:E50)</f>
        <v>1332066</v>
      </c>
      <c r="G50" s="24">
        <v>0</v>
      </c>
      <c r="H50" s="24">
        <f>SUM(F50,G50)</f>
        <v>1332066</v>
      </c>
      <c r="I50" s="344">
        <f>H50/'- 44 -'!$I50*100</f>
        <v>41.252885933060291</v>
      </c>
    </row>
    <row r="51" spans="1:9" ht="14.1" customHeight="1">
      <c r="A51" s="351" t="s">
        <v>369</v>
      </c>
      <c r="B51" s="352">
        <f>'- 56 -'!$F51</f>
        <v>50000</v>
      </c>
      <c r="C51" s="352">
        <v>0</v>
      </c>
      <c r="D51" s="352">
        <v>0</v>
      </c>
      <c r="E51" s="352">
        <v>4867589</v>
      </c>
      <c r="F51" s="352">
        <f>SUM(B51:E51)</f>
        <v>4917589</v>
      </c>
      <c r="G51" s="352">
        <v>6745351</v>
      </c>
      <c r="H51" s="352">
        <f>SUM(F51,G51)</f>
        <v>11662940</v>
      </c>
      <c r="I51" s="353">
        <f>H51/'- 44 -'!$I51*100</f>
        <v>62.538443270026164</v>
      </c>
    </row>
    <row r="52" spans="1:9" ht="50.1" customHeight="1">
      <c r="A52" s="27"/>
      <c r="B52" s="27"/>
      <c r="C52" s="27"/>
      <c r="D52" s="27"/>
      <c r="E52" s="27"/>
      <c r="F52" s="27"/>
      <c r="G52" s="27"/>
      <c r="H52" s="27"/>
      <c r="I52" s="27"/>
    </row>
    <row r="53" spans="1:9" ht="15" customHeight="1">
      <c r="A53" s="2" t="s">
        <v>547</v>
      </c>
      <c r="E53" s="39"/>
      <c r="F53" s="254"/>
      <c r="G53" s="254"/>
      <c r="H53" s="254"/>
      <c r="I53" s="254"/>
    </row>
    <row r="54" spans="1:9" ht="12" customHeight="1">
      <c r="A54" s="2" t="s">
        <v>576</v>
      </c>
      <c r="E54" s="39"/>
      <c r="F54" s="254"/>
      <c r="G54" s="254"/>
      <c r="H54" s="254"/>
      <c r="I54" s="254"/>
    </row>
    <row r="55" spans="1:9" ht="12" customHeight="1">
      <c r="A55" s="154" t="s">
        <v>577</v>
      </c>
      <c r="E55" s="39"/>
      <c r="F55" s="254"/>
      <c r="G55" s="254"/>
      <c r="H55" s="254"/>
      <c r="I55" s="254"/>
    </row>
    <row r="56" spans="1:9" ht="12" customHeight="1">
      <c r="A56" s="154" t="s">
        <v>578</v>
      </c>
      <c r="E56" s="39"/>
      <c r="F56" s="254"/>
      <c r="G56" s="254"/>
      <c r="H56" s="254"/>
      <c r="I56" s="254"/>
    </row>
    <row r="57" spans="1:9" ht="12" customHeight="1">
      <c r="A57" s="154" t="s">
        <v>579</v>
      </c>
      <c r="E57" s="39"/>
      <c r="F57" s="254"/>
      <c r="G57" s="254"/>
      <c r="H57" s="254"/>
      <c r="I57" s="254"/>
    </row>
    <row r="58" spans="1:9" ht="12" customHeight="1">
      <c r="A58" s="599" t="s">
        <v>622</v>
      </c>
      <c r="B58" s="528"/>
      <c r="C58" s="528"/>
      <c r="D58" s="528"/>
      <c r="E58" s="600"/>
      <c r="F58" s="601"/>
      <c r="G58" s="601"/>
      <c r="H58" s="601"/>
      <c r="I58" s="601"/>
    </row>
    <row r="59" spans="1:9" ht="12" customHeight="1">
      <c r="A59" s="2" t="s">
        <v>548</v>
      </c>
      <c r="B59" s="114"/>
      <c r="C59" s="114"/>
      <c r="D59" s="114"/>
      <c r="E59" s="114"/>
      <c r="F59" s="114"/>
      <c r="G59" s="114"/>
      <c r="H59" s="114"/>
      <c r="I59" s="114"/>
    </row>
    <row r="60" spans="1:9" ht="14.45" customHeight="1">
      <c r="A60" s="2" t="s">
        <v>549</v>
      </c>
      <c r="B60" s="114"/>
      <c r="C60" s="114"/>
      <c r="D60" s="114"/>
      <c r="E60" s="114"/>
      <c r="F60" s="114"/>
      <c r="G60" s="114"/>
      <c r="H60" s="114"/>
      <c r="I60" s="114"/>
    </row>
    <row r="61" spans="1:9">
      <c r="A61" s="498" t="s">
        <v>616</v>
      </c>
    </row>
  </sheetData>
  <phoneticPr fontId="0" type="noConversion"/>
  <printOptions horizontalCentered="1"/>
  <pageMargins left="0.51181102362204722" right="0.51181102362204722" top="0.59055118110236227" bottom="0" header="0.31496062992125984" footer="0"/>
  <pageSetup scale="82" orientation="portrait" r:id="rId1"/>
  <headerFooter alignWithMargins="0">
    <oddHeader>&amp;C&amp;"Arial,Bold"&amp;10&amp;A</oddHeader>
  </headerFooter>
</worksheet>
</file>

<file path=xl/worksheets/sheet38.xml><?xml version="1.0" encoding="utf-8"?>
<worksheet xmlns="http://schemas.openxmlformats.org/spreadsheetml/2006/main" xmlns:r="http://schemas.openxmlformats.org/officeDocument/2006/relationships">
  <sheetPr codeName="Sheet37"/>
  <dimension ref="A1:I59"/>
  <sheetViews>
    <sheetView showGridLines="0" showZeros="0" workbookViewId="0"/>
  </sheetViews>
  <sheetFormatPr defaultColWidth="15.83203125" defaultRowHeight="12"/>
  <cols>
    <col min="1" max="1" width="33.83203125" style="1" customWidth="1"/>
    <col min="2" max="2" width="16.83203125" style="1" customWidth="1"/>
    <col min="3" max="3" width="8.83203125" style="1" customWidth="1"/>
    <col min="4" max="4" width="15.83203125" style="1"/>
    <col min="5" max="5" width="8.83203125" style="1" customWidth="1"/>
    <col min="6" max="6" width="15.83203125" style="1"/>
    <col min="7" max="7" width="8.83203125" style="1" customWidth="1"/>
    <col min="8" max="8" width="15.83203125" style="1"/>
    <col min="9" max="9" width="8.83203125" style="1" customWidth="1"/>
    <col min="10" max="16384" width="15.83203125" style="1"/>
  </cols>
  <sheetData>
    <row r="1" spans="1:9" ht="6.95" customHeight="1">
      <c r="A1" s="3"/>
    </row>
    <row r="2" spans="1:9" ht="15.95" customHeight="1">
      <c r="A2" s="247"/>
      <c r="B2" s="72" t="s">
        <v>639</v>
      </c>
      <c r="C2" s="128"/>
      <c r="D2" s="128"/>
      <c r="E2" s="128"/>
      <c r="F2" s="128"/>
      <c r="G2" s="257"/>
      <c r="H2" s="258"/>
      <c r="I2" s="249" t="s">
        <v>4</v>
      </c>
    </row>
    <row r="3" spans="1:9" ht="15.95" customHeight="1">
      <c r="A3" s="244"/>
    </row>
    <row r="4" spans="1:9" ht="15.95" customHeight="1">
      <c r="B4" s="4"/>
      <c r="C4" s="4"/>
      <c r="D4" s="4"/>
      <c r="E4" s="4"/>
      <c r="F4" s="4"/>
      <c r="G4" s="4"/>
      <c r="H4" s="4"/>
      <c r="I4" s="74"/>
    </row>
    <row r="5" spans="1:9" ht="15.95" customHeight="1">
      <c r="B5" s="4"/>
      <c r="C5" s="4"/>
      <c r="D5" s="4"/>
      <c r="E5" s="4"/>
      <c r="F5" s="4"/>
      <c r="G5" s="4"/>
      <c r="H5" s="4"/>
      <c r="I5" s="4"/>
    </row>
    <row r="6" spans="1:9" ht="15.95" customHeight="1">
      <c r="B6" s="4"/>
      <c r="C6" s="4"/>
      <c r="D6" s="4"/>
      <c r="E6" s="4"/>
      <c r="F6" s="4"/>
      <c r="G6" s="4"/>
      <c r="H6" s="4"/>
      <c r="I6" s="4"/>
    </row>
    <row r="7" spans="1:9" ht="15.95" customHeight="1">
      <c r="B7" s="345" t="s">
        <v>99</v>
      </c>
      <c r="C7" s="347"/>
      <c r="D7" s="346" t="s">
        <v>100</v>
      </c>
      <c r="E7" s="347"/>
      <c r="F7" s="346" t="s">
        <v>101</v>
      </c>
      <c r="G7" s="347"/>
      <c r="H7" s="358"/>
      <c r="I7" s="347"/>
    </row>
    <row r="8" spans="1:9" ht="15.95" customHeight="1">
      <c r="A8" s="101"/>
      <c r="B8" s="349" t="s">
        <v>118</v>
      </c>
      <c r="C8" s="350"/>
      <c r="D8" s="349" t="s">
        <v>372</v>
      </c>
      <c r="E8" s="350"/>
      <c r="F8" s="349" t="s">
        <v>119</v>
      </c>
      <c r="G8" s="350"/>
      <c r="H8" s="349" t="s">
        <v>120</v>
      </c>
      <c r="I8" s="350"/>
    </row>
    <row r="9" spans="1:9" ht="15.95" customHeight="1">
      <c r="A9" s="35" t="s">
        <v>79</v>
      </c>
      <c r="B9" s="193" t="s">
        <v>122</v>
      </c>
      <c r="C9" s="245" t="s">
        <v>81</v>
      </c>
      <c r="D9" s="245" t="s">
        <v>122</v>
      </c>
      <c r="E9" s="245" t="s">
        <v>81</v>
      </c>
      <c r="F9" s="245" t="s">
        <v>122</v>
      </c>
      <c r="G9" s="245" t="s">
        <v>81</v>
      </c>
      <c r="H9" s="256" t="s">
        <v>122</v>
      </c>
      <c r="I9" s="256" t="s">
        <v>81</v>
      </c>
    </row>
    <row r="10" spans="1:9" ht="5.0999999999999996" customHeight="1">
      <c r="A10" s="37"/>
      <c r="B10" s="246"/>
      <c r="C10" s="246"/>
      <c r="D10" s="246"/>
      <c r="E10" s="246"/>
      <c r="F10" s="246"/>
      <c r="G10" s="246"/>
      <c r="H10" s="246"/>
      <c r="I10" s="246"/>
    </row>
    <row r="11" spans="1:9" ht="14.1" customHeight="1">
      <c r="A11" s="351" t="s">
        <v>224</v>
      </c>
      <c r="B11" s="352">
        <v>0</v>
      </c>
      <c r="C11" s="353">
        <f>B11/'- 44 -'!$I11*100</f>
        <v>0</v>
      </c>
      <c r="D11" s="352">
        <v>5805597</v>
      </c>
      <c r="E11" s="353">
        <f>D11/'- 44 -'!$I11*100</f>
        <v>36.160543778721475</v>
      </c>
      <c r="F11" s="352">
        <v>30000</v>
      </c>
      <c r="G11" s="353">
        <f>F11/'- 44 -'!$I11*100</f>
        <v>0.18685697842300183</v>
      </c>
      <c r="H11" s="352">
        <v>15000</v>
      </c>
      <c r="I11" s="353">
        <f>H11/'- 44 -'!$I11*100</f>
        <v>9.3428489211500917E-2</v>
      </c>
    </row>
    <row r="12" spans="1:9" ht="14.1" customHeight="1">
      <c r="A12" s="23" t="s">
        <v>225</v>
      </c>
      <c r="B12" s="24">
        <v>266000</v>
      </c>
      <c r="C12" s="344">
        <f>B12/'- 44 -'!$I12*100</f>
        <v>0.87526214677126157</v>
      </c>
      <c r="D12" s="24">
        <v>8243048</v>
      </c>
      <c r="E12" s="344">
        <f>D12/'- 44 -'!$I12*100</f>
        <v>27.123413114355465</v>
      </c>
      <c r="F12" s="24">
        <v>330262</v>
      </c>
      <c r="G12" s="344">
        <f>F12/'- 44 -'!$I12*100</f>
        <v>1.0867136357780842</v>
      </c>
      <c r="H12" s="24">
        <v>100000</v>
      </c>
      <c r="I12" s="344">
        <f>H12/'- 44 -'!$I12*100</f>
        <v>0.32904591983882014</v>
      </c>
    </row>
    <row r="13" spans="1:9" ht="14.1" customHeight="1">
      <c r="A13" s="351" t="s">
        <v>226</v>
      </c>
      <c r="B13" s="352">
        <v>23900</v>
      </c>
      <c r="C13" s="353">
        <f>B13/'- 44 -'!$I13*100</f>
        <v>3.0297652248871758E-2</v>
      </c>
      <c r="D13" s="352">
        <v>28461280</v>
      </c>
      <c r="E13" s="353">
        <f>D13/'- 44 -'!$I13*100</f>
        <v>36.079914811622125</v>
      </c>
      <c r="F13" s="352">
        <v>243500</v>
      </c>
      <c r="G13" s="353">
        <f>F13/'- 44 -'!$I13*100</f>
        <v>0.30868110136402821</v>
      </c>
      <c r="H13" s="352">
        <v>285000</v>
      </c>
      <c r="I13" s="353">
        <f>H13/'- 44 -'!$I13*100</f>
        <v>0.36128999543633689</v>
      </c>
    </row>
    <row r="14" spans="1:9" ht="14.1" customHeight="1">
      <c r="A14" s="23" t="s">
        <v>524</v>
      </c>
      <c r="B14" s="24">
        <v>55000</v>
      </c>
      <c r="C14" s="344">
        <f>B14/'- 44 -'!$I14*100</f>
        <v>7.7902059576067467E-2</v>
      </c>
      <c r="D14" s="24">
        <v>19081683</v>
      </c>
      <c r="E14" s="344">
        <f>D14/'- 44 -'!$I14*100</f>
        <v>27.027316470502434</v>
      </c>
      <c r="F14" s="24">
        <v>1138897</v>
      </c>
      <c r="G14" s="344">
        <f>F14/'- 44 -'!$I14*100</f>
        <v>1.6131349444546275</v>
      </c>
      <c r="H14" s="24">
        <v>0</v>
      </c>
      <c r="I14" s="344">
        <f>H14/'- 44 -'!$I14*100</f>
        <v>0</v>
      </c>
    </row>
    <row r="15" spans="1:9" ht="14.1" customHeight="1">
      <c r="A15" s="351" t="s">
        <v>227</v>
      </c>
      <c r="B15" s="352">
        <v>0</v>
      </c>
      <c r="C15" s="353">
        <f>B15/'- 44 -'!$I15*100</f>
        <v>0</v>
      </c>
      <c r="D15" s="352">
        <v>6502048</v>
      </c>
      <c r="E15" s="353">
        <f>D15/'- 44 -'!$I15*100</f>
        <v>34.081510083848706</v>
      </c>
      <c r="F15" s="352">
        <v>65000</v>
      </c>
      <c r="G15" s="353">
        <f>F15/'- 44 -'!$I15*100</f>
        <v>0.3407077516884166</v>
      </c>
      <c r="H15" s="352">
        <v>160000</v>
      </c>
      <c r="I15" s="353">
        <f>H15/'- 44 -'!$I15*100</f>
        <v>0.83866523492533307</v>
      </c>
    </row>
    <row r="16" spans="1:9" ht="14.1" customHeight="1">
      <c r="A16" s="23" t="s">
        <v>228</v>
      </c>
      <c r="B16" s="24">
        <v>0</v>
      </c>
      <c r="C16" s="344">
        <f>B16/'- 44 -'!$I16*100</f>
        <v>0</v>
      </c>
      <c r="D16" s="24">
        <v>2913390</v>
      </c>
      <c r="E16" s="344">
        <f>D16/'- 44 -'!$I16*100</f>
        <v>22.44612091962691</v>
      </c>
      <c r="F16" s="24">
        <v>145800</v>
      </c>
      <c r="G16" s="344">
        <f>F16/'- 44 -'!$I16*100</f>
        <v>1.1233114790953507</v>
      </c>
      <c r="H16" s="24">
        <v>0</v>
      </c>
      <c r="I16" s="344">
        <f>H16/'- 44 -'!$I16*100</f>
        <v>0</v>
      </c>
    </row>
    <row r="17" spans="1:9" ht="14.1" customHeight="1">
      <c r="A17" s="351" t="s">
        <v>229</v>
      </c>
      <c r="B17" s="352">
        <v>0</v>
      </c>
      <c r="C17" s="353">
        <f>B17/'- 44 -'!$I17*100</f>
        <v>0</v>
      </c>
      <c r="D17" s="352">
        <v>6231488</v>
      </c>
      <c r="E17" s="353">
        <f>D17/'- 44 -'!$I17*100</f>
        <v>37.346587426902374</v>
      </c>
      <c r="F17" s="352">
        <v>7800</v>
      </c>
      <c r="G17" s="353">
        <f>F17/'- 44 -'!$I17*100</f>
        <v>4.6747001988905142E-2</v>
      </c>
      <c r="H17" s="352">
        <v>841540</v>
      </c>
      <c r="I17" s="353">
        <f>H17/'- 44 -'!$I17*100</f>
        <v>5.0435220581722087</v>
      </c>
    </row>
    <row r="18" spans="1:9" ht="14.1" customHeight="1">
      <c r="A18" s="23" t="s">
        <v>230</v>
      </c>
      <c r="B18" s="529">
        <v>12388980</v>
      </c>
      <c r="C18" s="530">
        <f>B18/'- 44 -'!$I18*100</f>
        <v>10.298787519269213</v>
      </c>
      <c r="D18" s="24">
        <v>2807584</v>
      </c>
      <c r="E18" s="344">
        <f>D18/'- 44 -'!$I18*100</f>
        <v>2.3339057015589608</v>
      </c>
      <c r="F18" s="24">
        <v>0</v>
      </c>
      <c r="G18" s="344">
        <f>F18/'- 44 -'!$I18*100</f>
        <v>0</v>
      </c>
      <c r="H18" s="24">
        <v>51687386</v>
      </c>
      <c r="I18" s="344">
        <f>H18/'- 44 -'!$I18*100</f>
        <v>42.967008247688696</v>
      </c>
    </row>
    <row r="19" spans="1:9" ht="14.1" customHeight="1">
      <c r="A19" s="351" t="s">
        <v>231</v>
      </c>
      <c r="B19" s="352">
        <v>0</v>
      </c>
      <c r="C19" s="353">
        <f>B19/'- 44 -'!$I19*100</f>
        <v>0</v>
      </c>
      <c r="D19" s="352">
        <v>12030368</v>
      </c>
      <c r="E19" s="353">
        <f>D19/'- 44 -'!$I19*100</f>
        <v>29.626988173603031</v>
      </c>
      <c r="F19" s="352">
        <v>251000</v>
      </c>
      <c r="G19" s="353">
        <f>F19/'- 44 -'!$I19*100</f>
        <v>0.61813354600410886</v>
      </c>
      <c r="H19" s="352">
        <v>0</v>
      </c>
      <c r="I19" s="353">
        <f>H19/'- 44 -'!$I19*100</f>
        <v>0</v>
      </c>
    </row>
    <row r="20" spans="1:9" ht="14.1" customHeight="1">
      <c r="A20" s="23" t="s">
        <v>232</v>
      </c>
      <c r="B20" s="24">
        <v>0</v>
      </c>
      <c r="C20" s="344">
        <f>B20/'- 44 -'!$I20*100</f>
        <v>0</v>
      </c>
      <c r="D20" s="24">
        <v>19480735</v>
      </c>
      <c r="E20" s="344">
        <f>D20/'- 44 -'!$I20*100</f>
        <v>27.691441137296319</v>
      </c>
      <c r="F20" s="24">
        <v>100000</v>
      </c>
      <c r="G20" s="344">
        <f>F20/'- 44 -'!$I20*100</f>
        <v>0.14214782520934821</v>
      </c>
      <c r="H20" s="24">
        <v>0</v>
      </c>
      <c r="I20" s="344">
        <f>H20/'- 44 -'!$I20*100</f>
        <v>0</v>
      </c>
    </row>
    <row r="21" spans="1:9" ht="14.1" customHeight="1">
      <c r="A21" s="351" t="s">
        <v>233</v>
      </c>
      <c r="B21" s="352">
        <v>0</v>
      </c>
      <c r="C21" s="353">
        <f>B21/'- 44 -'!$I21*100</f>
        <v>0</v>
      </c>
      <c r="D21" s="352">
        <v>10121290</v>
      </c>
      <c r="E21" s="353">
        <f>D21/'- 44 -'!$I21*100</f>
        <v>30.693828658074302</v>
      </c>
      <c r="F21" s="352">
        <v>55000</v>
      </c>
      <c r="G21" s="353">
        <f>F21/'- 44 -'!$I21*100</f>
        <v>0.16679302501895374</v>
      </c>
      <c r="H21" s="352">
        <v>0</v>
      </c>
      <c r="I21" s="353">
        <f>H21/'- 44 -'!$I21*100</f>
        <v>0</v>
      </c>
    </row>
    <row r="22" spans="1:9" ht="14.1" customHeight="1">
      <c r="A22" s="23" t="s">
        <v>234</v>
      </c>
      <c r="B22" s="24">
        <v>21000</v>
      </c>
      <c r="C22" s="344">
        <f>B22/'- 44 -'!$I22*100</f>
        <v>0.10903605121267559</v>
      </c>
      <c r="D22" s="24">
        <v>2688955</v>
      </c>
      <c r="E22" s="344">
        <f>D22/'- 44 -'!$I22*100</f>
        <v>13.961573099456196</v>
      </c>
      <c r="F22" s="24">
        <v>5000</v>
      </c>
      <c r="G22" s="344">
        <f>F22/'- 44 -'!$I22*100</f>
        <v>2.596096457444657E-2</v>
      </c>
      <c r="H22" s="24">
        <v>0</v>
      </c>
      <c r="I22" s="344">
        <f>H22/'- 44 -'!$I22*100</f>
        <v>0</v>
      </c>
    </row>
    <row r="23" spans="1:9" ht="14.1" customHeight="1">
      <c r="A23" s="351" t="s">
        <v>235</v>
      </c>
      <c r="B23" s="352">
        <v>0</v>
      </c>
      <c r="C23" s="353">
        <f>B23/'- 44 -'!$I23*100</f>
        <v>0</v>
      </c>
      <c r="D23" s="352">
        <v>2939239</v>
      </c>
      <c r="E23" s="353">
        <f>D23/'- 44 -'!$I23*100</f>
        <v>18.599152823373672</v>
      </c>
      <c r="F23" s="352">
        <v>90000</v>
      </c>
      <c r="G23" s="353">
        <f>F23/'- 44 -'!$I23*100</f>
        <v>0.56950923490863814</v>
      </c>
      <c r="H23" s="352">
        <v>985000</v>
      </c>
      <c r="I23" s="353">
        <f>H23/'- 44 -'!$I23*100</f>
        <v>6.2329621820556502</v>
      </c>
    </row>
    <row r="24" spans="1:9" ht="14.1" customHeight="1">
      <c r="A24" s="23" t="s">
        <v>236</v>
      </c>
      <c r="B24" s="24">
        <v>0</v>
      </c>
      <c r="C24" s="344">
        <f>B24/'- 44 -'!$I24*100</f>
        <v>0</v>
      </c>
      <c r="D24" s="24">
        <v>17336066</v>
      </c>
      <c r="E24" s="344">
        <f>D24/'- 44 -'!$I24*100</f>
        <v>33.578744936816761</v>
      </c>
      <c r="F24" s="24">
        <v>202600</v>
      </c>
      <c r="G24" s="344">
        <f>F24/'- 44 -'!$I24*100</f>
        <v>0.39242200186588333</v>
      </c>
      <c r="H24" s="24">
        <v>396610</v>
      </c>
      <c r="I24" s="344">
        <f>H24/'- 44 -'!$I24*100</f>
        <v>0.76820577571583415</v>
      </c>
    </row>
    <row r="25" spans="1:9" ht="14.1" customHeight="1">
      <c r="A25" s="351" t="s">
        <v>237</v>
      </c>
      <c r="B25" s="352">
        <v>0</v>
      </c>
      <c r="C25" s="353">
        <f>B25/'- 44 -'!$I25*100</f>
        <v>0</v>
      </c>
      <c r="D25" s="352">
        <v>47286016</v>
      </c>
      <c r="E25" s="353">
        <f>D25/'- 44 -'!$I25*100</f>
        <v>31.1349499920961</v>
      </c>
      <c r="F25" s="352">
        <v>430000</v>
      </c>
      <c r="G25" s="353">
        <f>F25/'- 44 -'!$I25*100</f>
        <v>0.28312870546339369</v>
      </c>
      <c r="H25" s="352">
        <v>0</v>
      </c>
      <c r="I25" s="353">
        <f>H25/'- 44 -'!$I25*100</f>
        <v>0</v>
      </c>
    </row>
    <row r="26" spans="1:9" ht="14.1" customHeight="1">
      <c r="A26" s="23" t="s">
        <v>238</v>
      </c>
      <c r="B26" s="24">
        <v>399994</v>
      </c>
      <c r="C26" s="344">
        <f>B26/'- 44 -'!$I26*100</f>
        <v>1.0682371840460871</v>
      </c>
      <c r="D26" s="24">
        <v>9620313</v>
      </c>
      <c r="E26" s="344">
        <f>D26/'- 44 -'!$I26*100</f>
        <v>25.692325556788258</v>
      </c>
      <c r="F26" s="24">
        <v>315644</v>
      </c>
      <c r="G26" s="344">
        <f>F26/'- 44 -'!$I26*100</f>
        <v>0.84296928884194033</v>
      </c>
      <c r="H26" s="24">
        <v>255048</v>
      </c>
      <c r="I26" s="344">
        <f>H26/'- 44 -'!$I26*100</f>
        <v>0.68113961038562176</v>
      </c>
    </row>
    <row r="27" spans="1:9" ht="14.1" customHeight="1">
      <c r="A27" s="351" t="s">
        <v>239</v>
      </c>
      <c r="B27" s="352">
        <v>81300</v>
      </c>
      <c r="C27" s="353">
        <f>B27/'- 44 -'!$I27*100</f>
        <v>0.21167176327838061</v>
      </c>
      <c r="D27" s="352">
        <v>7534640</v>
      </c>
      <c r="E27" s="353">
        <f>D27/'- 44 -'!$I27*100</f>
        <v>19.617103744991606</v>
      </c>
      <c r="F27" s="352">
        <v>163390</v>
      </c>
      <c r="G27" s="353">
        <f>F27/'- 44 -'!$I27*100</f>
        <v>0.42540036164888817</v>
      </c>
      <c r="H27" s="352">
        <v>210000</v>
      </c>
      <c r="I27" s="353">
        <f>H27/'- 44 -'!$I27*100</f>
        <v>0.54675363208437799</v>
      </c>
    </row>
    <row r="28" spans="1:9" ht="14.1" customHeight="1">
      <c r="A28" s="23" t="s">
        <v>240</v>
      </c>
      <c r="B28" s="24">
        <v>0</v>
      </c>
      <c r="C28" s="344">
        <f>B28/'- 44 -'!$I28*100</f>
        <v>0</v>
      </c>
      <c r="D28" s="24">
        <v>6369033</v>
      </c>
      <c r="E28" s="344">
        <f>D28/'- 44 -'!$I28*100</f>
        <v>24.55102104773686</v>
      </c>
      <c r="F28" s="24">
        <v>10000</v>
      </c>
      <c r="G28" s="344">
        <f>F28/'- 44 -'!$I28*100</f>
        <v>3.8547486011984648E-2</v>
      </c>
      <c r="H28" s="24">
        <v>6230113</v>
      </c>
      <c r="I28" s="344">
        <f>H28/'- 44 -'!$I28*100</f>
        <v>24.015519372058371</v>
      </c>
    </row>
    <row r="29" spans="1:9" ht="14.1" customHeight="1">
      <c r="A29" s="351" t="s">
        <v>241</v>
      </c>
      <c r="B29" s="352">
        <v>0</v>
      </c>
      <c r="C29" s="353">
        <f>B29/'- 44 -'!$I29*100</f>
        <v>0</v>
      </c>
      <c r="D29" s="352">
        <v>55089724</v>
      </c>
      <c r="E29" s="353">
        <f>D29/'- 44 -'!$I29*100</f>
        <v>39.556104612771115</v>
      </c>
      <c r="F29" s="352">
        <v>690000</v>
      </c>
      <c r="G29" s="353">
        <f>F29/'- 44 -'!$I29*100</f>
        <v>0.4954410768660244</v>
      </c>
      <c r="H29" s="352">
        <v>0</v>
      </c>
      <c r="I29" s="353">
        <f>H29/'- 44 -'!$I29*100</f>
        <v>0</v>
      </c>
    </row>
    <row r="30" spans="1:9" ht="14.1" customHeight="1">
      <c r="A30" s="23" t="s">
        <v>242</v>
      </c>
      <c r="B30" s="24">
        <v>0</v>
      </c>
      <c r="C30" s="344">
        <f>B30/'- 44 -'!$I30*100</f>
        <v>0</v>
      </c>
      <c r="D30" s="24">
        <v>4364094</v>
      </c>
      <c r="E30" s="344">
        <f>D30/'- 44 -'!$I30*100</f>
        <v>32.685908145738566</v>
      </c>
      <c r="F30" s="24">
        <v>26000</v>
      </c>
      <c r="G30" s="344">
        <f>F30/'- 44 -'!$I30*100</f>
        <v>0.1947331133997578</v>
      </c>
      <c r="H30" s="24">
        <v>0</v>
      </c>
      <c r="I30" s="344">
        <f>H30/'- 44 -'!$I30*100</f>
        <v>0</v>
      </c>
    </row>
    <row r="31" spans="1:9" ht="14.1" customHeight="1">
      <c r="A31" s="351" t="s">
        <v>243</v>
      </c>
      <c r="B31" s="352">
        <v>20000</v>
      </c>
      <c r="C31" s="353">
        <f>B31/'- 44 -'!$I31*100</f>
        <v>6.0221014737346951E-2</v>
      </c>
      <c r="D31" s="352">
        <v>10541100</v>
      </c>
      <c r="E31" s="353">
        <f>D31/'- 44 -'!$I31*100</f>
        <v>31.739786922392394</v>
      </c>
      <c r="F31" s="352">
        <v>180000</v>
      </c>
      <c r="G31" s="353">
        <f>F31/'- 44 -'!$I31*100</f>
        <v>0.54198913263612247</v>
      </c>
      <c r="H31" s="352">
        <v>785000</v>
      </c>
      <c r="I31" s="353">
        <f>H31/'- 44 -'!$I31*100</f>
        <v>2.3636748284408675</v>
      </c>
    </row>
    <row r="32" spans="1:9" ht="14.1" customHeight="1">
      <c r="A32" s="23" t="s">
        <v>244</v>
      </c>
      <c r="B32" s="24">
        <v>0</v>
      </c>
      <c r="C32" s="344">
        <f>B32/'- 44 -'!$I32*100</f>
        <v>0</v>
      </c>
      <c r="D32" s="24">
        <v>8765599</v>
      </c>
      <c r="E32" s="344">
        <f>D32/'- 44 -'!$I32*100</f>
        <v>34.682784598698937</v>
      </c>
      <c r="F32" s="24">
        <v>72000</v>
      </c>
      <c r="G32" s="344">
        <f>F32/'- 44 -'!$I32*100</f>
        <v>0.28488189924114982</v>
      </c>
      <c r="H32" s="24">
        <v>0</v>
      </c>
      <c r="I32" s="344">
        <f>H32/'- 44 -'!$I32*100</f>
        <v>0</v>
      </c>
    </row>
    <row r="33" spans="1:9" ht="14.1" customHeight="1">
      <c r="A33" s="351" t="s">
        <v>245</v>
      </c>
      <c r="B33" s="352">
        <v>0</v>
      </c>
      <c r="C33" s="353">
        <f>B33/'- 44 -'!$I33*100</f>
        <v>0</v>
      </c>
      <c r="D33" s="352">
        <v>8901825</v>
      </c>
      <c r="E33" s="353">
        <f>D33/'- 44 -'!$I33*100</f>
        <v>33.684242351498462</v>
      </c>
      <c r="F33" s="352">
        <v>15000</v>
      </c>
      <c r="G33" s="353">
        <f>F33/'- 44 -'!$I33*100</f>
        <v>5.6759556076700773E-2</v>
      </c>
      <c r="H33" s="352">
        <v>250000</v>
      </c>
      <c r="I33" s="353">
        <f>H33/'- 44 -'!$I33*100</f>
        <v>0.94599260127834617</v>
      </c>
    </row>
    <row r="34" spans="1:9" ht="14.1" customHeight="1">
      <c r="A34" s="23" t="s">
        <v>246</v>
      </c>
      <c r="B34" s="24">
        <v>22100</v>
      </c>
      <c r="C34" s="344">
        <f>B34/'- 44 -'!$I34*100</f>
        <v>9.0736434143537159E-2</v>
      </c>
      <c r="D34" s="24">
        <v>8278925</v>
      </c>
      <c r="E34" s="344">
        <f>D34/'- 44 -'!$I34*100</f>
        <v>33.990956246234539</v>
      </c>
      <c r="F34" s="24">
        <v>790063</v>
      </c>
      <c r="G34" s="344">
        <f>F34/'- 44 -'!$I34*100</f>
        <v>3.2437782519794296</v>
      </c>
      <c r="H34" s="24">
        <v>4251</v>
      </c>
      <c r="I34" s="344">
        <f>H34/'- 44 -'!$I34*100</f>
        <v>1.7453419979374499E-2</v>
      </c>
    </row>
    <row r="35" spans="1:9" ht="14.1" customHeight="1">
      <c r="A35" s="351" t="s">
        <v>247</v>
      </c>
      <c r="B35" s="352">
        <v>0</v>
      </c>
      <c r="C35" s="353">
        <f>B35/'- 44 -'!$I35*100</f>
        <v>0</v>
      </c>
      <c r="D35" s="352">
        <v>48354432</v>
      </c>
      <c r="E35" s="353">
        <f>D35/'- 44 -'!$I35*100</f>
        <v>29.083506388895298</v>
      </c>
      <c r="F35" s="352">
        <v>215000</v>
      </c>
      <c r="G35" s="353">
        <f>F35/'- 44 -'!$I35*100</f>
        <v>0.12931501033064538</v>
      </c>
      <c r="H35" s="352">
        <v>0</v>
      </c>
      <c r="I35" s="353">
        <f>H35/'- 44 -'!$I35*100</f>
        <v>0</v>
      </c>
    </row>
    <row r="36" spans="1:9" ht="14.1" customHeight="1">
      <c r="A36" s="23" t="s">
        <v>248</v>
      </c>
      <c r="B36" s="24">
        <v>86600</v>
      </c>
      <c r="C36" s="344">
        <f>B36/'- 44 -'!$I36*100</f>
        <v>0.39879238665730926</v>
      </c>
      <c r="D36" s="24">
        <v>7214416</v>
      </c>
      <c r="E36" s="344">
        <f>D36/'- 44 -'!$I36*100</f>
        <v>33.222334584049413</v>
      </c>
      <c r="F36" s="24">
        <v>69550</v>
      </c>
      <c r="G36" s="344">
        <f>F36/'- 44 -'!$I36*100</f>
        <v>0.3202772574135781</v>
      </c>
      <c r="H36" s="24">
        <v>1115000</v>
      </c>
      <c r="I36" s="344">
        <f>H36/'- 44 -'!$I36*100</f>
        <v>5.1345671030357956</v>
      </c>
    </row>
    <row r="37" spans="1:9" ht="14.1" customHeight="1">
      <c r="A37" s="351" t="s">
        <v>249</v>
      </c>
      <c r="B37" s="352">
        <v>15000</v>
      </c>
      <c r="C37" s="353">
        <f>B37/'- 44 -'!$I37*100</f>
        <v>3.6725999559288007E-2</v>
      </c>
      <c r="D37" s="352">
        <v>10024083</v>
      </c>
      <c r="E37" s="353">
        <f>D37/'- 44 -'!$I37*100</f>
        <v>24.542964522684425</v>
      </c>
      <c r="F37" s="352">
        <v>200000</v>
      </c>
      <c r="G37" s="353">
        <f>F37/'- 44 -'!$I37*100</f>
        <v>0.48967999412384011</v>
      </c>
      <c r="H37" s="352">
        <v>0</v>
      </c>
      <c r="I37" s="353">
        <f>H37/'- 44 -'!$I37*100</f>
        <v>0</v>
      </c>
    </row>
    <row r="38" spans="1:9" ht="14.1" customHeight="1">
      <c r="A38" s="23" t="s">
        <v>250</v>
      </c>
      <c r="B38" s="24">
        <v>6000</v>
      </c>
      <c r="C38" s="344">
        <f>B38/'- 44 -'!$I38*100</f>
        <v>5.2086588745129904E-3</v>
      </c>
      <c r="D38" s="24">
        <v>30107451</v>
      </c>
      <c r="E38" s="344">
        <f>D38/'- 44 -'!$I38*100</f>
        <v>26.136573640019169</v>
      </c>
      <c r="F38" s="24">
        <v>920000</v>
      </c>
      <c r="G38" s="344">
        <f>F38/'- 44 -'!$I38*100</f>
        <v>0.79866102742532519</v>
      </c>
      <c r="H38" s="24">
        <v>180000</v>
      </c>
      <c r="I38" s="344">
        <f>H38/'- 44 -'!$I38*100</f>
        <v>0.15625976623538973</v>
      </c>
    </row>
    <row r="39" spans="1:9" ht="14.1" customHeight="1">
      <c r="A39" s="351" t="s">
        <v>251</v>
      </c>
      <c r="B39" s="352">
        <v>0</v>
      </c>
      <c r="C39" s="353">
        <f>B39/'- 44 -'!$I39*100</f>
        <v>0</v>
      </c>
      <c r="D39" s="352">
        <v>8476515</v>
      </c>
      <c r="E39" s="353">
        <f>D39/'- 44 -'!$I39*100</f>
        <v>41.4698485160704</v>
      </c>
      <c r="F39" s="352">
        <v>100000</v>
      </c>
      <c r="G39" s="353">
        <f>F39/'- 44 -'!$I39*100</f>
        <v>0.48923229081846015</v>
      </c>
      <c r="H39" s="352">
        <v>0</v>
      </c>
      <c r="I39" s="353">
        <f>H39/'- 44 -'!$I39*100</f>
        <v>0</v>
      </c>
    </row>
    <row r="40" spans="1:9" ht="14.1" customHeight="1">
      <c r="A40" s="23" t="s">
        <v>252</v>
      </c>
      <c r="B40" s="24">
        <v>0</v>
      </c>
      <c r="C40" s="344">
        <f>B40/'- 44 -'!$I40*100</f>
        <v>0</v>
      </c>
      <c r="D40" s="24">
        <v>34519679</v>
      </c>
      <c r="E40" s="344">
        <f>D40/'- 44 -'!$I40*100</f>
        <v>36.163535163844024</v>
      </c>
      <c r="F40" s="24">
        <v>765000</v>
      </c>
      <c r="G40" s="344">
        <f>F40/'- 44 -'!$I40*100</f>
        <v>0.80142994378194188</v>
      </c>
      <c r="H40" s="24">
        <v>35000</v>
      </c>
      <c r="I40" s="344">
        <f>H40/'- 44 -'!$I40*100</f>
        <v>3.6666729454075772E-2</v>
      </c>
    </row>
    <row r="41" spans="1:9" ht="14.1" customHeight="1">
      <c r="A41" s="351" t="s">
        <v>253</v>
      </c>
      <c r="B41" s="352">
        <v>0</v>
      </c>
      <c r="C41" s="353">
        <f>B41/'- 44 -'!$I41*100</f>
        <v>0</v>
      </c>
      <c r="D41" s="352">
        <v>21081649</v>
      </c>
      <c r="E41" s="353">
        <f>D41/'- 44 -'!$I41*100</f>
        <v>35.851064220559174</v>
      </c>
      <c r="F41" s="352">
        <v>299510</v>
      </c>
      <c r="G41" s="353">
        <f>F41/'- 44 -'!$I41*100</f>
        <v>0.50934119265052169</v>
      </c>
      <c r="H41" s="352">
        <v>296232</v>
      </c>
      <c r="I41" s="353">
        <f>H41/'- 44 -'!$I41*100</f>
        <v>0.5037666861916108</v>
      </c>
    </row>
    <row r="42" spans="1:9" ht="14.1" customHeight="1">
      <c r="A42" s="23" t="s">
        <v>254</v>
      </c>
      <c r="B42" s="24">
        <v>45</v>
      </c>
      <c r="C42" s="344">
        <f>B42/'- 44 -'!$I42*100</f>
        <v>2.246829386710943E-4</v>
      </c>
      <c r="D42" s="24">
        <v>4794109</v>
      </c>
      <c r="E42" s="344">
        <f>D42/'- 44 -'!$I42*100</f>
        <v>23.936766631767583</v>
      </c>
      <c r="F42" s="24">
        <v>24500</v>
      </c>
      <c r="G42" s="344">
        <f>F42/'- 44 -'!$I42*100</f>
        <v>0.12232737772092911</v>
      </c>
      <c r="H42" s="24">
        <v>129010</v>
      </c>
      <c r="I42" s="344">
        <f>H42/'- 44 -'!$I42*100</f>
        <v>0.64414102039906385</v>
      </c>
    </row>
    <row r="43" spans="1:9" ht="14.1" customHeight="1">
      <c r="A43" s="351" t="s">
        <v>255</v>
      </c>
      <c r="B43" s="352">
        <v>0</v>
      </c>
      <c r="C43" s="353">
        <f>B43/'- 44 -'!$I43*100</f>
        <v>0</v>
      </c>
      <c r="D43" s="352">
        <v>4374181</v>
      </c>
      <c r="E43" s="353">
        <f>D43/'- 44 -'!$I43*100</f>
        <v>36.311271178104235</v>
      </c>
      <c r="F43" s="352">
        <v>35000</v>
      </c>
      <c r="G43" s="353">
        <f>F43/'- 44 -'!$I43*100</f>
        <v>0.29054455936634721</v>
      </c>
      <c r="H43" s="352">
        <v>0</v>
      </c>
      <c r="I43" s="353">
        <f>H43/'- 44 -'!$I43*100</f>
        <v>0</v>
      </c>
    </row>
    <row r="44" spans="1:9" ht="14.1" customHeight="1">
      <c r="A44" s="23" t="s">
        <v>256</v>
      </c>
      <c r="B44" s="24">
        <v>0</v>
      </c>
      <c r="C44" s="344">
        <f>B44/'- 44 -'!$I44*100</f>
        <v>0</v>
      </c>
      <c r="D44" s="24">
        <v>1947500</v>
      </c>
      <c r="E44" s="344">
        <f>D44/'- 44 -'!$I44*100</f>
        <v>18.859605417350238</v>
      </c>
      <c r="F44" s="24">
        <v>13000</v>
      </c>
      <c r="G44" s="344">
        <f>F44/'- 44 -'!$I44*100</f>
        <v>0.1258921029142763</v>
      </c>
      <c r="H44" s="24">
        <v>0</v>
      </c>
      <c r="I44" s="344">
        <f>H44/'- 44 -'!$I44*100</f>
        <v>0</v>
      </c>
    </row>
    <row r="45" spans="1:9" ht="14.1" customHeight="1">
      <c r="A45" s="351" t="s">
        <v>257</v>
      </c>
      <c r="B45" s="352">
        <v>20000</v>
      </c>
      <c r="C45" s="353">
        <f>B45/'- 44 -'!$I45*100</f>
        <v>0.116855076976237</v>
      </c>
      <c r="D45" s="352">
        <v>5282216</v>
      </c>
      <c r="E45" s="353">
        <f>D45/'- 44 -'!$I45*100</f>
        <v>30.862687864255534</v>
      </c>
      <c r="F45" s="352">
        <v>43550</v>
      </c>
      <c r="G45" s="353">
        <f>F45/'- 44 -'!$I45*100</f>
        <v>0.25445193011575606</v>
      </c>
      <c r="H45" s="352">
        <v>0</v>
      </c>
      <c r="I45" s="353">
        <f>H45/'- 44 -'!$I45*100</f>
        <v>0</v>
      </c>
    </row>
    <row r="46" spans="1:9" ht="14.1" customHeight="1">
      <c r="A46" s="23" t="s">
        <v>258</v>
      </c>
      <c r="B46" s="24">
        <v>0</v>
      </c>
      <c r="C46" s="344">
        <f>B46/'- 44 -'!$I46*100</f>
        <v>0</v>
      </c>
      <c r="D46" s="24">
        <v>120705207</v>
      </c>
      <c r="E46" s="344">
        <f>D46/'- 44 -'!$I46*100</f>
        <v>33.879443502921589</v>
      </c>
      <c r="F46" s="24">
        <v>2175000</v>
      </c>
      <c r="G46" s="344">
        <f>F46/'- 44 -'!$I46*100</f>
        <v>0.6104773062429234</v>
      </c>
      <c r="H46" s="24">
        <v>2200000</v>
      </c>
      <c r="I46" s="344">
        <f>H46/'- 44 -'!$I46*100</f>
        <v>0.61749428677445128</v>
      </c>
    </row>
    <row r="47" spans="1:9" ht="5.0999999999999996" customHeight="1">
      <c r="A47"/>
      <c r="B47"/>
      <c r="C47"/>
      <c r="D47"/>
      <c r="E47"/>
      <c r="F47"/>
      <c r="G47"/>
      <c r="H47"/>
      <c r="I47"/>
    </row>
    <row r="48" spans="1:9" ht="14.1" customHeight="1">
      <c r="A48" s="354" t="s">
        <v>259</v>
      </c>
      <c r="B48" s="355">
        <f>SUM(B11:B46)</f>
        <v>13405919</v>
      </c>
      <c r="C48" s="356">
        <f>B48/'- 44 -'!$I48*100</f>
        <v>0.6553363428610548</v>
      </c>
      <c r="D48" s="355">
        <f>SUM(D11:D46)</f>
        <v>608275478</v>
      </c>
      <c r="E48" s="356">
        <f>D48/'- 44 -'!$I48*100</f>
        <v>29.735001920016074</v>
      </c>
      <c r="F48" s="355">
        <f>SUM(F11:F46)</f>
        <v>10217066</v>
      </c>
      <c r="G48" s="356">
        <f>F48/'- 44 -'!$I48*100</f>
        <v>0.49945212015752338</v>
      </c>
      <c r="H48" s="355">
        <f>SUM(H11:H46)</f>
        <v>66160190</v>
      </c>
      <c r="I48" s="356">
        <f>H48/'- 44 -'!$I48*100</f>
        <v>3.2341816295915655</v>
      </c>
    </row>
    <row r="49" spans="1:9" ht="5.0999999999999996" customHeight="1">
      <c r="A49" s="25" t="s">
        <v>3</v>
      </c>
      <c r="B49" s="26"/>
      <c r="C49" s="343"/>
      <c r="D49" s="26"/>
      <c r="E49" s="343"/>
      <c r="F49" s="26"/>
      <c r="G49" s="343"/>
      <c r="H49" s="26"/>
      <c r="I49" s="343"/>
    </row>
    <row r="50" spans="1:9" ht="14.1" customHeight="1">
      <c r="A50" s="23" t="s">
        <v>260</v>
      </c>
      <c r="B50" s="24">
        <v>0</v>
      </c>
      <c r="C50" s="344">
        <f>B50/'- 44 -'!$I50*100</f>
        <v>0</v>
      </c>
      <c r="D50" s="24">
        <v>1791213</v>
      </c>
      <c r="E50" s="344">
        <f>D50/'- 44 -'!$I50*100</f>
        <v>55.472255557017981</v>
      </c>
      <c r="F50" s="24">
        <v>28000</v>
      </c>
      <c r="G50" s="344">
        <f>F50/'- 44 -'!$I50*100</f>
        <v>0.86713481623709943</v>
      </c>
      <c r="H50" s="24">
        <v>0</v>
      </c>
      <c r="I50" s="344">
        <f>H50/'- 44 -'!$I50*100</f>
        <v>0</v>
      </c>
    </row>
    <row r="51" spans="1:9" ht="14.1" customHeight="1">
      <c r="A51" s="351" t="s">
        <v>261</v>
      </c>
      <c r="B51" s="352">
        <v>0</v>
      </c>
      <c r="C51" s="353">
        <f>B51/'- 44 -'!$I51*100</f>
        <v>0</v>
      </c>
      <c r="D51" s="352">
        <v>0</v>
      </c>
      <c r="E51" s="353">
        <f>D51/'- 44 -'!$I51*100</f>
        <v>0</v>
      </c>
      <c r="F51" s="352">
        <v>1498965</v>
      </c>
      <c r="G51" s="353">
        <f>F51/'- 44 -'!$I51*100</f>
        <v>8.037676402026829</v>
      </c>
      <c r="H51" s="352">
        <v>0</v>
      </c>
      <c r="I51" s="353">
        <f>H51/'- 44 -'!$I51*100</f>
        <v>0</v>
      </c>
    </row>
    <row r="52" spans="1:9" ht="50.1" customHeight="1">
      <c r="A52" s="27"/>
      <c r="B52" s="27"/>
      <c r="C52" s="27"/>
      <c r="D52" s="27"/>
      <c r="E52" s="27"/>
      <c r="F52" s="27"/>
      <c r="G52" s="27"/>
      <c r="H52" s="27"/>
      <c r="I52" s="27"/>
    </row>
    <row r="53" spans="1:9" ht="14.45" customHeight="1">
      <c r="A53" s="322" t="str">
        <f>"(1)  Municipal Government revenue is net of "&amp;"$"&amp;TEXT('- 42 -'!C48,"00,0")&amp;" in Education Property Tax Credit (EPTC) revenue paid directly to school divisions. See"</f>
        <v>(1)  Municipal Government revenue is net of $192,649,472 in Education Property Tax Credit (EPTC) revenue paid directly to school divisions. See</v>
      </c>
      <c r="D53" s="39"/>
      <c r="E53" s="254"/>
      <c r="F53" s="254"/>
      <c r="G53" s="254"/>
      <c r="H53" s="254"/>
      <c r="I53" s="254"/>
    </row>
    <row r="54" spans="1:9" ht="12" customHeight="1">
      <c r="A54" s="1" t="s">
        <v>580</v>
      </c>
    </row>
    <row r="55" spans="1:9" ht="14.45" customHeight="1"/>
    <row r="56" spans="1:9" ht="14.45" customHeight="1"/>
    <row r="57" spans="1:9" ht="14.45" customHeight="1"/>
    <row r="58" spans="1:9" ht="14.45" customHeight="1"/>
    <row r="59" spans="1:9" ht="14.45" customHeight="1"/>
  </sheetData>
  <phoneticPr fontId="0" type="noConversion"/>
  <printOptions horizontalCentered="1"/>
  <pageMargins left="0.51181102362204722" right="0.51181102362204722" top="0.59055118110236227" bottom="0" header="0.31496062992125984" footer="0"/>
  <pageSetup scale="85" orientation="portrait" r:id="rId1"/>
  <headerFooter alignWithMargins="0">
    <oddHeader>&amp;C&amp;"Arial,Bold"&amp;10&amp;A</oddHeader>
  </headerFooter>
</worksheet>
</file>

<file path=xl/worksheets/sheet39.xml><?xml version="1.0" encoding="utf-8"?>
<worksheet xmlns="http://schemas.openxmlformats.org/spreadsheetml/2006/main" xmlns:r="http://schemas.openxmlformats.org/officeDocument/2006/relationships">
  <sheetPr codeName="Sheet38"/>
  <dimension ref="A1:I65536"/>
  <sheetViews>
    <sheetView showGridLines="0" showZeros="0" workbookViewId="0"/>
  </sheetViews>
  <sheetFormatPr defaultColWidth="15.83203125" defaultRowHeight="12"/>
  <cols>
    <col min="1" max="1" width="33.83203125" style="1" customWidth="1"/>
    <col min="2" max="2" width="16.83203125" style="1" customWidth="1"/>
    <col min="3" max="3" width="8.83203125" style="1" customWidth="1"/>
    <col min="4" max="4" width="15.83203125" style="1"/>
    <col min="5" max="5" width="8.83203125" style="1" customWidth="1"/>
    <col min="6" max="6" width="15.83203125" style="1"/>
    <col min="7" max="7" width="8.83203125" style="1" customWidth="1"/>
    <col min="8" max="8" width="4.83203125" style="1" customWidth="1"/>
    <col min="9" max="9" width="19.83203125" style="1" customWidth="1"/>
    <col min="10" max="16384" width="15.83203125" style="1"/>
  </cols>
  <sheetData>
    <row r="1" spans="1:9" ht="6.95" customHeight="1">
      <c r="A1" s="3"/>
    </row>
    <row r="2" spans="1:9" ht="15.95" customHeight="1">
      <c r="A2" s="247"/>
      <c r="B2" s="72" t="s">
        <v>639</v>
      </c>
      <c r="C2" s="128"/>
      <c r="D2" s="128"/>
      <c r="E2" s="128"/>
      <c r="F2" s="128"/>
      <c r="G2" s="255"/>
      <c r="H2" s="129"/>
      <c r="I2" s="249" t="s">
        <v>5</v>
      </c>
    </row>
    <row r="3" spans="1:9" ht="15.95" customHeight="1">
      <c r="A3" s="244"/>
    </row>
    <row r="4" spans="1:9" ht="15.95" customHeight="1">
      <c r="B4" s="74"/>
      <c r="C4" s="4"/>
      <c r="D4" s="4"/>
      <c r="E4" s="4"/>
      <c r="F4" s="4"/>
      <c r="G4" s="4"/>
      <c r="H4" s="4"/>
      <c r="I4" s="4"/>
    </row>
    <row r="5" spans="1:9" ht="15.95" customHeight="1">
      <c r="B5" s="4"/>
      <c r="C5" s="4"/>
      <c r="D5" s="4"/>
      <c r="E5" s="4"/>
      <c r="F5" s="4"/>
      <c r="G5" s="4"/>
      <c r="H5" s="4"/>
      <c r="I5" s="4"/>
    </row>
    <row r="6" spans="1:9" ht="15.95" customHeight="1">
      <c r="B6" s="345" t="s">
        <v>97</v>
      </c>
      <c r="C6" s="347"/>
      <c r="D6" s="358"/>
      <c r="E6" s="358"/>
      <c r="F6" s="345" t="s">
        <v>54</v>
      </c>
      <c r="G6" s="347"/>
      <c r="H6" s="4"/>
      <c r="I6" s="435" t="s">
        <v>54</v>
      </c>
    </row>
    <row r="7" spans="1:9" ht="15.95" customHeight="1">
      <c r="B7" s="424" t="s">
        <v>102</v>
      </c>
      <c r="C7" s="433"/>
      <c r="D7" s="434"/>
      <c r="E7" s="434"/>
      <c r="F7" s="424" t="s">
        <v>103</v>
      </c>
      <c r="G7" s="433"/>
      <c r="H7" s="4"/>
      <c r="I7" s="436" t="s">
        <v>104</v>
      </c>
    </row>
    <row r="8" spans="1:9" ht="15.95" customHeight="1">
      <c r="A8" s="101"/>
      <c r="B8" s="349" t="s">
        <v>121</v>
      </c>
      <c r="C8" s="350"/>
      <c r="D8" s="349" t="s">
        <v>44</v>
      </c>
      <c r="E8" s="349"/>
      <c r="F8" s="348" t="s">
        <v>122</v>
      </c>
      <c r="G8" s="350"/>
      <c r="H8" s="4"/>
      <c r="I8" s="437" t="s">
        <v>117</v>
      </c>
    </row>
    <row r="9" spans="1:9" ht="15.95" customHeight="1">
      <c r="A9" s="35" t="s">
        <v>79</v>
      </c>
      <c r="B9" s="193" t="s">
        <v>122</v>
      </c>
      <c r="C9" s="245" t="s">
        <v>81</v>
      </c>
      <c r="D9" s="256" t="s">
        <v>122</v>
      </c>
      <c r="E9" s="256" t="s">
        <v>81</v>
      </c>
      <c r="F9" s="245" t="s">
        <v>122</v>
      </c>
      <c r="G9" s="256" t="s">
        <v>81</v>
      </c>
      <c r="H9" s="4"/>
      <c r="I9" s="256" t="s">
        <v>122</v>
      </c>
    </row>
    <row r="10" spans="1:9" ht="5.0999999999999996" customHeight="1">
      <c r="A10" s="37"/>
      <c r="B10" s="246"/>
      <c r="C10" s="246"/>
      <c r="D10" s="246"/>
      <c r="E10" s="246"/>
      <c r="F10" s="246"/>
      <c r="G10" s="3"/>
      <c r="H10" s="3"/>
      <c r="I10" s="246"/>
    </row>
    <row r="11" spans="1:9" ht="14.1" customHeight="1">
      <c r="A11" s="351" t="s">
        <v>224</v>
      </c>
      <c r="B11" s="352">
        <v>40900</v>
      </c>
      <c r="C11" s="353">
        <f>B11/I11*100</f>
        <v>0.25474834725002587</v>
      </c>
      <c r="D11" s="352">
        <v>73000</v>
      </c>
      <c r="E11" s="353">
        <f>D11/I11*100</f>
        <v>0.4546853141626378</v>
      </c>
      <c r="F11" s="352">
        <f>SUM('- 43 -'!$B11,'- 43 -'!$D11,'- 43 -'!$F11,'- 43 -'!$H11,B11,D11)</f>
        <v>5964497</v>
      </c>
      <c r="G11" s="353">
        <f>F11/I11*100</f>
        <v>37.150262907768635</v>
      </c>
      <c r="I11" s="352">
        <f>SUM('- 42 -'!$H11,F11)</f>
        <v>16055060</v>
      </c>
    </row>
    <row r="12" spans="1:9" ht="14.1" customHeight="1">
      <c r="A12" s="23" t="s">
        <v>225</v>
      </c>
      <c r="B12" s="24">
        <v>161066</v>
      </c>
      <c r="C12" s="344">
        <f t="shared" ref="C12:C46" si="0">B12/I12*100</f>
        <v>0.52998110124759401</v>
      </c>
      <c r="D12" s="24">
        <v>120752</v>
      </c>
      <c r="E12" s="344">
        <f t="shared" ref="E12:E48" si="1">D12/I12*100</f>
        <v>0.39732952912377212</v>
      </c>
      <c r="F12" s="24">
        <f>SUM('- 43 -'!$B12,'- 43 -'!$D12,'- 43 -'!$F12,'- 43 -'!$H12,B12,D12)</f>
        <v>9221128</v>
      </c>
      <c r="G12" s="344">
        <f t="shared" ref="G12:G48" si="2">F12/I12*100</f>
        <v>30.341745447114999</v>
      </c>
      <c r="I12" s="24">
        <f>SUM('- 42 -'!$H12,F12)</f>
        <v>30390895</v>
      </c>
    </row>
    <row r="13" spans="1:9" ht="14.1" customHeight="1">
      <c r="A13" s="351" t="s">
        <v>226</v>
      </c>
      <c r="B13" s="352">
        <v>627600</v>
      </c>
      <c r="C13" s="353">
        <f t="shared" si="0"/>
        <v>0.79559860047664932</v>
      </c>
      <c r="D13" s="352">
        <v>84800</v>
      </c>
      <c r="E13" s="353">
        <f t="shared" si="1"/>
        <v>0.10749961969474164</v>
      </c>
      <c r="F13" s="352">
        <f>SUM('- 43 -'!$B13,'- 43 -'!$D13,'- 43 -'!$F13,'- 43 -'!$H13,B13,D13)</f>
        <v>29726080</v>
      </c>
      <c r="G13" s="353">
        <f t="shared" si="2"/>
        <v>37.683281780842762</v>
      </c>
      <c r="I13" s="352">
        <f>SUM('- 42 -'!$H13,F13)</f>
        <v>78884000</v>
      </c>
    </row>
    <row r="14" spans="1:9" ht="14.1" customHeight="1">
      <c r="A14" s="23" t="s">
        <v>524</v>
      </c>
      <c r="B14" s="24">
        <v>70000</v>
      </c>
      <c r="C14" s="344">
        <f t="shared" si="0"/>
        <v>9.9148075824085871E-2</v>
      </c>
      <c r="D14" s="24">
        <v>5000</v>
      </c>
      <c r="E14" s="344">
        <f t="shared" si="1"/>
        <v>7.0820054160061338E-3</v>
      </c>
      <c r="F14" s="24">
        <f>SUM('- 43 -'!$B14,'- 43 -'!$D14,'- 43 -'!$F14,'- 43 -'!$H14,B14,D14)</f>
        <v>20350580</v>
      </c>
      <c r="G14" s="344">
        <f t="shared" si="2"/>
        <v>28.82458355577322</v>
      </c>
      <c r="I14" s="24">
        <f>SUM('- 42 -'!$H14,F14)</f>
        <v>70601471</v>
      </c>
    </row>
    <row r="15" spans="1:9" ht="14.1" customHeight="1">
      <c r="A15" s="351" t="s">
        <v>227</v>
      </c>
      <c r="B15" s="352">
        <v>29000</v>
      </c>
      <c r="C15" s="353">
        <f t="shared" si="0"/>
        <v>0.15200807383021661</v>
      </c>
      <c r="D15" s="352">
        <v>15000</v>
      </c>
      <c r="E15" s="353">
        <f t="shared" si="1"/>
        <v>7.8624865774249986E-2</v>
      </c>
      <c r="F15" s="352">
        <f>SUM('- 43 -'!$B15,'- 43 -'!$D15,'- 43 -'!$F15,'- 43 -'!$H15,B15,D15)</f>
        <v>6771048</v>
      </c>
      <c r="G15" s="353">
        <f t="shared" si="2"/>
        <v>35.491516010066917</v>
      </c>
      <c r="I15" s="352">
        <f>SUM('- 42 -'!$H15,F15)</f>
        <v>19077934</v>
      </c>
    </row>
    <row r="16" spans="1:9" ht="14.1" customHeight="1">
      <c r="A16" s="23" t="s">
        <v>228</v>
      </c>
      <c r="B16" s="24">
        <v>190358</v>
      </c>
      <c r="C16" s="344">
        <f t="shared" si="0"/>
        <v>1.4666071778987158</v>
      </c>
      <c r="D16" s="24">
        <v>37208</v>
      </c>
      <c r="E16" s="344">
        <f t="shared" si="1"/>
        <v>0.2866678567502044</v>
      </c>
      <c r="F16" s="24">
        <f>SUM('- 43 -'!$B16,'- 43 -'!$D16,'- 43 -'!$F16,'- 43 -'!$H16,B16,D16)</f>
        <v>3286756</v>
      </c>
      <c r="G16" s="344">
        <f t="shared" si="2"/>
        <v>25.322707433371178</v>
      </c>
      <c r="I16" s="24">
        <f>SUM('- 42 -'!$H16,F16)</f>
        <v>12979481</v>
      </c>
    </row>
    <row r="17" spans="1:9" ht="14.1" customHeight="1">
      <c r="A17" s="351" t="s">
        <v>229</v>
      </c>
      <c r="B17" s="352">
        <v>16600</v>
      </c>
      <c r="C17" s="353">
        <f t="shared" si="0"/>
        <v>9.9487209361003248E-2</v>
      </c>
      <c r="D17" s="352">
        <v>6000</v>
      </c>
      <c r="E17" s="353">
        <f t="shared" si="1"/>
        <v>3.5959232299157796E-2</v>
      </c>
      <c r="F17" s="352">
        <f>SUM('- 43 -'!$B17,'- 43 -'!$D17,'- 43 -'!$F17,'- 43 -'!$H17,B17,D17)</f>
        <v>7103428</v>
      </c>
      <c r="G17" s="353">
        <f t="shared" si="2"/>
        <v>42.572302928723651</v>
      </c>
      <c r="I17" s="352">
        <f>SUM('- 42 -'!$H17,F17)</f>
        <v>16685562</v>
      </c>
    </row>
    <row r="18" spans="1:9" ht="14.1" customHeight="1">
      <c r="A18" s="23" t="s">
        <v>230</v>
      </c>
      <c r="B18" s="24">
        <v>4419847</v>
      </c>
      <c r="C18" s="344">
        <f t="shared" si="0"/>
        <v>3.6741576078643661</v>
      </c>
      <c r="D18" s="24">
        <v>900000</v>
      </c>
      <c r="E18" s="344">
        <f t="shared" si="1"/>
        <v>0.74815753737130031</v>
      </c>
      <c r="F18" s="24">
        <f>SUM('- 43 -'!$B18,'- 43 -'!$D18,'- 43 -'!$F18,'- 43 -'!$H18,B18,D18)</f>
        <v>72203797</v>
      </c>
      <c r="G18" s="344">
        <f t="shared" si="2"/>
        <v>60.022016613752527</v>
      </c>
      <c r="I18" s="24">
        <f>SUM('- 42 -'!$H18,F18)</f>
        <v>120295520</v>
      </c>
    </row>
    <row r="19" spans="1:9" ht="14.1" customHeight="1">
      <c r="A19" s="351" t="s">
        <v>231</v>
      </c>
      <c r="B19" s="352">
        <v>0</v>
      </c>
      <c r="C19" s="353">
        <f t="shared" si="0"/>
        <v>0</v>
      </c>
      <c r="D19" s="352">
        <v>252000</v>
      </c>
      <c r="E19" s="353">
        <f t="shared" si="1"/>
        <v>0.62059622945432458</v>
      </c>
      <c r="F19" s="352">
        <f>SUM('- 43 -'!$B19,'- 43 -'!$D19,'- 43 -'!$F19,'- 43 -'!$H19,B19,D19)</f>
        <v>12533368</v>
      </c>
      <c r="G19" s="353">
        <f t="shared" si="2"/>
        <v>30.865717949061462</v>
      </c>
      <c r="I19" s="352">
        <f>SUM('- 42 -'!$H19,F19)</f>
        <v>40606112</v>
      </c>
    </row>
    <row r="20" spans="1:9" ht="14.1" customHeight="1">
      <c r="A20" s="23" t="s">
        <v>232</v>
      </c>
      <c r="B20" s="24">
        <v>322400</v>
      </c>
      <c r="C20" s="344">
        <f t="shared" si="0"/>
        <v>0.45828458847493858</v>
      </c>
      <c r="D20" s="24">
        <v>80500</v>
      </c>
      <c r="E20" s="344">
        <f t="shared" si="1"/>
        <v>0.1144289992935253</v>
      </c>
      <c r="F20" s="24">
        <f>SUM('- 43 -'!$B20,'- 43 -'!$D20,'- 43 -'!$F20,'- 43 -'!$H20,B20,D20)</f>
        <v>19983635</v>
      </c>
      <c r="G20" s="344">
        <f t="shared" si="2"/>
        <v>28.40630255027413</v>
      </c>
      <c r="I20" s="24">
        <f>SUM('- 42 -'!$H20,F20)</f>
        <v>70349300</v>
      </c>
    </row>
    <row r="21" spans="1:9" ht="14.1" customHeight="1">
      <c r="A21" s="351" t="s">
        <v>233</v>
      </c>
      <c r="B21" s="352">
        <v>224100</v>
      </c>
      <c r="C21" s="353">
        <f t="shared" si="0"/>
        <v>0.67960576194086431</v>
      </c>
      <c r="D21" s="352">
        <v>128820</v>
      </c>
      <c r="E21" s="353">
        <f t="shared" si="1"/>
        <v>0.39065959059893857</v>
      </c>
      <c r="F21" s="352">
        <f>SUM('- 43 -'!$B21,'- 43 -'!$D21,'- 43 -'!$F21,'- 43 -'!$H21,B21,D21)</f>
        <v>10529210</v>
      </c>
      <c r="G21" s="353">
        <f t="shared" si="2"/>
        <v>31.930887035633056</v>
      </c>
      <c r="I21" s="352">
        <f>SUM('- 42 -'!$H21,F21)</f>
        <v>32975000</v>
      </c>
    </row>
    <row r="22" spans="1:9" ht="14.1" customHeight="1">
      <c r="A22" s="23" t="s">
        <v>234</v>
      </c>
      <c r="B22" s="24">
        <v>160000</v>
      </c>
      <c r="C22" s="344">
        <f t="shared" si="0"/>
        <v>0.83075086638229023</v>
      </c>
      <c r="D22" s="24">
        <v>0</v>
      </c>
      <c r="E22" s="344">
        <f t="shared" si="1"/>
        <v>0</v>
      </c>
      <c r="F22" s="24">
        <f>SUM('- 43 -'!$B22,'- 43 -'!$D22,'- 43 -'!$F22,'- 43 -'!$H22,B22,D22)</f>
        <v>2874955</v>
      </c>
      <c r="G22" s="344">
        <f t="shared" si="2"/>
        <v>14.927320981625607</v>
      </c>
      <c r="I22" s="24">
        <f>SUM('- 42 -'!$H22,F22)</f>
        <v>19259685</v>
      </c>
    </row>
    <row r="23" spans="1:9" ht="14.1" customHeight="1">
      <c r="A23" s="351" t="s">
        <v>235</v>
      </c>
      <c r="B23" s="352">
        <v>232000</v>
      </c>
      <c r="C23" s="353">
        <f t="shared" si="0"/>
        <v>1.4680682499867115</v>
      </c>
      <c r="D23" s="352">
        <v>44000</v>
      </c>
      <c r="E23" s="353">
        <f t="shared" si="1"/>
        <v>0.27842673706644527</v>
      </c>
      <c r="F23" s="352">
        <f>SUM('- 43 -'!$B23,'- 43 -'!$D23,'- 43 -'!$F23,'- 43 -'!$H23,B23,D23)</f>
        <v>4290239</v>
      </c>
      <c r="G23" s="353">
        <f t="shared" si="2"/>
        <v>27.148119227391117</v>
      </c>
      <c r="I23" s="352">
        <f>SUM('- 42 -'!$H23,F23)</f>
        <v>15803080</v>
      </c>
    </row>
    <row r="24" spans="1:9" ht="14.1" customHeight="1">
      <c r="A24" s="23" t="s">
        <v>236</v>
      </c>
      <c r="B24" s="24">
        <v>388500</v>
      </c>
      <c r="C24" s="344">
        <f t="shared" si="0"/>
        <v>0.75249727406167655</v>
      </c>
      <c r="D24" s="24">
        <v>93500</v>
      </c>
      <c r="E24" s="344">
        <f t="shared" si="1"/>
        <v>0.1811029475540972</v>
      </c>
      <c r="F24" s="24">
        <f>SUM('- 43 -'!$B24,'- 43 -'!$D24,'- 43 -'!$F24,'- 43 -'!$H24,B24,D24)</f>
        <v>18417276</v>
      </c>
      <c r="G24" s="344">
        <f t="shared" si="2"/>
        <v>35.672972936014261</v>
      </c>
      <c r="I24" s="24">
        <f>SUM('- 42 -'!$H24,F24)</f>
        <v>51628094</v>
      </c>
    </row>
    <row r="25" spans="1:9" ht="14.1" customHeight="1">
      <c r="A25" s="351" t="s">
        <v>237</v>
      </c>
      <c r="B25" s="352">
        <v>1715270</v>
      </c>
      <c r="C25" s="353">
        <f t="shared" si="0"/>
        <v>1.1294004060934777</v>
      </c>
      <c r="D25" s="352">
        <v>100000</v>
      </c>
      <c r="E25" s="353">
        <f t="shared" si="1"/>
        <v>6.5843884991486912E-2</v>
      </c>
      <c r="F25" s="352">
        <f>SUM('- 43 -'!$B25,'- 43 -'!$D25,'- 43 -'!$F25,'- 43 -'!$H25,B25,D25)</f>
        <v>49531286</v>
      </c>
      <c r="G25" s="353">
        <f t="shared" si="2"/>
        <v>32.613322988644462</v>
      </c>
      <c r="I25" s="352">
        <f>SUM('- 42 -'!$H25,F25)</f>
        <v>151874392</v>
      </c>
    </row>
    <row r="26" spans="1:9" ht="14.1" customHeight="1">
      <c r="A26" s="23" t="s">
        <v>238</v>
      </c>
      <c r="B26" s="24">
        <v>547850</v>
      </c>
      <c r="C26" s="344">
        <f t="shared" si="0"/>
        <v>1.4631062997936188</v>
      </c>
      <c r="D26" s="24">
        <v>160000</v>
      </c>
      <c r="E26" s="344">
        <f t="shared" si="1"/>
        <v>0.42730128313768184</v>
      </c>
      <c r="F26" s="24">
        <f>SUM('- 43 -'!$B26,'- 43 -'!$D26,'- 43 -'!$F26,'- 43 -'!$H26,B26,D26)</f>
        <v>11298849</v>
      </c>
      <c r="G26" s="344">
        <f t="shared" si="2"/>
        <v>30.175079222993212</v>
      </c>
      <c r="I26" s="24">
        <f>SUM('- 42 -'!$H26,F26)</f>
        <v>37444306</v>
      </c>
    </row>
    <row r="27" spans="1:9" ht="14.1" customHeight="1">
      <c r="A27" s="351" t="s">
        <v>239</v>
      </c>
      <c r="B27" s="352">
        <v>181100</v>
      </c>
      <c r="C27" s="353">
        <f t="shared" si="0"/>
        <v>0.47150991795467068</v>
      </c>
      <c r="D27" s="352">
        <v>62500</v>
      </c>
      <c r="E27" s="353">
        <f t="shared" si="1"/>
        <v>0.16272429526320772</v>
      </c>
      <c r="F27" s="352">
        <f>SUM('- 43 -'!$B27,'- 43 -'!$D27,'- 43 -'!$F27,'- 43 -'!$H27,B27,D27)</f>
        <v>8232930</v>
      </c>
      <c r="G27" s="353">
        <f t="shared" si="2"/>
        <v>21.43516371522113</v>
      </c>
      <c r="I27" s="352">
        <f>SUM('- 42 -'!$H27,F27)</f>
        <v>38408524</v>
      </c>
    </row>
    <row r="28" spans="1:9" ht="14.1" customHeight="1">
      <c r="A28" s="23" t="s">
        <v>240</v>
      </c>
      <c r="B28" s="24">
        <v>0</v>
      </c>
      <c r="C28" s="344">
        <f t="shared" si="0"/>
        <v>0</v>
      </c>
      <c r="D28" s="24">
        <v>20000</v>
      </c>
      <c r="E28" s="344">
        <f t="shared" si="1"/>
        <v>7.7094972023969296E-2</v>
      </c>
      <c r="F28" s="24">
        <f>SUM('- 43 -'!$B28,'- 43 -'!$D28,'- 43 -'!$F28,'- 43 -'!$H28,B28,D28)</f>
        <v>12629146</v>
      </c>
      <c r="G28" s="344">
        <f t="shared" si="2"/>
        <v>48.682182877831181</v>
      </c>
      <c r="I28" s="24">
        <f>SUM('- 42 -'!$H28,F28)</f>
        <v>25942029</v>
      </c>
    </row>
    <row r="29" spans="1:9" ht="14.1" customHeight="1">
      <c r="A29" s="351" t="s">
        <v>241</v>
      </c>
      <c r="B29" s="352">
        <v>2271500</v>
      </c>
      <c r="C29" s="353">
        <f t="shared" si="0"/>
        <v>1.6310063856538759</v>
      </c>
      <c r="D29" s="352">
        <v>193500</v>
      </c>
      <c r="E29" s="353">
        <f t="shared" si="1"/>
        <v>0.13893891068634162</v>
      </c>
      <c r="F29" s="352">
        <f>SUM('- 43 -'!$B29,'- 43 -'!$D29,'- 43 -'!$F29,'- 43 -'!$H29,B29,D29)</f>
        <v>58244724</v>
      </c>
      <c r="G29" s="353">
        <f t="shared" si="2"/>
        <v>41.821490985977363</v>
      </c>
      <c r="I29" s="352">
        <f>SUM('- 42 -'!$H29,F29)</f>
        <v>139269841</v>
      </c>
    </row>
    <row r="30" spans="1:9" ht="14.1" customHeight="1">
      <c r="A30" s="23" t="s">
        <v>242</v>
      </c>
      <c r="B30" s="24">
        <v>0</v>
      </c>
      <c r="C30" s="344">
        <f t="shared" si="0"/>
        <v>0</v>
      </c>
      <c r="D30" s="24">
        <v>48200</v>
      </c>
      <c r="E30" s="344">
        <f t="shared" si="1"/>
        <v>0.3610052333026279</v>
      </c>
      <c r="F30" s="24">
        <f>SUM('- 43 -'!$B30,'- 43 -'!$D30,'- 43 -'!$F30,'- 43 -'!$H30,B30,D30)</f>
        <v>4438294</v>
      </c>
      <c r="G30" s="344">
        <f t="shared" si="2"/>
        <v>33.24164649244095</v>
      </c>
      <c r="I30" s="24">
        <f>SUM('- 42 -'!$H30,F30)</f>
        <v>13351607</v>
      </c>
    </row>
    <row r="31" spans="1:9" ht="14.1" customHeight="1">
      <c r="A31" s="351" t="s">
        <v>243</v>
      </c>
      <c r="B31" s="352">
        <v>5000</v>
      </c>
      <c r="C31" s="353">
        <f t="shared" si="0"/>
        <v>1.5055253684336738E-2</v>
      </c>
      <c r="D31" s="352">
        <v>28000</v>
      </c>
      <c r="E31" s="353">
        <f t="shared" si="1"/>
        <v>8.4309420632285734E-2</v>
      </c>
      <c r="F31" s="352">
        <f>SUM('- 43 -'!$B31,'- 43 -'!$D31,'- 43 -'!$F31,'- 43 -'!$H31,B31,D31)</f>
        <v>11559100</v>
      </c>
      <c r="G31" s="353">
        <f t="shared" si="2"/>
        <v>34.805036572523356</v>
      </c>
      <c r="I31" s="352">
        <f>SUM('- 42 -'!$H31,F31)</f>
        <v>33210998</v>
      </c>
    </row>
    <row r="32" spans="1:9" ht="14.1" customHeight="1">
      <c r="A32" s="23" t="s">
        <v>244</v>
      </c>
      <c r="B32" s="24">
        <v>5550</v>
      </c>
      <c r="C32" s="344">
        <f t="shared" si="0"/>
        <v>2.195964639983863E-2</v>
      </c>
      <c r="D32" s="24">
        <v>75000</v>
      </c>
      <c r="E32" s="344">
        <f t="shared" si="1"/>
        <v>0.29675197837619771</v>
      </c>
      <c r="F32" s="24">
        <f>SUM('- 43 -'!$B32,'- 43 -'!$D32,'- 43 -'!$F32,'- 43 -'!$H32,B32,D32)</f>
        <v>8918149</v>
      </c>
      <c r="G32" s="344">
        <f t="shared" si="2"/>
        <v>35.286378122716123</v>
      </c>
      <c r="I32" s="24">
        <f>SUM('- 42 -'!$H32,F32)</f>
        <v>25273631</v>
      </c>
    </row>
    <row r="33" spans="1:9" ht="14.1" customHeight="1">
      <c r="A33" s="351" t="s">
        <v>245</v>
      </c>
      <c r="B33" s="352">
        <v>25000</v>
      </c>
      <c r="C33" s="353">
        <f t="shared" si="0"/>
        <v>9.4599260127834636E-2</v>
      </c>
      <c r="D33" s="352">
        <v>30000</v>
      </c>
      <c r="E33" s="353">
        <f t="shared" si="1"/>
        <v>0.11351911215340155</v>
      </c>
      <c r="F33" s="352">
        <f>SUM('- 43 -'!$B33,'- 43 -'!$D33,'- 43 -'!$F33,'- 43 -'!$H33,B33,D33)</f>
        <v>9221825</v>
      </c>
      <c r="G33" s="353">
        <f t="shared" si="2"/>
        <v>34.895112881134743</v>
      </c>
      <c r="I33" s="352">
        <f>SUM('- 42 -'!$H33,F33)</f>
        <v>26427268</v>
      </c>
    </row>
    <row r="34" spans="1:9" ht="14.1" customHeight="1">
      <c r="A34" s="23" t="s">
        <v>246</v>
      </c>
      <c r="B34" s="24">
        <v>137000</v>
      </c>
      <c r="C34" s="344">
        <f t="shared" si="0"/>
        <v>0.56248377726989096</v>
      </c>
      <c r="D34" s="24">
        <v>31775</v>
      </c>
      <c r="E34" s="344">
        <f t="shared" si="1"/>
        <v>0.13045928483759697</v>
      </c>
      <c r="F34" s="24">
        <f>SUM('- 43 -'!$B34,'- 43 -'!$D34,'- 43 -'!$F34,'- 43 -'!$H34,B34,D34)</f>
        <v>9264114</v>
      </c>
      <c r="G34" s="344">
        <f t="shared" si="2"/>
        <v>38.035867414444368</v>
      </c>
      <c r="I34" s="24">
        <f>SUM('- 42 -'!$H34,F34)</f>
        <v>24356258</v>
      </c>
    </row>
    <row r="35" spans="1:9" ht="14.1" customHeight="1">
      <c r="A35" s="351" t="s">
        <v>247</v>
      </c>
      <c r="B35" s="352">
        <v>735000</v>
      </c>
      <c r="C35" s="353">
        <f t="shared" si="0"/>
        <v>0.44207689578150861</v>
      </c>
      <c r="D35" s="352">
        <v>20000</v>
      </c>
      <c r="E35" s="353">
        <f t="shared" si="1"/>
        <v>1.2029303286571662E-2</v>
      </c>
      <c r="F35" s="352">
        <f>SUM('- 43 -'!$B35,'- 43 -'!$D35,'- 43 -'!$F35,'- 43 -'!$H35,B35,D35)</f>
        <v>49324432</v>
      </c>
      <c r="G35" s="353">
        <f t="shared" si="2"/>
        <v>29.666927598294023</v>
      </c>
      <c r="I35" s="352">
        <f>SUM('- 42 -'!$H35,F35)</f>
        <v>166260668</v>
      </c>
    </row>
    <row r="36" spans="1:9" ht="14.1" customHeight="1">
      <c r="A36" s="23" t="s">
        <v>248</v>
      </c>
      <c r="B36" s="24">
        <v>27250</v>
      </c>
      <c r="C36" s="344">
        <f t="shared" si="0"/>
        <v>0.12548605700244433</v>
      </c>
      <c r="D36" s="24">
        <v>38350</v>
      </c>
      <c r="E36" s="344">
        <f t="shared" si="1"/>
        <v>0.17660147838692625</v>
      </c>
      <c r="F36" s="24">
        <f>SUM('- 43 -'!$B36,'- 43 -'!$D36,'- 43 -'!$F36,'- 43 -'!$H36,B36,D36)</f>
        <v>8551166</v>
      </c>
      <c r="G36" s="344">
        <f t="shared" si="2"/>
        <v>39.378058866545459</v>
      </c>
      <c r="I36" s="24">
        <f>SUM('- 42 -'!$H36,F36)</f>
        <v>21715560</v>
      </c>
    </row>
    <row r="37" spans="1:9" ht="14.1" customHeight="1">
      <c r="A37" s="351" t="s">
        <v>249</v>
      </c>
      <c r="B37" s="352">
        <v>0</v>
      </c>
      <c r="C37" s="353">
        <f t="shared" si="0"/>
        <v>0</v>
      </c>
      <c r="D37" s="352">
        <v>68000</v>
      </c>
      <c r="E37" s="353">
        <f t="shared" si="1"/>
        <v>0.16649119800210563</v>
      </c>
      <c r="F37" s="352">
        <f>SUM('- 43 -'!$B37,'- 43 -'!$D37,'- 43 -'!$F37,'- 43 -'!$H37,B37,D37)</f>
        <v>10307083</v>
      </c>
      <c r="G37" s="353">
        <f t="shared" si="2"/>
        <v>25.235861714369662</v>
      </c>
      <c r="I37" s="352">
        <f>SUM('- 42 -'!$H37,F37)</f>
        <v>40843000</v>
      </c>
    </row>
    <row r="38" spans="1:9" ht="14.1" customHeight="1">
      <c r="A38" s="23" t="s">
        <v>250</v>
      </c>
      <c r="B38" s="24">
        <v>940600</v>
      </c>
      <c r="C38" s="344">
        <f t="shared" si="0"/>
        <v>0.8165440895611531</v>
      </c>
      <c r="D38" s="24">
        <v>52000</v>
      </c>
      <c r="E38" s="344">
        <f t="shared" si="1"/>
        <v>4.5141710245779246E-2</v>
      </c>
      <c r="F38" s="24">
        <f>SUM('- 43 -'!$B38,'- 43 -'!$D38,'- 43 -'!$F38,'- 43 -'!$H38,B38,D38)</f>
        <v>32206051</v>
      </c>
      <c r="G38" s="344">
        <f t="shared" si="2"/>
        <v>27.958388892361331</v>
      </c>
      <c r="I38" s="24">
        <f>SUM('- 42 -'!$H38,F38)</f>
        <v>115192800</v>
      </c>
    </row>
    <row r="39" spans="1:9" ht="14.1" customHeight="1">
      <c r="A39" s="351" t="s">
        <v>251</v>
      </c>
      <c r="B39" s="352">
        <v>0</v>
      </c>
      <c r="C39" s="353">
        <f t="shared" si="0"/>
        <v>0</v>
      </c>
      <c r="D39" s="352">
        <v>68500</v>
      </c>
      <c r="E39" s="353">
        <f t="shared" si="1"/>
        <v>0.33512411921064522</v>
      </c>
      <c r="F39" s="352">
        <f>SUM('- 43 -'!$B39,'- 43 -'!$D39,'- 43 -'!$F39,'- 43 -'!$H39,B39,D39)</f>
        <v>8645015</v>
      </c>
      <c r="G39" s="353">
        <f t="shared" si="2"/>
        <v>42.294204926099503</v>
      </c>
      <c r="I39" s="352">
        <f>SUM('- 42 -'!$H39,F39)</f>
        <v>20440188</v>
      </c>
    </row>
    <row r="40" spans="1:9" ht="14.1" customHeight="1">
      <c r="A40" s="23" t="s">
        <v>252</v>
      </c>
      <c r="B40" s="24">
        <v>2502200</v>
      </c>
      <c r="C40" s="344">
        <f t="shared" si="0"/>
        <v>2.6213568697139542</v>
      </c>
      <c r="D40" s="24">
        <v>839467</v>
      </c>
      <c r="E40" s="344">
        <f t="shared" si="1"/>
        <v>0.8794431249892749</v>
      </c>
      <c r="F40" s="24">
        <f>SUM('- 43 -'!$B40,'- 43 -'!$D40,'- 43 -'!$F40,'- 43 -'!$H40,B40,D40)</f>
        <v>38661346</v>
      </c>
      <c r="G40" s="344">
        <f t="shared" si="2"/>
        <v>40.502431831783269</v>
      </c>
      <c r="I40" s="24">
        <f>SUM('- 42 -'!$H40,F40)</f>
        <v>95454382</v>
      </c>
    </row>
    <row r="41" spans="1:9" ht="14.1" customHeight="1">
      <c r="A41" s="351" t="s">
        <v>253</v>
      </c>
      <c r="B41" s="352">
        <v>64584</v>
      </c>
      <c r="C41" s="353">
        <f t="shared" si="0"/>
        <v>0.10983036154432672</v>
      </c>
      <c r="D41" s="352">
        <v>60920</v>
      </c>
      <c r="E41" s="353">
        <f t="shared" si="1"/>
        <v>0.10359943059086436</v>
      </c>
      <c r="F41" s="352">
        <f>SUM('- 43 -'!$B41,'- 43 -'!$D41,'- 43 -'!$F41,'- 43 -'!$H41,B41,D41)</f>
        <v>21802895</v>
      </c>
      <c r="G41" s="353">
        <f t="shared" si="2"/>
        <v>37.077601891536496</v>
      </c>
      <c r="I41" s="352">
        <f>SUM('- 42 -'!$H41,F41)</f>
        <v>58803412</v>
      </c>
    </row>
    <row r="42" spans="1:9" ht="14.1" customHeight="1">
      <c r="A42" s="23" t="s">
        <v>254</v>
      </c>
      <c r="B42" s="24">
        <v>208400</v>
      </c>
      <c r="C42" s="344">
        <f t="shared" si="0"/>
        <v>1.040531653756801</v>
      </c>
      <c r="D42" s="24">
        <v>92500</v>
      </c>
      <c r="E42" s="344">
        <f t="shared" si="1"/>
        <v>0.46184826282391606</v>
      </c>
      <c r="F42" s="24">
        <f>SUM('- 43 -'!$B42,'- 43 -'!$D42,'- 43 -'!$F42,'- 43 -'!$H42,B42,D42)</f>
        <v>5248564</v>
      </c>
      <c r="G42" s="344">
        <f t="shared" si="2"/>
        <v>26.205839629406963</v>
      </c>
      <c r="I42" s="24">
        <f>SUM('- 42 -'!$H42,F42)</f>
        <v>20028223</v>
      </c>
    </row>
    <row r="43" spans="1:9" ht="14.1" customHeight="1">
      <c r="A43" s="351" t="s">
        <v>255</v>
      </c>
      <c r="B43" s="352">
        <v>87900</v>
      </c>
      <c r="C43" s="353">
        <f t="shared" si="0"/>
        <v>0.72968190766576924</v>
      </c>
      <c r="D43" s="352">
        <v>20492</v>
      </c>
      <c r="E43" s="353">
        <f t="shared" si="1"/>
        <v>0.17010968887243391</v>
      </c>
      <c r="F43" s="352">
        <f>SUM('- 43 -'!$B43,'- 43 -'!$D43,'- 43 -'!$F43,'- 43 -'!$H43,B43,D43)</f>
        <v>4517573</v>
      </c>
      <c r="G43" s="353">
        <f t="shared" si="2"/>
        <v>37.501607334008781</v>
      </c>
      <c r="I43" s="352">
        <f>SUM('- 42 -'!$H43,F43)</f>
        <v>12046345</v>
      </c>
    </row>
    <row r="44" spans="1:9" ht="14.1" customHeight="1">
      <c r="A44" s="23" t="s">
        <v>256</v>
      </c>
      <c r="B44" s="24">
        <v>0</v>
      </c>
      <c r="C44" s="344">
        <f t="shared" si="0"/>
        <v>0</v>
      </c>
      <c r="D44" s="24">
        <v>10500</v>
      </c>
      <c r="E44" s="344">
        <f t="shared" si="1"/>
        <v>0.10168208312306931</v>
      </c>
      <c r="F44" s="24">
        <f>SUM('- 43 -'!$B44,'- 43 -'!$D44,'- 43 -'!$F44,'- 43 -'!$H44,B44,D44)</f>
        <v>1971000</v>
      </c>
      <c r="G44" s="344">
        <f t="shared" si="2"/>
        <v>19.087179603387582</v>
      </c>
      <c r="I44" s="24">
        <f>SUM('- 42 -'!$H44,F44)</f>
        <v>10326303</v>
      </c>
    </row>
    <row r="45" spans="1:9" ht="14.1" customHeight="1">
      <c r="A45" s="351" t="s">
        <v>257</v>
      </c>
      <c r="B45" s="352">
        <v>316100</v>
      </c>
      <c r="C45" s="353">
        <f t="shared" si="0"/>
        <v>1.8468944916094256</v>
      </c>
      <c r="D45" s="352">
        <v>10600</v>
      </c>
      <c r="E45" s="353">
        <f t="shared" si="1"/>
        <v>6.1933190797405606E-2</v>
      </c>
      <c r="F45" s="352">
        <f>SUM('- 43 -'!$B45,'- 43 -'!$D45,'- 43 -'!$F45,'- 43 -'!$H45,B45,D45)</f>
        <v>5672466</v>
      </c>
      <c r="G45" s="353">
        <f t="shared" si="2"/>
        <v>33.142822553754357</v>
      </c>
      <c r="I45" s="352">
        <f>SUM('- 42 -'!$H45,F45)</f>
        <v>17115217</v>
      </c>
    </row>
    <row r="46" spans="1:9" ht="14.1" customHeight="1">
      <c r="A46" s="23" t="s">
        <v>258</v>
      </c>
      <c r="B46" s="24">
        <v>884500</v>
      </c>
      <c r="C46" s="344">
        <f t="shared" si="0"/>
        <v>0.2482607712054555</v>
      </c>
      <c r="D46" s="24">
        <v>625000</v>
      </c>
      <c r="E46" s="344">
        <f t="shared" si="1"/>
        <v>0.17542451328819636</v>
      </c>
      <c r="F46" s="24">
        <f>SUM('- 43 -'!$B46,'- 43 -'!$D46,'- 43 -'!$F46,'- 43 -'!$H46,B46,D46)</f>
        <v>126589707</v>
      </c>
      <c r="G46" s="344">
        <f t="shared" si="2"/>
        <v>35.531100380432619</v>
      </c>
      <c r="I46" s="24">
        <f>SUM('- 42 -'!$H46,F46)</f>
        <v>356278600</v>
      </c>
    </row>
    <row r="47" spans="1:9" ht="5.0999999999999996" customHeight="1">
      <c r="A47"/>
      <c r="B47"/>
      <c r="C47"/>
      <c r="D47"/>
      <c r="E47"/>
      <c r="F47"/>
      <c r="G47"/>
      <c r="I47"/>
    </row>
    <row r="48" spans="1:9" ht="14.1" customHeight="1">
      <c r="A48" s="354" t="s">
        <v>259</v>
      </c>
      <c r="B48" s="355">
        <f>SUM(B11:B46)</f>
        <v>17537175</v>
      </c>
      <c r="C48" s="356">
        <f>B48/I48*100</f>
        <v>0.85728909212522619</v>
      </c>
      <c r="D48" s="355">
        <f>SUM(D11:D46)</f>
        <v>4495884</v>
      </c>
      <c r="E48" s="356">
        <f t="shared" si="1"/>
        <v>0.219777262453065</v>
      </c>
      <c r="F48" s="355">
        <f>SUM(F11:F46)</f>
        <v>720091712</v>
      </c>
      <c r="G48" s="356">
        <f t="shared" si="2"/>
        <v>35.201038367204511</v>
      </c>
      <c r="I48" s="355">
        <f>SUM(I11:I46)</f>
        <v>2045654746</v>
      </c>
    </row>
    <row r="49" spans="1:9" ht="5.0999999999999996" customHeight="1">
      <c r="A49" s="25" t="s">
        <v>3</v>
      </c>
      <c r="B49" s="26"/>
      <c r="C49" s="343"/>
      <c r="D49" s="26"/>
      <c r="E49" s="343"/>
      <c r="F49" s="26"/>
      <c r="G49" s="343"/>
      <c r="I49" s="26"/>
    </row>
    <row r="50" spans="1:9" ht="14.1" customHeight="1">
      <c r="A50" s="23" t="s">
        <v>260</v>
      </c>
      <c r="B50" s="24">
        <v>0</v>
      </c>
      <c r="C50" s="344">
        <f>B50/I50*100</f>
        <v>0</v>
      </c>
      <c r="D50" s="24">
        <v>77746</v>
      </c>
      <c r="E50" s="344">
        <f>D50/I50*100</f>
        <v>2.407723693684626</v>
      </c>
      <c r="F50" s="24">
        <f>SUM('- 43 -'!$B50,'- 43 -'!$D50,'- 43 -'!$F50,'- 43 -'!$H50,B50,D50)</f>
        <v>1896959</v>
      </c>
      <c r="G50" s="344">
        <f>F50/I50*100</f>
        <v>58.747114066939709</v>
      </c>
      <c r="I50" s="24">
        <f>SUM('- 42 -'!$H50,F50)</f>
        <v>3229025</v>
      </c>
    </row>
    <row r="51" spans="1:9" ht="14.1" customHeight="1">
      <c r="A51" s="351" t="s">
        <v>261</v>
      </c>
      <c r="B51" s="352">
        <v>5267778</v>
      </c>
      <c r="C51" s="353">
        <f>B51/I51*100</f>
        <v>28.246620115690547</v>
      </c>
      <c r="D51" s="352">
        <v>219550</v>
      </c>
      <c r="E51" s="353">
        <f>D51/I51*100</f>
        <v>1.1772602122564504</v>
      </c>
      <c r="F51" s="352">
        <f>SUM('- 43 -'!$B51,'- 43 -'!$D51,'- 43 -'!$F51,'- 43 -'!$H51,B51,D51)</f>
        <v>6986293</v>
      </c>
      <c r="G51" s="353">
        <f>F51/I51*100</f>
        <v>37.461556729973829</v>
      </c>
      <c r="I51" s="352">
        <f>SUM('- 42 -'!$H51,F51)</f>
        <v>18649233</v>
      </c>
    </row>
    <row r="52" spans="1:9" ht="50.1" customHeight="1"/>
    <row r="53" spans="1:9" ht="14.45" customHeight="1">
      <c r="I53" s="91"/>
    </row>
    <row r="54" spans="1:9" ht="14.45" customHeight="1"/>
    <row r="55" spans="1:9" ht="14.45" customHeight="1"/>
    <row r="56" spans="1:9" ht="14.45" customHeight="1"/>
    <row r="57" spans="1:9" ht="14.45" customHeight="1"/>
    <row r="58" spans="1:9" ht="14.45" customHeight="1"/>
    <row r="59" spans="1:9" ht="14.45" customHeight="1"/>
    <row r="65536" spans="9:9">
      <c r="I65536" s="1">
        <v>0</v>
      </c>
    </row>
  </sheetData>
  <phoneticPr fontId="0" type="noConversion"/>
  <printOptions horizontalCentered="1"/>
  <pageMargins left="0.51181102362204722" right="0.51181102362204722" top="0.59055118110236227" bottom="0" header="0.31496062992125984" footer="0"/>
  <pageSetup scale="85" orientation="portrait" r:id="rId1"/>
  <headerFooter alignWithMargins="0">
    <oddHeader>&amp;C&amp;"Arial,Bold"&amp;10&amp;A</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I59"/>
  <sheetViews>
    <sheetView showGridLines="0" showZeros="0" workbookViewId="0"/>
  </sheetViews>
  <sheetFormatPr defaultColWidth="12.83203125" defaultRowHeight="12"/>
  <cols>
    <col min="1" max="1" width="29.83203125" style="1" customWidth="1"/>
    <col min="2" max="8" width="14.83203125" style="1" customWidth="1"/>
    <col min="9" max="9" width="15.83203125" style="1" customWidth="1"/>
    <col min="10" max="16384" width="12.83203125" style="1"/>
  </cols>
  <sheetData>
    <row r="1" spans="1:9" ht="6.95" customHeight="1">
      <c r="A1" s="3"/>
      <c r="B1" s="40"/>
      <c r="C1" s="40"/>
      <c r="D1" s="40"/>
      <c r="E1" s="40"/>
      <c r="F1" s="40"/>
      <c r="G1" s="40"/>
      <c r="H1" s="40"/>
      <c r="I1" s="40"/>
    </row>
    <row r="2" spans="1:9" ht="15.95" customHeight="1">
      <c r="A2" s="41"/>
      <c r="B2" s="42" t="s">
        <v>159</v>
      </c>
      <c r="C2" s="43"/>
      <c r="D2" s="43"/>
      <c r="E2" s="43"/>
      <c r="F2" s="43"/>
      <c r="G2" s="43"/>
      <c r="H2" s="44" t="s">
        <v>160</v>
      </c>
    </row>
    <row r="3" spans="1:9" ht="15.95" customHeight="1">
      <c r="A3" s="45"/>
      <c r="B3" s="106" t="s">
        <v>636</v>
      </c>
      <c r="C3" s="46"/>
      <c r="D3" s="47"/>
      <c r="E3" s="46"/>
      <c r="F3" s="47"/>
      <c r="G3" s="46"/>
      <c r="H3" s="48"/>
    </row>
    <row r="4" spans="1:9" ht="15.95" customHeight="1">
      <c r="B4" s="40"/>
      <c r="C4" s="40"/>
      <c r="D4" s="40"/>
      <c r="E4" s="40"/>
      <c r="F4" s="40"/>
      <c r="G4" s="49"/>
      <c r="H4" s="40"/>
      <c r="I4" s="40"/>
    </row>
    <row r="5" spans="1:9" ht="15.95" customHeight="1">
      <c r="B5" s="40"/>
      <c r="C5" s="40"/>
      <c r="D5" s="40"/>
      <c r="E5" s="40"/>
      <c r="F5" s="40"/>
      <c r="G5" s="40"/>
      <c r="H5" s="40"/>
      <c r="I5" s="40"/>
    </row>
    <row r="6" spans="1:9" ht="15.95" customHeight="1">
      <c r="B6" s="384" t="s">
        <v>49</v>
      </c>
      <c r="C6" s="383"/>
      <c r="D6" s="383"/>
      <c r="E6" s="383"/>
      <c r="F6" s="383"/>
      <c r="G6" s="383"/>
      <c r="H6" s="385"/>
    </row>
    <row r="7" spans="1:9" ht="15.95" customHeight="1">
      <c r="B7" s="50" t="s">
        <v>340</v>
      </c>
      <c r="C7" s="51"/>
      <c r="D7" s="51"/>
      <c r="E7" s="52" t="s">
        <v>341</v>
      </c>
      <c r="F7" s="51"/>
      <c r="G7" s="51"/>
      <c r="H7" s="53"/>
    </row>
    <row r="8" spans="1:9" ht="15.95" customHeight="1">
      <c r="A8" s="54"/>
      <c r="B8" s="55" t="s">
        <v>68</v>
      </c>
      <c r="C8" s="56" t="s">
        <v>3</v>
      </c>
      <c r="D8" s="57" t="s">
        <v>69</v>
      </c>
      <c r="E8" s="58" t="s">
        <v>68</v>
      </c>
      <c r="F8" s="56" t="s">
        <v>3</v>
      </c>
      <c r="G8" s="57" t="s">
        <v>69</v>
      </c>
      <c r="H8" s="59" t="s">
        <v>44</v>
      </c>
    </row>
    <row r="9" spans="1:9" ht="15.95" customHeight="1">
      <c r="A9" s="60" t="s">
        <v>79</v>
      </c>
      <c r="B9" s="61" t="s">
        <v>83</v>
      </c>
      <c r="C9" s="62" t="s">
        <v>32</v>
      </c>
      <c r="D9" s="62" t="s">
        <v>84</v>
      </c>
      <c r="E9" s="63" t="s">
        <v>83</v>
      </c>
      <c r="F9" s="62" t="s">
        <v>32</v>
      </c>
      <c r="G9" s="62" t="s">
        <v>84</v>
      </c>
      <c r="H9" s="64" t="s">
        <v>85</v>
      </c>
    </row>
    <row r="10" spans="1:9" ht="5.0999999999999996" customHeight="1">
      <c r="A10" s="37"/>
      <c r="B10" s="65"/>
      <c r="C10" s="65"/>
      <c r="D10" s="65"/>
      <c r="E10" s="65"/>
      <c r="F10" s="65"/>
      <c r="G10" s="65"/>
      <c r="H10" s="65"/>
    </row>
    <row r="11" spans="1:9" ht="14.1" customHeight="1">
      <c r="A11" s="351" t="s">
        <v>224</v>
      </c>
      <c r="B11" s="378">
        <v>1479</v>
      </c>
      <c r="C11" s="378">
        <v>0</v>
      </c>
      <c r="D11" s="386">
        <v>0</v>
      </c>
      <c r="E11" s="387">
        <v>0</v>
      </c>
      <c r="F11" s="378">
        <v>0</v>
      </c>
      <c r="G11" s="378">
        <v>0</v>
      </c>
      <c r="H11" s="378">
        <v>0</v>
      </c>
    </row>
    <row r="12" spans="1:9" ht="14.1" customHeight="1">
      <c r="A12" s="23" t="s">
        <v>225</v>
      </c>
      <c r="B12" s="66">
        <v>2168.54</v>
      </c>
      <c r="C12" s="66">
        <v>0</v>
      </c>
      <c r="D12" s="67">
        <v>0</v>
      </c>
      <c r="E12" s="68">
        <v>0</v>
      </c>
      <c r="F12" s="66">
        <v>0</v>
      </c>
      <c r="G12" s="66">
        <v>0</v>
      </c>
      <c r="H12" s="66">
        <v>0</v>
      </c>
    </row>
    <row r="13" spans="1:9" ht="14.1" customHeight="1">
      <c r="A13" s="351" t="s">
        <v>226</v>
      </c>
      <c r="B13" s="378">
        <v>5624</v>
      </c>
      <c r="C13" s="378">
        <v>0</v>
      </c>
      <c r="D13" s="386">
        <v>317</v>
      </c>
      <c r="E13" s="387">
        <v>1061</v>
      </c>
      <c r="F13" s="378">
        <v>0</v>
      </c>
      <c r="G13" s="378">
        <v>320</v>
      </c>
      <c r="H13" s="378">
        <v>0</v>
      </c>
    </row>
    <row r="14" spans="1:9" ht="14.1" customHeight="1">
      <c r="A14" s="23" t="s">
        <v>524</v>
      </c>
      <c r="B14" s="66">
        <v>0</v>
      </c>
      <c r="C14" s="66">
        <v>5040</v>
      </c>
      <c r="D14" s="67">
        <v>0</v>
      </c>
      <c r="E14" s="68">
        <v>0</v>
      </c>
      <c r="F14" s="66">
        <v>0</v>
      </c>
      <c r="G14" s="66">
        <v>0</v>
      </c>
      <c r="H14" s="66">
        <v>0</v>
      </c>
    </row>
    <row r="15" spans="1:9" ht="14.1" customHeight="1">
      <c r="A15" s="351" t="s">
        <v>227</v>
      </c>
      <c r="B15" s="378">
        <v>1494</v>
      </c>
      <c r="C15" s="378">
        <v>0</v>
      </c>
      <c r="D15" s="386">
        <v>0</v>
      </c>
      <c r="E15" s="387">
        <v>0</v>
      </c>
      <c r="F15" s="378">
        <v>0</v>
      </c>
      <c r="G15" s="378">
        <v>0</v>
      </c>
      <c r="H15" s="378">
        <v>0</v>
      </c>
    </row>
    <row r="16" spans="1:9" ht="14.1" customHeight="1">
      <c r="A16" s="23" t="s">
        <v>228</v>
      </c>
      <c r="B16" s="66">
        <v>592</v>
      </c>
      <c r="C16" s="66">
        <v>0</v>
      </c>
      <c r="D16" s="67">
        <v>0</v>
      </c>
      <c r="E16" s="68">
        <v>294</v>
      </c>
      <c r="F16" s="66">
        <v>0</v>
      </c>
      <c r="G16" s="66">
        <v>91.5</v>
      </c>
      <c r="H16" s="66">
        <v>0</v>
      </c>
    </row>
    <row r="17" spans="1:8" ht="14.1" customHeight="1">
      <c r="A17" s="351" t="s">
        <v>229</v>
      </c>
      <c r="B17" s="378">
        <v>1255.5</v>
      </c>
      <c r="C17" s="378">
        <v>0</v>
      </c>
      <c r="D17" s="386">
        <v>0</v>
      </c>
      <c r="E17" s="387">
        <v>0</v>
      </c>
      <c r="F17" s="378">
        <v>0</v>
      </c>
      <c r="G17" s="378">
        <v>0</v>
      </c>
      <c r="H17" s="378">
        <v>0</v>
      </c>
    </row>
    <row r="18" spans="1:8" ht="14.1" customHeight="1">
      <c r="A18" s="23" t="s">
        <v>230</v>
      </c>
      <c r="B18" s="66">
        <v>6323.5</v>
      </c>
      <c r="C18" s="66">
        <v>0</v>
      </c>
      <c r="D18" s="67">
        <v>0</v>
      </c>
      <c r="E18" s="68">
        <v>0</v>
      </c>
      <c r="F18" s="66">
        <v>0</v>
      </c>
      <c r="G18" s="66">
        <v>0</v>
      </c>
      <c r="H18" s="66">
        <v>0</v>
      </c>
    </row>
    <row r="19" spans="1:8" ht="14.1" customHeight="1">
      <c r="A19" s="351" t="s">
        <v>231</v>
      </c>
      <c r="B19" s="378">
        <v>4138</v>
      </c>
      <c r="C19" s="378">
        <v>0</v>
      </c>
      <c r="D19" s="386">
        <v>0</v>
      </c>
      <c r="E19" s="387">
        <v>0</v>
      </c>
      <c r="F19" s="378">
        <v>0</v>
      </c>
      <c r="G19" s="378">
        <v>0</v>
      </c>
      <c r="H19" s="378">
        <v>0</v>
      </c>
    </row>
    <row r="20" spans="1:8" ht="14.1" customHeight="1">
      <c r="A20" s="23" t="s">
        <v>232</v>
      </c>
      <c r="B20" s="66">
        <v>6957.2</v>
      </c>
      <c r="C20" s="66">
        <v>0</v>
      </c>
      <c r="D20" s="67">
        <v>0</v>
      </c>
      <c r="E20" s="68">
        <v>0</v>
      </c>
      <c r="F20" s="66">
        <v>0</v>
      </c>
      <c r="G20" s="66">
        <v>0</v>
      </c>
      <c r="H20" s="66">
        <v>0</v>
      </c>
    </row>
    <row r="21" spans="1:8" ht="14.1" customHeight="1">
      <c r="A21" s="351" t="s">
        <v>233</v>
      </c>
      <c r="B21" s="378">
        <v>2465.5</v>
      </c>
      <c r="C21" s="378">
        <v>0</v>
      </c>
      <c r="D21" s="386">
        <v>0</v>
      </c>
      <c r="E21" s="387">
        <v>211</v>
      </c>
      <c r="F21" s="378">
        <v>0</v>
      </c>
      <c r="G21" s="378">
        <v>113.5</v>
      </c>
      <c r="H21" s="378">
        <v>0</v>
      </c>
    </row>
    <row r="22" spans="1:8" ht="14.1" customHeight="1">
      <c r="A22" s="23" t="s">
        <v>234</v>
      </c>
      <c r="B22" s="66">
        <v>922</v>
      </c>
      <c r="C22" s="66">
        <v>0</v>
      </c>
      <c r="D22" s="67">
        <v>0</v>
      </c>
      <c r="E22" s="68">
        <v>552</v>
      </c>
      <c r="F22" s="66">
        <v>0</v>
      </c>
      <c r="G22" s="66">
        <v>140.5</v>
      </c>
      <c r="H22" s="66">
        <v>0</v>
      </c>
    </row>
    <row r="23" spans="1:8" ht="14.1" customHeight="1">
      <c r="A23" s="351" t="s">
        <v>235</v>
      </c>
      <c r="B23" s="378">
        <v>1171.5</v>
      </c>
      <c r="C23" s="378">
        <v>0</v>
      </c>
      <c r="D23" s="386">
        <v>0</v>
      </c>
      <c r="E23" s="387">
        <v>0</v>
      </c>
      <c r="F23" s="378">
        <v>0</v>
      </c>
      <c r="G23" s="378">
        <v>0</v>
      </c>
      <c r="H23" s="378">
        <v>0</v>
      </c>
    </row>
    <row r="24" spans="1:8" ht="14.1" customHeight="1">
      <c r="A24" s="23" t="s">
        <v>236</v>
      </c>
      <c r="B24" s="66">
        <v>2986.5</v>
      </c>
      <c r="C24" s="66">
        <v>0</v>
      </c>
      <c r="D24" s="67">
        <v>265.5</v>
      </c>
      <c r="E24" s="68">
        <v>499</v>
      </c>
      <c r="F24" s="66">
        <v>0</v>
      </c>
      <c r="G24" s="66">
        <v>99</v>
      </c>
      <c r="H24" s="66">
        <v>64</v>
      </c>
    </row>
    <row r="25" spans="1:8" ht="14.1" customHeight="1">
      <c r="A25" s="351" t="s">
        <v>237</v>
      </c>
      <c r="B25" s="378">
        <v>9438.5</v>
      </c>
      <c r="C25" s="378">
        <v>0</v>
      </c>
      <c r="D25" s="386">
        <v>3820.5</v>
      </c>
      <c r="E25" s="387">
        <v>0</v>
      </c>
      <c r="F25" s="378">
        <v>31</v>
      </c>
      <c r="G25" s="378">
        <v>148</v>
      </c>
      <c r="H25" s="378">
        <v>0</v>
      </c>
    </row>
    <row r="26" spans="1:8" ht="14.1" customHeight="1">
      <c r="A26" s="23" t="s">
        <v>238</v>
      </c>
      <c r="B26" s="66">
        <v>2282.5</v>
      </c>
      <c r="C26" s="66">
        <v>0</v>
      </c>
      <c r="D26" s="67">
        <v>200.5</v>
      </c>
      <c r="E26" s="68">
        <v>240</v>
      </c>
      <c r="F26" s="66">
        <v>0</v>
      </c>
      <c r="G26" s="66">
        <v>44</v>
      </c>
      <c r="H26" s="66">
        <v>79.5</v>
      </c>
    </row>
    <row r="27" spans="1:8" ht="14.1" customHeight="1">
      <c r="A27" s="351" t="s">
        <v>239</v>
      </c>
      <c r="B27" s="378">
        <v>2251</v>
      </c>
      <c r="C27" s="378">
        <v>0</v>
      </c>
      <c r="D27" s="386">
        <v>0</v>
      </c>
      <c r="E27" s="387">
        <v>95</v>
      </c>
      <c r="F27" s="378">
        <v>0</v>
      </c>
      <c r="G27" s="378">
        <v>237</v>
      </c>
      <c r="H27" s="378">
        <v>0</v>
      </c>
    </row>
    <row r="28" spans="1:8" ht="14.1" customHeight="1">
      <c r="A28" s="23" t="s">
        <v>240</v>
      </c>
      <c r="B28" s="66">
        <v>1955</v>
      </c>
      <c r="C28" s="66">
        <v>0</v>
      </c>
      <c r="D28" s="67">
        <v>0</v>
      </c>
      <c r="E28" s="68">
        <v>0</v>
      </c>
      <c r="F28" s="66">
        <v>0</v>
      </c>
      <c r="G28" s="66">
        <v>0</v>
      </c>
      <c r="H28" s="66">
        <v>0</v>
      </c>
    </row>
    <row r="29" spans="1:8" ht="14.1" customHeight="1">
      <c r="A29" s="351" t="s">
        <v>241</v>
      </c>
      <c r="B29" s="378">
        <v>7796.5</v>
      </c>
      <c r="C29" s="378">
        <v>0</v>
      </c>
      <c r="D29" s="386">
        <v>1310.5</v>
      </c>
      <c r="E29" s="387">
        <v>2082.5</v>
      </c>
      <c r="F29" s="378">
        <v>0</v>
      </c>
      <c r="G29" s="378">
        <v>954.5</v>
      </c>
      <c r="H29" s="378">
        <v>0</v>
      </c>
    </row>
    <row r="30" spans="1:8" ht="14.1" customHeight="1">
      <c r="A30" s="23" t="s">
        <v>242</v>
      </c>
      <c r="B30" s="66">
        <v>1073.5</v>
      </c>
      <c r="C30" s="66">
        <v>0</v>
      </c>
      <c r="D30" s="67">
        <v>0</v>
      </c>
      <c r="E30" s="68">
        <v>0</v>
      </c>
      <c r="F30" s="66">
        <v>0</v>
      </c>
      <c r="G30" s="66">
        <v>0</v>
      </c>
      <c r="H30" s="66">
        <v>0</v>
      </c>
    </row>
    <row r="31" spans="1:8" ht="14.1" customHeight="1">
      <c r="A31" s="351" t="s">
        <v>243</v>
      </c>
      <c r="B31" s="378">
        <v>2352</v>
      </c>
      <c r="C31" s="378">
        <v>0</v>
      </c>
      <c r="D31" s="386">
        <v>0</v>
      </c>
      <c r="E31" s="387">
        <v>501</v>
      </c>
      <c r="F31" s="378">
        <v>0</v>
      </c>
      <c r="G31" s="378">
        <v>232</v>
      </c>
      <c r="H31" s="378">
        <v>0</v>
      </c>
    </row>
    <row r="32" spans="1:8" ht="14.1" customHeight="1">
      <c r="A32" s="23" t="s">
        <v>244</v>
      </c>
      <c r="B32" s="66">
        <v>1740.9</v>
      </c>
      <c r="C32" s="66">
        <v>0</v>
      </c>
      <c r="D32" s="67">
        <v>85.5</v>
      </c>
      <c r="E32" s="68">
        <v>145</v>
      </c>
      <c r="F32" s="66">
        <v>0</v>
      </c>
      <c r="G32" s="66">
        <v>44</v>
      </c>
      <c r="H32" s="66">
        <v>0</v>
      </c>
    </row>
    <row r="33" spans="1:9" ht="14.1" customHeight="1">
      <c r="A33" s="351" t="s">
        <v>245</v>
      </c>
      <c r="B33" s="378">
        <v>1674.5</v>
      </c>
      <c r="C33" s="378">
        <v>0</v>
      </c>
      <c r="D33" s="386">
        <v>0</v>
      </c>
      <c r="E33" s="387">
        <v>114</v>
      </c>
      <c r="F33" s="378">
        <v>97</v>
      </c>
      <c r="G33" s="378">
        <v>74</v>
      </c>
      <c r="H33" s="378">
        <v>0</v>
      </c>
    </row>
    <row r="34" spans="1:9" ht="14.1" customHeight="1">
      <c r="A34" s="23" t="s">
        <v>246</v>
      </c>
      <c r="B34" s="66">
        <v>1658.6</v>
      </c>
      <c r="C34" s="66">
        <v>0</v>
      </c>
      <c r="D34" s="67">
        <v>178</v>
      </c>
      <c r="E34" s="68">
        <v>55.5</v>
      </c>
      <c r="F34" s="66">
        <v>82</v>
      </c>
      <c r="G34" s="66">
        <v>0</v>
      </c>
      <c r="H34" s="66">
        <v>0</v>
      </c>
    </row>
    <row r="35" spans="1:9" ht="14.1" customHeight="1">
      <c r="A35" s="351" t="s">
        <v>247</v>
      </c>
      <c r="B35" s="378">
        <v>9207</v>
      </c>
      <c r="C35" s="378">
        <v>0</v>
      </c>
      <c r="D35" s="386">
        <v>1122</v>
      </c>
      <c r="E35" s="387">
        <v>2663</v>
      </c>
      <c r="F35" s="378">
        <v>0</v>
      </c>
      <c r="G35" s="378">
        <v>1611</v>
      </c>
      <c r="H35" s="378">
        <v>446.5</v>
      </c>
    </row>
    <row r="36" spans="1:9" ht="14.1" customHeight="1">
      <c r="A36" s="23" t="s">
        <v>248</v>
      </c>
      <c r="B36" s="66">
        <v>1628.9</v>
      </c>
      <c r="C36" s="66">
        <v>0</v>
      </c>
      <c r="D36" s="67">
        <v>0</v>
      </c>
      <c r="E36" s="68">
        <v>0</v>
      </c>
      <c r="F36" s="66">
        <v>0</v>
      </c>
      <c r="G36" s="66">
        <v>0</v>
      </c>
      <c r="H36" s="66">
        <v>0</v>
      </c>
    </row>
    <row r="37" spans="1:9" ht="14.1" customHeight="1">
      <c r="A37" s="351" t="s">
        <v>249</v>
      </c>
      <c r="B37" s="378">
        <v>1834</v>
      </c>
      <c r="C37" s="378">
        <v>0</v>
      </c>
      <c r="D37" s="386">
        <v>663</v>
      </c>
      <c r="E37" s="387">
        <v>746.5</v>
      </c>
      <c r="F37" s="378">
        <v>0</v>
      </c>
      <c r="G37" s="378">
        <v>434</v>
      </c>
      <c r="H37" s="378">
        <v>0</v>
      </c>
    </row>
    <row r="38" spans="1:9" ht="14.1" customHeight="1">
      <c r="A38" s="23" t="s">
        <v>250</v>
      </c>
      <c r="B38" s="66">
        <v>5770.5</v>
      </c>
      <c r="C38" s="66">
        <v>0</v>
      </c>
      <c r="D38" s="67">
        <v>264.5</v>
      </c>
      <c r="E38" s="68">
        <v>3120.5</v>
      </c>
      <c r="F38" s="66">
        <v>0</v>
      </c>
      <c r="G38" s="66">
        <v>1074.5</v>
      </c>
      <c r="H38" s="66">
        <v>132</v>
      </c>
    </row>
    <row r="39" spans="1:9" ht="14.1" customHeight="1">
      <c r="A39" s="351" t="s">
        <v>251</v>
      </c>
      <c r="B39" s="378">
        <v>1518</v>
      </c>
      <c r="C39" s="378">
        <v>0</v>
      </c>
      <c r="D39" s="386">
        <v>0</v>
      </c>
      <c r="E39" s="387">
        <v>0</v>
      </c>
      <c r="F39" s="378">
        <v>0</v>
      </c>
      <c r="G39" s="378">
        <v>0</v>
      </c>
      <c r="H39" s="378">
        <v>0</v>
      </c>
    </row>
    <row r="40" spans="1:9" ht="14.1" customHeight="1">
      <c r="A40" s="23" t="s">
        <v>252</v>
      </c>
      <c r="B40" s="66">
        <v>5533.4</v>
      </c>
      <c r="C40" s="66">
        <v>0</v>
      </c>
      <c r="D40" s="67">
        <v>708.5</v>
      </c>
      <c r="E40" s="68">
        <v>932.4</v>
      </c>
      <c r="F40" s="66">
        <v>0</v>
      </c>
      <c r="G40" s="66">
        <v>577.4</v>
      </c>
      <c r="H40" s="66">
        <v>0</v>
      </c>
    </row>
    <row r="41" spans="1:9" ht="14.1" customHeight="1">
      <c r="A41" s="351" t="s">
        <v>253</v>
      </c>
      <c r="B41" s="378">
        <v>2242.5</v>
      </c>
      <c r="C41" s="378">
        <v>0</v>
      </c>
      <c r="D41" s="386">
        <v>0</v>
      </c>
      <c r="E41" s="387">
        <v>1584</v>
      </c>
      <c r="F41" s="378">
        <v>0</v>
      </c>
      <c r="G41" s="378">
        <v>613</v>
      </c>
      <c r="H41" s="378">
        <v>64</v>
      </c>
    </row>
    <row r="42" spans="1:9" ht="14.1" customHeight="1">
      <c r="A42" s="23" t="s">
        <v>254</v>
      </c>
      <c r="B42" s="66">
        <v>1109</v>
      </c>
      <c r="C42" s="66">
        <v>0</v>
      </c>
      <c r="D42" s="67">
        <v>0</v>
      </c>
      <c r="E42" s="68">
        <v>152</v>
      </c>
      <c r="F42" s="66">
        <v>0</v>
      </c>
      <c r="G42" s="66">
        <v>70</v>
      </c>
      <c r="H42" s="66">
        <v>0</v>
      </c>
    </row>
    <row r="43" spans="1:9" ht="14.1" customHeight="1">
      <c r="A43" s="351" t="s">
        <v>255</v>
      </c>
      <c r="B43" s="378">
        <v>949.125</v>
      </c>
      <c r="C43" s="378">
        <v>0</v>
      </c>
      <c r="D43" s="386">
        <v>0</v>
      </c>
      <c r="E43" s="387">
        <v>0</v>
      </c>
      <c r="F43" s="378">
        <v>0</v>
      </c>
      <c r="G43" s="378">
        <v>0</v>
      </c>
      <c r="H43" s="378">
        <v>0</v>
      </c>
    </row>
    <row r="44" spans="1:9" ht="14.1" customHeight="1">
      <c r="A44" s="23" t="s">
        <v>256</v>
      </c>
      <c r="B44" s="66">
        <v>702</v>
      </c>
      <c r="C44" s="66">
        <v>46</v>
      </c>
      <c r="D44" s="67">
        <v>0</v>
      </c>
      <c r="E44" s="68">
        <v>0</v>
      </c>
      <c r="F44" s="66">
        <v>0</v>
      </c>
      <c r="G44" s="66">
        <v>0</v>
      </c>
      <c r="H44" s="66">
        <v>0</v>
      </c>
    </row>
    <row r="45" spans="1:9" ht="14.1" customHeight="1">
      <c r="A45" s="351" t="s">
        <v>257</v>
      </c>
      <c r="B45" s="378">
        <v>743</v>
      </c>
      <c r="C45" s="378">
        <v>0</v>
      </c>
      <c r="D45" s="386">
        <v>0</v>
      </c>
      <c r="E45" s="387">
        <v>677</v>
      </c>
      <c r="F45" s="378">
        <v>201.5</v>
      </c>
      <c r="G45" s="378">
        <v>0</v>
      </c>
      <c r="H45" s="378">
        <v>0</v>
      </c>
    </row>
    <row r="46" spans="1:9" ht="14.1" customHeight="1">
      <c r="A46" s="23" t="s">
        <v>258</v>
      </c>
      <c r="B46" s="66">
        <v>23381.7</v>
      </c>
      <c r="C46" s="66">
        <v>0</v>
      </c>
      <c r="D46" s="67">
        <v>1068.5</v>
      </c>
      <c r="E46" s="68">
        <v>3080</v>
      </c>
      <c r="F46" s="66">
        <v>0</v>
      </c>
      <c r="G46" s="66">
        <v>2163.5</v>
      </c>
      <c r="H46" s="66">
        <v>178.5</v>
      </c>
    </row>
    <row r="47" spans="1:9" ht="5.0999999999999996" customHeight="1">
      <c r="A47"/>
      <c r="B47"/>
      <c r="C47"/>
      <c r="D47"/>
      <c r="E47"/>
      <c r="F47"/>
      <c r="G47"/>
      <c r="H47"/>
      <c r="I47"/>
    </row>
    <row r="48" spans="1:9" ht="14.1" customHeight="1">
      <c r="A48" s="354" t="s">
        <v>259</v>
      </c>
      <c r="B48" s="379">
        <f>SUM(B11:B46)</f>
        <v>124419.36499999999</v>
      </c>
      <c r="C48" s="379">
        <f t="shared" ref="C48:H48" si="0">SUM(C11:C46)</f>
        <v>5086</v>
      </c>
      <c r="D48" s="500">
        <f t="shared" si="0"/>
        <v>10004</v>
      </c>
      <c r="E48" s="499">
        <f t="shared" si="0"/>
        <v>18805.400000000001</v>
      </c>
      <c r="F48" s="379">
        <f t="shared" si="0"/>
        <v>411.5</v>
      </c>
      <c r="G48" s="379">
        <f t="shared" si="0"/>
        <v>9041.4</v>
      </c>
      <c r="H48" s="379">
        <f t="shared" si="0"/>
        <v>964.5</v>
      </c>
    </row>
    <row r="49" spans="1:9" ht="5.0999999999999996" customHeight="1">
      <c r="A49" s="25" t="s">
        <v>3</v>
      </c>
      <c r="B49" s="69"/>
      <c r="C49" s="69"/>
      <c r="D49" s="69"/>
      <c r="E49" s="69"/>
      <c r="F49" s="69"/>
      <c r="G49" s="69"/>
      <c r="H49" s="69"/>
    </row>
    <row r="50" spans="1:9" ht="14.1" customHeight="1">
      <c r="A50" s="23" t="s">
        <v>260</v>
      </c>
      <c r="B50" s="66">
        <v>181</v>
      </c>
      <c r="C50" s="66">
        <v>0</v>
      </c>
      <c r="D50" s="67">
        <v>0</v>
      </c>
      <c r="E50" s="68">
        <v>0</v>
      </c>
      <c r="F50" s="66">
        <v>0</v>
      </c>
      <c r="G50" s="66">
        <v>0</v>
      </c>
      <c r="H50" s="66">
        <v>0</v>
      </c>
    </row>
    <row r="51" spans="1:9" ht="14.1" customHeight="1">
      <c r="A51" s="351" t="s">
        <v>261</v>
      </c>
      <c r="B51" s="378">
        <v>56</v>
      </c>
      <c r="C51" s="378">
        <v>0</v>
      </c>
      <c r="D51" s="386">
        <v>0</v>
      </c>
      <c r="E51" s="387">
        <v>0</v>
      </c>
      <c r="F51" s="378">
        <v>0</v>
      </c>
      <c r="G51" s="378">
        <v>0</v>
      </c>
      <c r="H51" s="378">
        <v>0</v>
      </c>
    </row>
    <row r="52" spans="1:9" ht="50.1" customHeight="1">
      <c r="A52" s="27"/>
      <c r="B52" s="70"/>
      <c r="C52" s="70"/>
      <c r="D52" s="70"/>
      <c r="E52" s="70"/>
      <c r="F52" s="70"/>
      <c r="G52" s="70"/>
      <c r="H52" s="70"/>
      <c r="I52" s="65"/>
    </row>
    <row r="53" spans="1:9" ht="15" customHeight="1">
      <c r="A53" s="65" t="s">
        <v>559</v>
      </c>
      <c r="C53" s="65"/>
      <c r="D53" s="65"/>
      <c r="E53" s="65"/>
      <c r="F53" s="65"/>
      <c r="G53" s="65"/>
      <c r="H53" s="65"/>
      <c r="I53" s="65"/>
    </row>
    <row r="54" spans="1:9" ht="12" customHeight="1">
      <c r="A54" s="65" t="s">
        <v>560</v>
      </c>
      <c r="C54" s="65"/>
      <c r="D54" s="65"/>
      <c r="E54" s="65"/>
      <c r="F54" s="65"/>
      <c r="G54" s="65"/>
      <c r="H54" s="65"/>
      <c r="I54" s="65"/>
    </row>
    <row r="55" spans="1:9" ht="14.45" customHeight="1"/>
    <row r="56" spans="1:9" ht="14.45" customHeight="1"/>
    <row r="57" spans="1:9" ht="14.45" customHeight="1"/>
    <row r="58" spans="1:9" ht="14.45" customHeight="1"/>
    <row r="59" spans="1:9" ht="14.45" customHeight="1"/>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40.xml><?xml version="1.0" encoding="utf-8"?>
<worksheet xmlns="http://schemas.openxmlformats.org/spreadsheetml/2006/main" xmlns:r="http://schemas.openxmlformats.org/officeDocument/2006/relationships">
  <sheetPr codeName="Sheet41">
    <pageSetUpPr fitToPage="1"/>
  </sheetPr>
  <dimension ref="A1:C60"/>
  <sheetViews>
    <sheetView showGridLines="0" showZeros="0" workbookViewId="0"/>
  </sheetViews>
  <sheetFormatPr defaultColWidth="19.83203125" defaultRowHeight="12"/>
  <cols>
    <col min="1" max="1" width="38.83203125" style="1" customWidth="1"/>
    <col min="2" max="2" width="40.83203125" style="1" customWidth="1"/>
    <col min="3" max="3" width="53.83203125" style="1" customWidth="1"/>
    <col min="4" max="16384" width="19.83203125" style="1"/>
  </cols>
  <sheetData>
    <row r="1" spans="1:3" ht="6.95" customHeight="1">
      <c r="A1" s="3"/>
    </row>
    <row r="2" spans="1:3" ht="15.95" customHeight="1">
      <c r="A2" s="260" t="s">
        <v>526</v>
      </c>
      <c r="B2" s="260"/>
      <c r="C2" s="261"/>
    </row>
    <row r="3" spans="1:3" ht="15.95" customHeight="1">
      <c r="A3" s="262" t="s">
        <v>604</v>
      </c>
      <c r="B3" s="262"/>
      <c r="C3" s="263"/>
    </row>
    <row r="4" spans="1:3" ht="15.95" customHeight="1">
      <c r="B4" s="4"/>
    </row>
    <row r="5" spans="1:3" ht="15.95" customHeight="1">
      <c r="A5"/>
      <c r="B5"/>
      <c r="C5"/>
    </row>
    <row r="6" spans="1:3" ht="15.95" customHeight="1">
      <c r="A6"/>
      <c r="B6"/>
      <c r="C6"/>
    </row>
    <row r="7" spans="1:3" ht="15.95" customHeight="1">
      <c r="B7" s="367" t="s">
        <v>444</v>
      </c>
      <c r="C7"/>
    </row>
    <row r="8" spans="1:3" ht="15.95" customHeight="1">
      <c r="A8" s="324"/>
      <c r="B8" s="426" t="s">
        <v>525</v>
      </c>
      <c r="C8"/>
    </row>
    <row r="9" spans="1:3" ht="15.95" customHeight="1">
      <c r="A9" s="325" t="s">
        <v>79</v>
      </c>
      <c r="B9" s="370" t="s">
        <v>445</v>
      </c>
      <c r="C9"/>
    </row>
    <row r="10" spans="1:3" ht="5.0999999999999996" customHeight="1">
      <c r="A10" s="37"/>
      <c r="B10" s="246"/>
      <c r="C10"/>
    </row>
    <row r="11" spans="1:3" ht="14.1" customHeight="1">
      <c r="A11" s="351" t="s">
        <v>224</v>
      </c>
      <c r="B11" s="515">
        <v>145000</v>
      </c>
      <c r="C11"/>
    </row>
    <row r="12" spans="1:3" ht="14.1" customHeight="1">
      <c r="A12" s="23" t="s">
        <v>225</v>
      </c>
      <c r="B12" s="516">
        <v>350000</v>
      </c>
      <c r="C12"/>
    </row>
    <row r="13" spans="1:3" ht="14.1" customHeight="1">
      <c r="A13" s="351" t="s">
        <v>226</v>
      </c>
      <c r="B13" s="515">
        <v>354500</v>
      </c>
      <c r="C13"/>
    </row>
    <row r="14" spans="1:3" ht="14.1" customHeight="1">
      <c r="A14" s="23" t="s">
        <v>524</v>
      </c>
      <c r="B14" s="516">
        <v>650865</v>
      </c>
      <c r="C14"/>
    </row>
    <row r="15" spans="1:3" ht="14.1" customHeight="1">
      <c r="A15" s="351" t="s">
        <v>227</v>
      </c>
      <c r="B15" s="515">
        <v>331151</v>
      </c>
      <c r="C15"/>
    </row>
    <row r="16" spans="1:3" ht="14.1" customHeight="1">
      <c r="A16" s="23" t="s">
        <v>228</v>
      </c>
      <c r="B16" s="516">
        <v>240000</v>
      </c>
      <c r="C16"/>
    </row>
    <row r="17" spans="1:3" ht="14.1" customHeight="1">
      <c r="A17" s="351" t="s">
        <v>229</v>
      </c>
      <c r="B17" s="515">
        <v>180000</v>
      </c>
      <c r="C17"/>
    </row>
    <row r="18" spans="1:3" ht="14.1" customHeight="1">
      <c r="A18" s="23" t="s">
        <v>230</v>
      </c>
      <c r="B18" s="516">
        <v>650000</v>
      </c>
      <c r="C18"/>
    </row>
    <row r="19" spans="1:3" ht="14.1" customHeight="1">
      <c r="A19" s="351" t="s">
        <v>231</v>
      </c>
      <c r="B19" s="515">
        <v>1948000</v>
      </c>
      <c r="C19"/>
    </row>
    <row r="20" spans="1:3" ht="14.1" customHeight="1">
      <c r="A20" s="23" t="s">
        <v>232</v>
      </c>
      <c r="B20" s="516">
        <v>1651300</v>
      </c>
      <c r="C20"/>
    </row>
    <row r="21" spans="1:3" ht="14.1" customHeight="1">
      <c r="A21" s="351" t="s">
        <v>233</v>
      </c>
      <c r="B21" s="515">
        <v>50000</v>
      </c>
      <c r="C21"/>
    </row>
    <row r="22" spans="1:3" ht="14.1" customHeight="1">
      <c r="A22" s="23" t="s">
        <v>234</v>
      </c>
      <c r="B22" s="516">
        <v>110000</v>
      </c>
      <c r="C22"/>
    </row>
    <row r="23" spans="1:3" ht="14.1" customHeight="1">
      <c r="A23" s="351" t="s">
        <v>235</v>
      </c>
      <c r="B23" s="515">
        <v>200000</v>
      </c>
      <c r="C23"/>
    </row>
    <row r="24" spans="1:3" ht="14.1" customHeight="1">
      <c r="A24" s="23" t="s">
        <v>236</v>
      </c>
      <c r="B24" s="516">
        <v>390239</v>
      </c>
      <c r="C24"/>
    </row>
    <row r="25" spans="1:3" ht="14.1" customHeight="1">
      <c r="A25" s="351" t="s">
        <v>237</v>
      </c>
      <c r="B25" s="515">
        <v>509030</v>
      </c>
      <c r="C25"/>
    </row>
    <row r="26" spans="1:3" ht="14.1" customHeight="1">
      <c r="A26" s="23" t="s">
        <v>238</v>
      </c>
      <c r="B26" s="516">
        <v>657897</v>
      </c>
      <c r="C26"/>
    </row>
    <row r="27" spans="1:3" ht="14.1" customHeight="1">
      <c r="A27" s="351" t="s">
        <v>239</v>
      </c>
      <c r="B27" s="515">
        <v>90000</v>
      </c>
      <c r="C27"/>
    </row>
    <row r="28" spans="1:3" ht="14.1" customHeight="1">
      <c r="A28" s="23" t="s">
        <v>240</v>
      </c>
      <c r="B28" s="516">
        <v>187500</v>
      </c>
      <c r="C28"/>
    </row>
    <row r="29" spans="1:3" ht="14.1" customHeight="1">
      <c r="A29" s="351" t="s">
        <v>241</v>
      </c>
      <c r="B29" s="515">
        <v>100000</v>
      </c>
      <c r="C29"/>
    </row>
    <row r="30" spans="1:3" ht="14.1" customHeight="1">
      <c r="A30" s="23" t="s">
        <v>242</v>
      </c>
      <c r="B30" s="516">
        <v>190000</v>
      </c>
      <c r="C30"/>
    </row>
    <row r="31" spans="1:3" ht="14.1" customHeight="1">
      <c r="A31" s="351" t="s">
        <v>243</v>
      </c>
      <c r="B31" s="515">
        <v>1067000</v>
      </c>
      <c r="C31"/>
    </row>
    <row r="32" spans="1:3" ht="14.1" customHeight="1">
      <c r="A32" s="23" t="s">
        <v>244</v>
      </c>
      <c r="B32" s="516">
        <v>375100</v>
      </c>
      <c r="C32"/>
    </row>
    <row r="33" spans="1:3" ht="14.1" customHeight="1">
      <c r="A33" s="351" t="s">
        <v>245</v>
      </c>
      <c r="B33" s="515">
        <v>374868</v>
      </c>
      <c r="C33"/>
    </row>
    <row r="34" spans="1:3" ht="14.1" customHeight="1">
      <c r="A34" s="23" t="s">
        <v>246</v>
      </c>
      <c r="B34" s="516">
        <v>492392</v>
      </c>
      <c r="C34"/>
    </row>
    <row r="35" spans="1:3" ht="14.1" customHeight="1">
      <c r="A35" s="351" t="s">
        <v>247</v>
      </c>
      <c r="B35" s="515">
        <v>2614292</v>
      </c>
      <c r="C35"/>
    </row>
    <row r="36" spans="1:3" ht="14.1" customHeight="1">
      <c r="A36" s="23" t="s">
        <v>248</v>
      </c>
      <c r="B36" s="516">
        <v>387500</v>
      </c>
      <c r="C36"/>
    </row>
    <row r="37" spans="1:3" ht="14.1" customHeight="1">
      <c r="A37" s="351" t="s">
        <v>249</v>
      </c>
      <c r="B37" s="515">
        <v>433252</v>
      </c>
      <c r="C37"/>
    </row>
    <row r="38" spans="1:3" ht="14.1" customHeight="1">
      <c r="A38" s="23" t="s">
        <v>250</v>
      </c>
      <c r="B38" s="516">
        <v>1961000</v>
      </c>
      <c r="C38"/>
    </row>
    <row r="39" spans="1:3" ht="14.1" customHeight="1">
      <c r="A39" s="351" t="s">
        <v>251</v>
      </c>
      <c r="B39" s="515">
        <v>429000</v>
      </c>
      <c r="C39"/>
    </row>
    <row r="40" spans="1:3" ht="14.1" customHeight="1">
      <c r="A40" s="23" t="s">
        <v>252</v>
      </c>
      <c r="B40" s="516">
        <v>1104172</v>
      </c>
      <c r="C40"/>
    </row>
    <row r="41" spans="1:3" ht="14.1" customHeight="1">
      <c r="A41" s="351" t="s">
        <v>253</v>
      </c>
      <c r="B41" s="515">
        <v>1419841</v>
      </c>
      <c r="C41"/>
    </row>
    <row r="42" spans="1:3" ht="14.1" customHeight="1">
      <c r="A42" s="23" t="s">
        <v>254</v>
      </c>
      <c r="B42" s="516">
        <v>198000</v>
      </c>
      <c r="C42"/>
    </row>
    <row r="43" spans="1:3" ht="14.1" customHeight="1">
      <c r="A43" s="351" t="s">
        <v>255</v>
      </c>
      <c r="B43" s="515">
        <v>204000</v>
      </c>
      <c r="C43"/>
    </row>
    <row r="44" spans="1:3" ht="14.1" customHeight="1">
      <c r="A44" s="23" t="s">
        <v>256</v>
      </c>
      <c r="B44" s="516">
        <v>140000</v>
      </c>
      <c r="C44"/>
    </row>
    <row r="45" spans="1:3" ht="14.1" customHeight="1">
      <c r="A45" s="351" t="s">
        <v>257</v>
      </c>
      <c r="B45" s="515">
        <v>446100</v>
      </c>
      <c r="C45"/>
    </row>
    <row r="46" spans="1:3" ht="14.1" customHeight="1">
      <c r="A46" s="23" t="s">
        <v>258</v>
      </c>
      <c r="B46" s="516">
        <v>1476500</v>
      </c>
      <c r="C46"/>
    </row>
    <row r="47" spans="1:3" ht="5.0999999999999996" customHeight="1">
      <c r="A47"/>
      <c r="B47" s="517"/>
      <c r="C47"/>
    </row>
    <row r="48" spans="1:3" ht="14.1" customHeight="1">
      <c r="A48" s="354" t="s">
        <v>259</v>
      </c>
      <c r="B48" s="518">
        <f>SUM(B11:B46)</f>
        <v>22108499</v>
      </c>
      <c r="C48"/>
    </row>
    <row r="49" spans="1:3" ht="5.0999999999999996" customHeight="1">
      <c r="A49" s="25" t="s">
        <v>3</v>
      </c>
      <c r="B49" s="519"/>
      <c r="C49"/>
    </row>
    <row r="50" spans="1:3" ht="14.1" customHeight="1">
      <c r="A50" s="23" t="s">
        <v>260</v>
      </c>
      <c r="B50" s="516">
        <v>0</v>
      </c>
      <c r="C50"/>
    </row>
    <row r="51" spans="1:3" ht="14.1" customHeight="1">
      <c r="A51" s="351" t="s">
        <v>261</v>
      </c>
      <c r="B51" s="515">
        <v>342976</v>
      </c>
      <c r="C51"/>
    </row>
    <row r="52" spans="1:3" ht="14.1" customHeight="1">
      <c r="A52" s="314"/>
      <c r="B52" s="315"/>
      <c r="C52"/>
    </row>
    <row r="53" spans="1:3" ht="50.1" customHeight="1">
      <c r="A53" s="27"/>
      <c r="B53" s="27"/>
      <c r="C53" s="596"/>
    </row>
    <row r="54" spans="1:3" ht="14.45" customHeight="1">
      <c r="A54" s="154" t="s">
        <v>546</v>
      </c>
    </row>
    <row r="55" spans="1:3" ht="14.45" customHeight="1"/>
    <row r="56" spans="1:3" ht="14.45" customHeight="1"/>
    <row r="57" spans="1:3" ht="14.45" customHeight="1"/>
    <row r="58" spans="1:3" ht="14.45" customHeight="1"/>
    <row r="59" spans="1:3" ht="14.45" customHeight="1"/>
    <row r="60" spans="1:3" ht="14.45" customHeight="1"/>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41.xml><?xml version="1.0" encoding="utf-8"?>
<worksheet xmlns="http://schemas.openxmlformats.org/spreadsheetml/2006/main" xmlns:r="http://schemas.openxmlformats.org/officeDocument/2006/relationships">
  <sheetPr codeName="Sheet42">
    <pageSetUpPr fitToPage="1"/>
  </sheetPr>
  <dimension ref="A1:D59"/>
  <sheetViews>
    <sheetView showGridLines="0" showZeros="0" workbookViewId="0"/>
  </sheetViews>
  <sheetFormatPr defaultColWidth="15.83203125" defaultRowHeight="12"/>
  <cols>
    <col min="1" max="1" width="35.83203125" style="1" customWidth="1"/>
    <col min="2" max="3" width="25.83203125" style="1" customWidth="1"/>
    <col min="4" max="4" width="45.83203125" style="1" customWidth="1"/>
    <col min="5" max="16384" width="15.83203125" style="1"/>
  </cols>
  <sheetData>
    <row r="1" spans="1:4" ht="6.95" customHeight="1">
      <c r="A1" s="3"/>
    </row>
    <row r="2" spans="1:4" ht="17.100000000000001" customHeight="1">
      <c r="A2" s="316"/>
      <c r="B2" s="317" t="s">
        <v>504</v>
      </c>
      <c r="C2" s="161"/>
      <c r="D2" s="172"/>
    </row>
    <row r="3" spans="1:4" ht="15" customHeight="1">
      <c r="A3" s="318"/>
      <c r="B3" s="262" t="s">
        <v>623</v>
      </c>
      <c r="C3" s="176"/>
      <c r="D3" s="319"/>
    </row>
    <row r="4" spans="1:4" ht="15.95" customHeight="1">
      <c r="A4" s="159"/>
      <c r="B4" s="4"/>
      <c r="C4" s="74"/>
    </row>
    <row r="5" spans="1:4" ht="15.95" customHeight="1">
      <c r="A5" s="1" t="str">
        <f>REPLACE(A4,5,5,"")</f>
        <v/>
      </c>
      <c r="B5" s="4"/>
      <c r="C5" s="4"/>
    </row>
    <row r="6" spans="1:4" ht="15.95" customHeight="1">
      <c r="B6"/>
      <c r="C6"/>
    </row>
    <row r="7" spans="1:4" ht="15.95" customHeight="1">
      <c r="B7" s="441" t="s">
        <v>404</v>
      </c>
      <c r="C7" s="441"/>
    </row>
    <row r="8" spans="1:4" ht="15.95" customHeight="1">
      <c r="A8" s="101"/>
      <c r="B8" s="442" t="s">
        <v>109</v>
      </c>
      <c r="C8" s="442" t="s">
        <v>76</v>
      </c>
    </row>
    <row r="9" spans="1:4" ht="15.95" customHeight="1">
      <c r="A9" s="35" t="s">
        <v>79</v>
      </c>
      <c r="B9" s="443" t="s">
        <v>142</v>
      </c>
      <c r="C9" s="443" t="s">
        <v>405</v>
      </c>
    </row>
    <row r="10" spans="1:4" ht="5.0999999999999996" customHeight="1">
      <c r="A10" s="37"/>
      <c r="B10" s="246"/>
      <c r="C10" s="592">
        <v>1.136E-2</v>
      </c>
    </row>
    <row r="11" spans="1:4" ht="14.1" customHeight="1">
      <c r="A11" s="351" t="s">
        <v>224</v>
      </c>
      <c r="B11" s="352">
        <f>'- 48 -'!D11</f>
        <v>119161690</v>
      </c>
      <c r="C11" s="352">
        <f t="shared" ref="C11:C46" si="0">B11*C$10</f>
        <v>1353676.7984</v>
      </c>
    </row>
    <row r="12" spans="1:4" ht="14.1" customHeight="1">
      <c r="A12" s="23" t="s">
        <v>225</v>
      </c>
      <c r="B12" s="24">
        <f>'- 48 -'!D12</f>
        <v>151718530</v>
      </c>
      <c r="C12" s="24">
        <f t="shared" si="0"/>
        <v>1723522.5008</v>
      </c>
    </row>
    <row r="13" spans="1:4" ht="14.1" customHeight="1">
      <c r="A13" s="351" t="s">
        <v>226</v>
      </c>
      <c r="B13" s="352">
        <f>'- 48 -'!D13</f>
        <v>725679430</v>
      </c>
      <c r="C13" s="352">
        <f t="shared" si="0"/>
        <v>8243718.3248000005</v>
      </c>
    </row>
    <row r="14" spans="1:4" ht="14.1" customHeight="1">
      <c r="A14" s="23" t="s">
        <v>524</v>
      </c>
      <c r="B14" s="24">
        <f>'- 48 -'!D14</f>
        <v>0</v>
      </c>
      <c r="C14" s="24">
        <f t="shared" si="0"/>
        <v>0</v>
      </c>
    </row>
    <row r="15" spans="1:4" ht="14.1" customHeight="1">
      <c r="A15" s="351" t="s">
        <v>227</v>
      </c>
      <c r="B15" s="352">
        <f>'- 48 -'!D15</f>
        <v>102797270</v>
      </c>
      <c r="C15" s="352">
        <f t="shared" si="0"/>
        <v>1167776.9872000001</v>
      </c>
    </row>
    <row r="16" spans="1:4" ht="14.1" customHeight="1">
      <c r="A16" s="23" t="s">
        <v>228</v>
      </c>
      <c r="B16" s="24">
        <f>'- 48 -'!D16</f>
        <v>32255700</v>
      </c>
      <c r="C16" s="24">
        <f t="shared" si="0"/>
        <v>366424.75200000004</v>
      </c>
    </row>
    <row r="17" spans="1:3" ht="14.1" customHeight="1">
      <c r="A17" s="351" t="s">
        <v>229</v>
      </c>
      <c r="B17" s="352">
        <f>'- 48 -'!D17</f>
        <v>299186630</v>
      </c>
      <c r="C17" s="352">
        <f t="shared" si="0"/>
        <v>3398760.1168</v>
      </c>
    </row>
    <row r="18" spans="1:3" ht="14.1" customHeight="1">
      <c r="A18" s="23" t="s">
        <v>230</v>
      </c>
      <c r="B18" s="24">
        <f>'- 48 -'!D18</f>
        <v>59566410</v>
      </c>
      <c r="C18" s="24">
        <f t="shared" si="0"/>
        <v>676674.41760000004</v>
      </c>
    </row>
    <row r="19" spans="1:3" ht="14.1" customHeight="1">
      <c r="A19" s="351" t="s">
        <v>231</v>
      </c>
      <c r="B19" s="352">
        <f>'- 48 -'!D19</f>
        <v>205916530</v>
      </c>
      <c r="C19" s="352">
        <f t="shared" si="0"/>
        <v>2339211.7807999998</v>
      </c>
    </row>
    <row r="20" spans="1:3" ht="14.1" customHeight="1">
      <c r="A20" s="23" t="s">
        <v>232</v>
      </c>
      <c r="B20" s="24">
        <f>'- 48 -'!D20</f>
        <v>298689930</v>
      </c>
      <c r="C20" s="24">
        <f t="shared" si="0"/>
        <v>3393117.6048000003</v>
      </c>
    </row>
    <row r="21" spans="1:3" ht="14.1" customHeight="1">
      <c r="A21" s="351" t="s">
        <v>233</v>
      </c>
      <c r="B21" s="352">
        <f>'- 48 -'!D21</f>
        <v>190788230</v>
      </c>
      <c r="C21" s="352">
        <f t="shared" si="0"/>
        <v>2167354.2927999999</v>
      </c>
    </row>
    <row r="22" spans="1:3" ht="14.1" customHeight="1">
      <c r="A22" s="23" t="s">
        <v>234</v>
      </c>
      <c r="B22" s="24">
        <f>'- 48 -'!D22</f>
        <v>57484280</v>
      </c>
      <c r="C22" s="24">
        <f t="shared" si="0"/>
        <v>653021.42079999996</v>
      </c>
    </row>
    <row r="23" spans="1:3" ht="14.1" customHeight="1">
      <c r="A23" s="351" t="s">
        <v>235</v>
      </c>
      <c r="B23" s="352">
        <f>'- 48 -'!D23</f>
        <v>26026320</v>
      </c>
      <c r="C23" s="352">
        <f t="shared" si="0"/>
        <v>295658.9952</v>
      </c>
    </row>
    <row r="24" spans="1:3" ht="14.1" customHeight="1">
      <c r="A24" s="23" t="s">
        <v>236</v>
      </c>
      <c r="B24" s="24">
        <f>'- 48 -'!D24</f>
        <v>195060820</v>
      </c>
      <c r="C24" s="24">
        <f t="shared" si="0"/>
        <v>2215890.9152000002</v>
      </c>
    </row>
    <row r="25" spans="1:3" ht="14.1" customHeight="1">
      <c r="A25" s="351" t="s">
        <v>237</v>
      </c>
      <c r="B25" s="352">
        <f>'- 48 -'!D25</f>
        <v>971061450</v>
      </c>
      <c r="C25" s="352">
        <f t="shared" si="0"/>
        <v>11031258.072000001</v>
      </c>
    </row>
    <row r="26" spans="1:3" ht="14.1" customHeight="1">
      <c r="A26" s="23" t="s">
        <v>238</v>
      </c>
      <c r="B26" s="24">
        <f>'- 48 -'!D26</f>
        <v>115078110</v>
      </c>
      <c r="C26" s="24">
        <f t="shared" si="0"/>
        <v>1307287.3296000001</v>
      </c>
    </row>
    <row r="27" spans="1:3" ht="14.1" customHeight="1">
      <c r="A27" s="351" t="s">
        <v>239</v>
      </c>
      <c r="B27" s="352">
        <f>'- 48 -'!D27</f>
        <v>109588750</v>
      </c>
      <c r="C27" s="352">
        <f t="shared" si="0"/>
        <v>1244928.2</v>
      </c>
    </row>
    <row r="28" spans="1:3" ht="14.1" customHeight="1">
      <c r="A28" s="23" t="s">
        <v>240</v>
      </c>
      <c r="B28" s="24">
        <f>'- 48 -'!D28</f>
        <v>157289940</v>
      </c>
      <c r="C28" s="24">
        <f t="shared" si="0"/>
        <v>1786813.7184000001</v>
      </c>
    </row>
    <row r="29" spans="1:3" ht="14.1" customHeight="1">
      <c r="A29" s="351" t="s">
        <v>241</v>
      </c>
      <c r="B29" s="352">
        <f>'- 48 -'!D29</f>
        <v>1001454400</v>
      </c>
      <c r="C29" s="352">
        <f t="shared" si="0"/>
        <v>11376521.984000001</v>
      </c>
    </row>
    <row r="30" spans="1:3" ht="14.1" customHeight="1">
      <c r="A30" s="23" t="s">
        <v>242</v>
      </c>
      <c r="B30" s="24">
        <f>'- 48 -'!D30</f>
        <v>79441250</v>
      </c>
      <c r="C30" s="24">
        <f t="shared" si="0"/>
        <v>902452.6</v>
      </c>
    </row>
    <row r="31" spans="1:3" ht="14.1" customHeight="1">
      <c r="A31" s="351" t="s">
        <v>243</v>
      </c>
      <c r="B31" s="352">
        <f>'- 48 -'!D31</f>
        <v>283655730</v>
      </c>
      <c r="C31" s="352">
        <f t="shared" si="0"/>
        <v>3222329.0928000002</v>
      </c>
    </row>
    <row r="32" spans="1:3" ht="14.1" customHeight="1">
      <c r="A32" s="23" t="s">
        <v>244</v>
      </c>
      <c r="B32" s="24">
        <f>'- 48 -'!D32</f>
        <v>113824370</v>
      </c>
      <c r="C32" s="24">
        <f t="shared" si="0"/>
        <v>1293044.8432</v>
      </c>
    </row>
    <row r="33" spans="1:4" ht="14.1" customHeight="1">
      <c r="A33" s="351" t="s">
        <v>245</v>
      </c>
      <c r="B33" s="352">
        <f>'- 48 -'!D33</f>
        <v>142000080</v>
      </c>
      <c r="C33" s="352">
        <f t="shared" si="0"/>
        <v>1613120.9088000001</v>
      </c>
    </row>
    <row r="34" spans="1:4" ht="14.1" customHeight="1">
      <c r="A34" s="23" t="s">
        <v>246</v>
      </c>
      <c r="B34" s="24">
        <f>'- 48 -'!D34</f>
        <v>186098960</v>
      </c>
      <c r="C34" s="24">
        <f t="shared" si="0"/>
        <v>2114084.1856</v>
      </c>
    </row>
    <row r="35" spans="1:4" ht="14.1" customHeight="1">
      <c r="A35" s="351" t="s">
        <v>247</v>
      </c>
      <c r="B35" s="352">
        <f>'- 48 -'!D35</f>
        <v>763131970</v>
      </c>
      <c r="C35" s="352">
        <f t="shared" si="0"/>
        <v>8669179.1792000011</v>
      </c>
    </row>
    <row r="36" spans="1:4" ht="14.1" customHeight="1">
      <c r="A36" s="23" t="s">
        <v>248</v>
      </c>
      <c r="B36" s="24">
        <f>'- 48 -'!D36</f>
        <v>154905820</v>
      </c>
      <c r="C36" s="24">
        <f t="shared" si="0"/>
        <v>1759730.1152000001</v>
      </c>
    </row>
    <row r="37" spans="1:4" ht="14.1" customHeight="1">
      <c r="A37" s="351" t="s">
        <v>249</v>
      </c>
      <c r="B37" s="352">
        <f>'- 48 -'!D37</f>
        <v>145322670</v>
      </c>
      <c r="C37" s="352">
        <f t="shared" si="0"/>
        <v>1650865.5312000001</v>
      </c>
    </row>
    <row r="38" spans="1:4" ht="14.1" customHeight="1">
      <c r="A38" s="23" t="s">
        <v>250</v>
      </c>
      <c r="B38" s="24">
        <f>'- 48 -'!D38</f>
        <v>299119410</v>
      </c>
      <c r="C38" s="24">
        <f t="shared" si="0"/>
        <v>3397996.4975999999</v>
      </c>
    </row>
    <row r="39" spans="1:4" ht="14.1" customHeight="1">
      <c r="A39" s="351" t="s">
        <v>251</v>
      </c>
      <c r="B39" s="352">
        <f>'- 48 -'!D39</f>
        <v>194050660</v>
      </c>
      <c r="C39" s="352">
        <f t="shared" si="0"/>
        <v>2204415.4975999999</v>
      </c>
    </row>
    <row r="40" spans="1:4" ht="14.1" customHeight="1">
      <c r="A40" s="23" t="s">
        <v>252</v>
      </c>
      <c r="B40" s="24">
        <f>'- 48 -'!D40</f>
        <v>1266910780</v>
      </c>
      <c r="C40" s="24">
        <f t="shared" si="0"/>
        <v>14392106.4608</v>
      </c>
    </row>
    <row r="41" spans="1:4" ht="14.1" customHeight="1">
      <c r="A41" s="351" t="s">
        <v>253</v>
      </c>
      <c r="B41" s="352">
        <f>'- 48 -'!D41</f>
        <v>295627730</v>
      </c>
      <c r="C41" s="352">
        <f t="shared" si="0"/>
        <v>3358331.0128000001</v>
      </c>
    </row>
    <row r="42" spans="1:4" ht="14.1" customHeight="1">
      <c r="A42" s="23" t="s">
        <v>254</v>
      </c>
      <c r="B42" s="24">
        <f>'- 48 -'!D42</f>
        <v>65182710</v>
      </c>
      <c r="C42" s="24">
        <f t="shared" si="0"/>
        <v>740475.58559999999</v>
      </c>
    </row>
    <row r="43" spans="1:4" ht="14.1" customHeight="1">
      <c r="A43" s="351" t="s">
        <v>255</v>
      </c>
      <c r="B43" s="352">
        <f>'- 48 -'!D43</f>
        <v>50137650</v>
      </c>
      <c r="C43" s="352">
        <f t="shared" si="0"/>
        <v>569563.70400000003</v>
      </c>
    </row>
    <row r="44" spans="1:4" ht="14.1" customHeight="1">
      <c r="A44" s="23" t="s">
        <v>256</v>
      </c>
      <c r="B44" s="24">
        <f>'- 48 -'!D44</f>
        <v>12870380</v>
      </c>
      <c r="C44" s="24">
        <f t="shared" si="0"/>
        <v>146207.51680000001</v>
      </c>
    </row>
    <row r="45" spans="1:4" ht="14.1" customHeight="1">
      <c r="A45" s="351" t="s">
        <v>257</v>
      </c>
      <c r="B45" s="352">
        <f>'- 48 -'!D45</f>
        <v>81154880</v>
      </c>
      <c r="C45" s="352">
        <f t="shared" si="0"/>
        <v>921919.43680000002</v>
      </c>
    </row>
    <row r="46" spans="1:4" ht="14.1" customHeight="1">
      <c r="A46" s="23" t="s">
        <v>258</v>
      </c>
      <c r="B46" s="24">
        <f>'- 48 -'!D46</f>
        <v>3680545670</v>
      </c>
      <c r="C46" s="24">
        <f t="shared" si="0"/>
        <v>41810998.8112</v>
      </c>
      <c r="D46"/>
    </row>
    <row r="47" spans="1:4" ht="6" customHeight="1">
      <c r="A47"/>
      <c r="B47"/>
      <c r="C47"/>
      <c r="D47"/>
    </row>
    <row r="48" spans="1:4" ht="14.1" customHeight="1">
      <c r="A48" s="354" t="s">
        <v>265</v>
      </c>
      <c r="B48" s="355">
        <f>SUM(B11:B46)</f>
        <v>12632785140</v>
      </c>
      <c r="C48" s="355">
        <f>SUM(C11:C46)</f>
        <v>143508439.1904</v>
      </c>
      <c r="D48"/>
    </row>
    <row r="49" spans="1:4" ht="6" customHeight="1">
      <c r="A49" s="25"/>
      <c r="B49" s="26"/>
      <c r="C49" s="26"/>
      <c r="D49"/>
    </row>
    <row r="50" spans="1:4" ht="14.1" customHeight="1">
      <c r="A50" s="23" t="s">
        <v>263</v>
      </c>
      <c r="B50" s="24">
        <f>'- 48 -'!D50</f>
        <v>3421900</v>
      </c>
      <c r="C50" s="24">
        <v>0</v>
      </c>
      <c r="D50"/>
    </row>
    <row r="51" spans="1:4" ht="14.1" customHeight="1">
      <c r="A51" s="351" t="s">
        <v>264</v>
      </c>
      <c r="B51" s="352">
        <f>'- 48 -'!D51</f>
        <v>44700560</v>
      </c>
      <c r="C51" s="352">
        <f>B51*C$10</f>
        <v>507798.3616</v>
      </c>
      <c r="D51"/>
    </row>
    <row r="52" spans="1:4" ht="6" customHeight="1">
      <c r="A52" s="154"/>
      <c r="B52" s="171"/>
      <c r="C52" s="171"/>
      <c r="D52"/>
    </row>
    <row r="53" spans="1:4" ht="14.45" customHeight="1">
      <c r="A53" s="354" t="s">
        <v>259</v>
      </c>
      <c r="B53" s="355">
        <f>SUM(B48,B50:B51)</f>
        <v>12680907600</v>
      </c>
      <c r="C53" s="355">
        <f>SUM(C48,C50:C51)</f>
        <v>144016237.55200002</v>
      </c>
      <c r="D53" s="595"/>
    </row>
    <row r="54" spans="1:4" ht="29.1" customHeight="1">
      <c r="A54" s="320"/>
      <c r="B54" s="320"/>
      <c r="C54" s="320"/>
      <c r="D54" s="27"/>
    </row>
    <row r="55" spans="1:4" ht="14.45" customHeight="1">
      <c r="A55" s="29" t="s">
        <v>617</v>
      </c>
      <c r="B55" s="39"/>
      <c r="C55" s="39"/>
      <c r="D55" s="39"/>
    </row>
    <row r="56" spans="1:4" ht="14.45" customHeight="1">
      <c r="A56" s="28"/>
      <c r="B56" s="39"/>
      <c r="C56" s="39"/>
      <c r="D56" s="39"/>
    </row>
    <row r="57" spans="1:4" ht="14.45" customHeight="1">
      <c r="A57" s="29"/>
      <c r="B57" s="39"/>
      <c r="C57" s="39"/>
      <c r="D57" s="39"/>
    </row>
    <row r="58" spans="1:4" ht="14.45" customHeight="1">
      <c r="B58" s="114"/>
      <c r="C58" s="114"/>
    </row>
    <row r="59" spans="1:4" ht="14.45" customHeight="1"/>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42.xml><?xml version="1.0" encoding="utf-8"?>
<worksheet xmlns="http://schemas.openxmlformats.org/spreadsheetml/2006/main" xmlns:r="http://schemas.openxmlformats.org/officeDocument/2006/relationships">
  <sheetPr codeName="Sheet43">
    <pageSetUpPr fitToPage="1"/>
  </sheetPr>
  <dimension ref="A1:K57"/>
  <sheetViews>
    <sheetView showGridLines="0" showZeros="0" workbookViewId="0"/>
  </sheetViews>
  <sheetFormatPr defaultColWidth="15.83203125" defaultRowHeight="12"/>
  <cols>
    <col min="1" max="1" width="30.83203125" style="1" customWidth="1"/>
    <col min="2" max="2" width="18.83203125" style="1" customWidth="1"/>
    <col min="3" max="3" width="15.83203125" style="1"/>
    <col min="4" max="4" width="16.83203125" style="1" customWidth="1"/>
    <col min="5" max="5" width="17.83203125" style="1" customWidth="1"/>
    <col min="6" max="6" width="15.83203125" style="1"/>
    <col min="7" max="7" width="17.83203125" style="1" customWidth="1"/>
    <col min="8" max="8" width="15.83203125" style="1"/>
    <col min="9" max="9" width="21" style="1" hidden="1" customWidth="1"/>
    <col min="10" max="10" width="0" style="1" hidden="1" customWidth="1"/>
    <col min="11" max="16384" width="15.83203125" style="1"/>
  </cols>
  <sheetData>
    <row r="1" spans="1:11" ht="6.95" customHeight="1">
      <c r="A1" s="3"/>
    </row>
    <row r="2" spans="1:11" ht="15.95" customHeight="1">
      <c r="A2" s="260" t="s">
        <v>93</v>
      </c>
      <c r="B2" s="261"/>
      <c r="C2" s="261"/>
      <c r="D2" s="261"/>
      <c r="E2" s="261"/>
      <c r="F2" s="261"/>
      <c r="G2" s="261"/>
    </row>
    <row r="3" spans="1:11" ht="15.95" customHeight="1">
      <c r="A3" s="262" t="s">
        <v>623</v>
      </c>
      <c r="B3" s="263"/>
      <c r="C3" s="263"/>
      <c r="D3" s="263"/>
      <c r="E3" s="264"/>
      <c r="F3" s="264"/>
      <c r="G3" s="263"/>
    </row>
    <row r="4" spans="1:11" ht="15.95" customHeight="1">
      <c r="B4" s="4"/>
      <c r="C4" s="4"/>
      <c r="D4" s="4"/>
      <c r="E4" s="74"/>
      <c r="F4" s="74"/>
      <c r="G4" s="74"/>
    </row>
    <row r="5" spans="1:11" ht="15.95" customHeight="1">
      <c r="B5" s="4"/>
      <c r="C5" s="4"/>
      <c r="D5" s="4"/>
      <c r="E5" s="4"/>
      <c r="F5" s="4"/>
      <c r="G5" s="4"/>
    </row>
    <row r="6" spans="1:11" ht="15.95" customHeight="1">
      <c r="B6" s="245" t="s">
        <v>505</v>
      </c>
      <c r="C6" s="193"/>
      <c r="D6" s="193"/>
      <c r="E6" s="191"/>
      <c r="F6" s="4"/>
      <c r="G6" s="4"/>
      <c r="H6" s="156" t="s">
        <v>131</v>
      </c>
    </row>
    <row r="7" spans="1:11" ht="15.95" customHeight="1">
      <c r="B7" s="440" t="s">
        <v>106</v>
      </c>
      <c r="C7" s="440" t="s">
        <v>107</v>
      </c>
      <c r="D7" s="441"/>
      <c r="E7" s="367"/>
      <c r="F7" s="438"/>
      <c r="G7" s="367" t="s">
        <v>108</v>
      </c>
      <c r="H7" s="156" t="s">
        <v>122</v>
      </c>
    </row>
    <row r="8" spans="1:11" ht="15.95" customHeight="1">
      <c r="A8" s="32"/>
      <c r="B8" s="444" t="s">
        <v>128</v>
      </c>
      <c r="C8" s="444" t="s">
        <v>129</v>
      </c>
      <c r="D8" s="445" t="s">
        <v>3</v>
      </c>
      <c r="E8" s="446"/>
      <c r="F8" s="426" t="s">
        <v>108</v>
      </c>
      <c r="G8" s="426" t="s">
        <v>130</v>
      </c>
      <c r="H8" s="156" t="s">
        <v>202</v>
      </c>
    </row>
    <row r="9" spans="1:11" ht="15.95" customHeight="1">
      <c r="A9" s="265" t="s">
        <v>79</v>
      </c>
      <c r="B9" s="443" t="s">
        <v>141</v>
      </c>
      <c r="C9" s="443" t="s">
        <v>139</v>
      </c>
      <c r="D9" s="443" t="s">
        <v>142</v>
      </c>
      <c r="E9" s="370" t="s">
        <v>54</v>
      </c>
      <c r="F9" s="370" t="s">
        <v>374</v>
      </c>
      <c r="G9" s="370" t="s">
        <v>373</v>
      </c>
      <c r="H9" s="156" t="s">
        <v>203</v>
      </c>
    </row>
    <row r="10" spans="1:11" ht="5.0999999999999996" customHeight="1">
      <c r="A10" s="22"/>
      <c r="B10" s="246"/>
      <c r="C10" s="3"/>
      <c r="D10" s="246"/>
      <c r="E10" s="246"/>
      <c r="F10" s="3"/>
      <c r="G10" s="3"/>
    </row>
    <row r="11" spans="1:11" ht="14.1" customHeight="1">
      <c r="A11" s="351" t="s">
        <v>224</v>
      </c>
      <c r="B11" s="352">
        <v>195759120</v>
      </c>
      <c r="C11" s="352">
        <v>168696280</v>
      </c>
      <c r="D11" s="352">
        <v>119161690</v>
      </c>
      <c r="E11" s="352">
        <v>483617090</v>
      </c>
      <c r="F11" s="352">
        <f>'- 51 -'!C11</f>
        <v>7077000</v>
      </c>
      <c r="G11" s="353">
        <f t="shared" ref="G11:G46" si="0">F11/E11*1000</f>
        <v>14.633477902941767</v>
      </c>
      <c r="I11" s="259" t="str">
        <f>A11</f>
        <v xml:space="preserve"> BEAUTIFUL PLAINS</v>
      </c>
      <c r="J11" s="266">
        <f>G11</f>
        <v>14.633477902941767</v>
      </c>
      <c r="K11" s="1">
        <f>F11-'- 51 -'!C11</f>
        <v>0</v>
      </c>
    </row>
    <row r="12" spans="1:11" ht="14.1" customHeight="1">
      <c r="A12" s="23" t="s">
        <v>225</v>
      </c>
      <c r="B12" s="24">
        <v>250236790</v>
      </c>
      <c r="C12" s="24">
        <v>187729890</v>
      </c>
      <c r="D12" s="24">
        <v>151718530</v>
      </c>
      <c r="E12" s="24">
        <v>589685210</v>
      </c>
      <c r="F12" s="24">
        <f>'- 51 -'!C12</f>
        <v>10525875</v>
      </c>
      <c r="G12" s="344">
        <f t="shared" si="0"/>
        <v>17.849989827623453</v>
      </c>
      <c r="I12" s="259" t="str">
        <f>A12</f>
        <v xml:space="preserve"> BORDER LAND</v>
      </c>
      <c r="J12" s="266">
        <f>G12</f>
        <v>17.849989827623453</v>
      </c>
      <c r="K12" s="98">
        <f>F12-'- 51 -'!C12</f>
        <v>0</v>
      </c>
    </row>
    <row r="13" spans="1:11" ht="14.1" customHeight="1">
      <c r="A13" s="351" t="s">
        <v>226</v>
      </c>
      <c r="B13" s="352">
        <v>1473952450</v>
      </c>
      <c r="C13" s="352">
        <v>49599740</v>
      </c>
      <c r="D13" s="352">
        <v>725679430</v>
      </c>
      <c r="E13" s="352">
        <v>2249231620</v>
      </c>
      <c r="F13" s="352">
        <f>'- 51 -'!C13</f>
        <v>34590520</v>
      </c>
      <c r="G13" s="353">
        <f t="shared" si="0"/>
        <v>15.378816344401205</v>
      </c>
      <c r="I13" s="259" t="str">
        <f>A13</f>
        <v xml:space="preserve"> BRANDON</v>
      </c>
      <c r="J13" s="266">
        <f>G13</f>
        <v>15.378816344401205</v>
      </c>
      <c r="K13" s="1">
        <f>F13-'- 51 -'!C13</f>
        <v>0</v>
      </c>
    </row>
    <row r="14" spans="1:11" ht="14.1" customHeight="1">
      <c r="A14" s="23" t="s">
        <v>524</v>
      </c>
      <c r="B14" s="24"/>
      <c r="C14" s="24"/>
      <c r="D14" s="24"/>
      <c r="E14" s="24"/>
      <c r="F14" s="24">
        <f>'- 51 -'!C14</f>
        <v>0</v>
      </c>
      <c r="G14" s="344"/>
      <c r="I14" s="259" t="str">
        <f>A15</f>
        <v xml:space="preserve"> EVERGREEN</v>
      </c>
      <c r="J14" s="266">
        <f>G15</f>
        <v>10.715970197555372</v>
      </c>
      <c r="K14" s="1">
        <f>F14-'- 51 -'!C14</f>
        <v>0</v>
      </c>
    </row>
    <row r="15" spans="1:11" ht="14.1" customHeight="1">
      <c r="A15" s="351" t="s">
        <v>227</v>
      </c>
      <c r="B15" s="352">
        <v>610814600</v>
      </c>
      <c r="C15" s="352">
        <v>64180700</v>
      </c>
      <c r="D15" s="352">
        <v>102797270</v>
      </c>
      <c r="E15" s="352">
        <v>777792570</v>
      </c>
      <c r="F15" s="352">
        <f>'- 51 -'!C15</f>
        <v>8334802</v>
      </c>
      <c r="G15" s="353">
        <f t="shared" si="0"/>
        <v>10.715970197555372</v>
      </c>
      <c r="I15" s="259" t="str">
        <f t="shared" ref="I15:I45" si="1">A16</f>
        <v xml:space="preserve"> FLIN FLON</v>
      </c>
      <c r="J15" s="266">
        <f t="shared" ref="J15:J45" si="2">G16</f>
        <v>17.81814584473975</v>
      </c>
      <c r="K15" s="1">
        <f>F15-'- 51 -'!C15</f>
        <v>0</v>
      </c>
    </row>
    <row r="16" spans="1:11" ht="14.1" customHeight="1">
      <c r="A16" s="23" t="s">
        <v>228</v>
      </c>
      <c r="B16" s="24">
        <v>80655880</v>
      </c>
      <c r="C16" s="24">
        <v>0</v>
      </c>
      <c r="D16" s="24">
        <v>32255700</v>
      </c>
      <c r="E16" s="24">
        <v>112911580</v>
      </c>
      <c r="F16" s="24">
        <f>'- 51 -'!C16</f>
        <v>3658810</v>
      </c>
      <c r="G16" s="344">
        <f>(F16-H16)/E16*1000</f>
        <v>17.81814584473975</v>
      </c>
      <c r="H16" s="1">
        <v>1646935</v>
      </c>
      <c r="I16" s="259" t="str">
        <f t="shared" si="1"/>
        <v xml:space="preserve"> FORT LA BOSSE</v>
      </c>
      <c r="J16" s="266">
        <f t="shared" si="2"/>
        <v>12.171161460132527</v>
      </c>
      <c r="K16" s="1">
        <f>F16-'- 51 -'!C16</f>
        <v>0</v>
      </c>
    </row>
    <row r="17" spans="1:11" ht="14.1" customHeight="1">
      <c r="A17" s="351" t="s">
        <v>229</v>
      </c>
      <c r="B17" s="352">
        <v>182058060</v>
      </c>
      <c r="C17" s="352">
        <v>119863760</v>
      </c>
      <c r="D17" s="352">
        <v>299186630</v>
      </c>
      <c r="E17" s="352">
        <v>601108450</v>
      </c>
      <c r="F17" s="352">
        <f>'- 51 -'!C17</f>
        <v>7316188</v>
      </c>
      <c r="G17" s="353">
        <f t="shared" si="0"/>
        <v>12.171161460132527</v>
      </c>
      <c r="I17" s="259" t="str">
        <f t="shared" si="1"/>
        <v xml:space="preserve"> FRONTIER</v>
      </c>
      <c r="J17" s="266">
        <f t="shared" si="2"/>
        <v>16.50000118268143</v>
      </c>
      <c r="K17" s="1">
        <f>F17-'- 51 -'!C17</f>
        <v>0</v>
      </c>
    </row>
    <row r="18" spans="1:11" ht="14.1" customHeight="1">
      <c r="A18" s="23" t="s">
        <v>230</v>
      </c>
      <c r="B18" s="24">
        <v>105200880</v>
      </c>
      <c r="C18" s="24">
        <v>17023000</v>
      </c>
      <c r="D18" s="24">
        <v>59566410</v>
      </c>
      <c r="E18" s="24">
        <v>181790290</v>
      </c>
      <c r="F18" s="24">
        <f>'- 51 -'!C18</f>
        <v>2999540</v>
      </c>
      <c r="G18" s="344">
        <f>(F18-H18)/E18*1000</f>
        <v>16.50000118268143</v>
      </c>
      <c r="I18" s="259" t="str">
        <f t="shared" si="1"/>
        <v xml:space="preserve"> GARDEN VALLEY</v>
      </c>
      <c r="J18" s="266">
        <f t="shared" si="2"/>
        <v>19.124400503801382</v>
      </c>
      <c r="K18" s="1">
        <f>F18-'- 51 -'!C18</f>
        <v>0</v>
      </c>
    </row>
    <row r="19" spans="1:11" ht="14.1" customHeight="1">
      <c r="A19" s="351" t="s">
        <v>231</v>
      </c>
      <c r="B19" s="352">
        <v>433976180</v>
      </c>
      <c r="C19" s="352">
        <v>129553370</v>
      </c>
      <c r="D19" s="352">
        <v>205916530</v>
      </c>
      <c r="E19" s="352">
        <v>769446080</v>
      </c>
      <c r="F19" s="352">
        <f>'- 51 -'!C19</f>
        <v>14715195</v>
      </c>
      <c r="G19" s="353">
        <f t="shared" si="0"/>
        <v>19.124400503801382</v>
      </c>
      <c r="I19" s="259" t="str">
        <f t="shared" si="1"/>
        <v xml:space="preserve"> HANOVER</v>
      </c>
      <c r="J19" s="266">
        <f t="shared" si="2"/>
        <v>16.402942930568337</v>
      </c>
      <c r="K19" s="1">
        <f>F19-'- 51 -'!C19</f>
        <v>0</v>
      </c>
    </row>
    <row r="20" spans="1:11" ht="14.1" customHeight="1">
      <c r="A20" s="23" t="s">
        <v>232</v>
      </c>
      <c r="B20" s="24">
        <v>1001327120</v>
      </c>
      <c r="C20" s="24">
        <v>169717930</v>
      </c>
      <c r="D20" s="24">
        <v>298689930</v>
      </c>
      <c r="E20" s="24">
        <v>1469734980</v>
      </c>
      <c r="F20" s="24">
        <f>'- 51 -'!C20</f>
        <v>24107979</v>
      </c>
      <c r="G20" s="344">
        <f t="shared" si="0"/>
        <v>16.402942930568337</v>
      </c>
      <c r="I20" s="259" t="str">
        <f t="shared" si="1"/>
        <v xml:space="preserve"> INTERLAKE</v>
      </c>
      <c r="J20" s="266">
        <f t="shared" si="2"/>
        <v>14.362763623388398</v>
      </c>
      <c r="K20" s="1">
        <f>F20-'- 51 -'!C20</f>
        <v>0</v>
      </c>
    </row>
    <row r="21" spans="1:11" ht="14.1" customHeight="1">
      <c r="A21" s="351" t="s">
        <v>233</v>
      </c>
      <c r="B21" s="352">
        <v>577732640</v>
      </c>
      <c r="C21" s="352">
        <v>145780120</v>
      </c>
      <c r="D21" s="352">
        <v>190788230</v>
      </c>
      <c r="E21" s="352">
        <v>914300990</v>
      </c>
      <c r="F21" s="352">
        <f>'- 51 -'!C21</f>
        <v>13131889</v>
      </c>
      <c r="G21" s="353">
        <f t="shared" si="0"/>
        <v>14.362763623388398</v>
      </c>
      <c r="I21" s="259" t="str">
        <f t="shared" si="1"/>
        <v xml:space="preserve"> KELSEY</v>
      </c>
      <c r="J21" s="266">
        <f t="shared" si="2"/>
        <v>21.62422031121281</v>
      </c>
      <c r="K21" s="1">
        <f>F21-'- 51 -'!C21</f>
        <v>0</v>
      </c>
    </row>
    <row r="22" spans="1:11" ht="14.1" customHeight="1">
      <c r="A22" s="23" t="s">
        <v>234</v>
      </c>
      <c r="B22" s="24">
        <v>114825270</v>
      </c>
      <c r="C22" s="24">
        <v>13293350</v>
      </c>
      <c r="D22" s="24">
        <v>57484280</v>
      </c>
      <c r="E22" s="24">
        <v>185602900</v>
      </c>
      <c r="F22" s="24">
        <f>'- 51 -'!C22</f>
        <v>4013518</v>
      </c>
      <c r="G22" s="344">
        <f t="shared" si="0"/>
        <v>21.62422031121281</v>
      </c>
      <c r="I22" s="259" t="str">
        <f t="shared" si="1"/>
        <v xml:space="preserve"> LAKESHORE</v>
      </c>
      <c r="J22" s="266">
        <f t="shared" si="2"/>
        <v>19.710203785160186</v>
      </c>
      <c r="K22" s="1">
        <f>F22-'- 51 -'!C22</f>
        <v>0</v>
      </c>
    </row>
    <row r="23" spans="1:11" ht="14.1" customHeight="1">
      <c r="A23" s="351" t="s">
        <v>235</v>
      </c>
      <c r="B23" s="352">
        <v>106056080</v>
      </c>
      <c r="C23" s="352">
        <v>73326080</v>
      </c>
      <c r="D23" s="352">
        <v>26026320</v>
      </c>
      <c r="E23" s="352">
        <v>205408480</v>
      </c>
      <c r="F23" s="352">
        <f>'- 51 -'!C23</f>
        <v>4048643</v>
      </c>
      <c r="G23" s="353">
        <f t="shared" si="0"/>
        <v>19.710203785160186</v>
      </c>
      <c r="H23" s="268"/>
      <c r="I23" s="259" t="str">
        <f t="shared" si="1"/>
        <v xml:space="preserve"> LORD SELKIRK</v>
      </c>
      <c r="J23" s="266">
        <f t="shared" si="2"/>
        <v>13.560320069760674</v>
      </c>
      <c r="K23" s="1">
        <f>H23*E23</f>
        <v>0</v>
      </c>
    </row>
    <row r="24" spans="1:11" ht="14.1" customHeight="1">
      <c r="A24" s="23" t="s">
        <v>236</v>
      </c>
      <c r="B24" s="24">
        <v>1339106890</v>
      </c>
      <c r="C24" s="24">
        <v>54257260</v>
      </c>
      <c r="D24" s="24">
        <v>195060820</v>
      </c>
      <c r="E24" s="24">
        <v>1588424970</v>
      </c>
      <c r="F24" s="24">
        <f>'- 51 -'!C24</f>
        <v>21539551</v>
      </c>
      <c r="G24" s="344">
        <f t="shared" si="0"/>
        <v>13.560320069760674</v>
      </c>
      <c r="I24" s="259" t="str">
        <f t="shared" si="1"/>
        <v xml:space="preserve"> LOUIS RIEL</v>
      </c>
      <c r="J24" s="266">
        <f t="shared" si="2"/>
        <v>12.76324340447392</v>
      </c>
      <c r="K24" s="1">
        <f>F24-'- 51 -'!C24</f>
        <v>0</v>
      </c>
    </row>
    <row r="25" spans="1:11" ht="14.1" customHeight="1">
      <c r="A25" s="351" t="s">
        <v>237</v>
      </c>
      <c r="B25" s="352">
        <v>4853047900</v>
      </c>
      <c r="C25" s="352">
        <v>11544930</v>
      </c>
      <c r="D25" s="352">
        <v>971061450</v>
      </c>
      <c r="E25" s="352">
        <v>5835654280</v>
      </c>
      <c r="F25" s="352">
        <f>'- 51 -'!C25</f>
        <v>74481876</v>
      </c>
      <c r="G25" s="353">
        <f t="shared" si="0"/>
        <v>12.76324340447392</v>
      </c>
      <c r="I25" s="259" t="str">
        <f t="shared" si="1"/>
        <v xml:space="preserve"> MOUNTAIN VIEW</v>
      </c>
      <c r="J25" s="266">
        <f t="shared" si="2"/>
        <v>18.958390553674487</v>
      </c>
      <c r="K25" s="1">
        <f>F25-'- 51 -'!C25</f>
        <v>0</v>
      </c>
    </row>
    <row r="26" spans="1:11" ht="14.1" customHeight="1">
      <c r="A26" s="23" t="s">
        <v>238</v>
      </c>
      <c r="B26" s="24">
        <v>374294370</v>
      </c>
      <c r="C26" s="24">
        <v>193732500</v>
      </c>
      <c r="D26" s="24">
        <v>115078110</v>
      </c>
      <c r="E26" s="24">
        <v>683104980</v>
      </c>
      <c r="F26" s="24">
        <f>'- 51 -'!C26</f>
        <v>12950571</v>
      </c>
      <c r="G26" s="344">
        <f t="shared" si="0"/>
        <v>18.958390553674487</v>
      </c>
      <c r="I26" s="259" t="str">
        <f t="shared" si="1"/>
        <v xml:space="preserve"> MYSTERY LAKE</v>
      </c>
      <c r="J26" s="266">
        <f t="shared" si="2"/>
        <v>18.266735356602293</v>
      </c>
      <c r="K26" s="1">
        <f>F26-'- 51 -'!C26</f>
        <v>0</v>
      </c>
    </row>
    <row r="27" spans="1:11" ht="14.1" customHeight="1">
      <c r="A27" s="351" t="s">
        <v>239</v>
      </c>
      <c r="B27" s="352">
        <v>303708090</v>
      </c>
      <c r="C27" s="352">
        <v>0</v>
      </c>
      <c r="D27" s="352">
        <v>109588750</v>
      </c>
      <c r="E27" s="352">
        <v>413296840</v>
      </c>
      <c r="F27" s="352">
        <f>'- 51 -'!C27</f>
        <v>7549584</v>
      </c>
      <c r="G27" s="353">
        <f t="shared" si="0"/>
        <v>18.266735356602293</v>
      </c>
      <c r="I27" s="259" t="str">
        <f t="shared" si="1"/>
        <v xml:space="preserve"> PARK WEST</v>
      </c>
      <c r="J27" s="266">
        <f t="shared" si="2"/>
        <v>14.822389746303783</v>
      </c>
      <c r="K27" s="1">
        <f>F27-'- 51 -'!C27</f>
        <v>0</v>
      </c>
    </row>
    <row r="28" spans="1:11" ht="14.1" customHeight="1">
      <c r="A28" s="23" t="s">
        <v>240</v>
      </c>
      <c r="B28" s="24">
        <v>167214110</v>
      </c>
      <c r="C28" s="24">
        <v>202971690</v>
      </c>
      <c r="D28" s="24">
        <v>157289940</v>
      </c>
      <c r="E28" s="24">
        <v>527475740</v>
      </c>
      <c r="F28" s="24">
        <f>'- 51 -'!C28</f>
        <v>7818451</v>
      </c>
      <c r="G28" s="344">
        <f t="shared" si="0"/>
        <v>14.822389746303783</v>
      </c>
      <c r="I28" s="259" t="str">
        <f t="shared" si="1"/>
        <v xml:space="preserve"> PEMBINA TRAILS</v>
      </c>
      <c r="J28" s="266">
        <f t="shared" si="2"/>
        <v>12.877250662813736</v>
      </c>
      <c r="K28" s="1">
        <f>F28-'- 51 -'!C28</f>
        <v>0</v>
      </c>
    </row>
    <row r="29" spans="1:11" ht="14.1" customHeight="1">
      <c r="A29" s="351" t="s">
        <v>241</v>
      </c>
      <c r="B29" s="352">
        <v>4695523700</v>
      </c>
      <c r="C29" s="352">
        <v>14498280</v>
      </c>
      <c r="D29" s="352">
        <v>1001454400</v>
      </c>
      <c r="E29" s="352">
        <v>5711476380</v>
      </c>
      <c r="F29" s="352">
        <f>'- 51 -'!C29</f>
        <v>73548113</v>
      </c>
      <c r="G29" s="353">
        <f t="shared" si="0"/>
        <v>12.877250662813736</v>
      </c>
      <c r="I29" s="259" t="str">
        <f t="shared" si="1"/>
        <v xml:space="preserve"> PINE CREEK</v>
      </c>
      <c r="J29" s="266">
        <f t="shared" si="2"/>
        <v>16.943112729889908</v>
      </c>
    </row>
    <row r="30" spans="1:11" ht="14.1" customHeight="1">
      <c r="A30" s="23" t="s">
        <v>242</v>
      </c>
      <c r="B30" s="24">
        <v>96257050</v>
      </c>
      <c r="C30" s="24">
        <v>129140550</v>
      </c>
      <c r="D30" s="24">
        <v>79441250</v>
      </c>
      <c r="E30" s="24">
        <v>304838850</v>
      </c>
      <c r="F30" s="24">
        <f>'- 51 -'!C30</f>
        <v>5164919</v>
      </c>
      <c r="G30" s="344">
        <f t="shared" si="0"/>
        <v>16.943112729889908</v>
      </c>
      <c r="I30" s="259" t="str">
        <f t="shared" si="1"/>
        <v xml:space="preserve"> PORTAGE LA PRAIRIE</v>
      </c>
      <c r="J30" s="266">
        <f t="shared" si="2"/>
        <v>15.45326209450042</v>
      </c>
      <c r="K30" s="1">
        <f>F30-'- 51 -'!C30</f>
        <v>0</v>
      </c>
    </row>
    <row r="31" spans="1:11" ht="14.1" customHeight="1">
      <c r="A31" s="351" t="s">
        <v>243</v>
      </c>
      <c r="B31" s="352">
        <v>415679960</v>
      </c>
      <c r="C31" s="352">
        <v>182121760</v>
      </c>
      <c r="D31" s="352">
        <v>283655730</v>
      </c>
      <c r="E31" s="352">
        <v>881457450</v>
      </c>
      <c r="F31" s="352">
        <f>'- 51 -'!C31</f>
        <v>13621393</v>
      </c>
      <c r="G31" s="353">
        <f t="shared" si="0"/>
        <v>15.45326209450042</v>
      </c>
      <c r="I31" s="259" t="str">
        <f t="shared" si="1"/>
        <v xml:space="preserve"> PRAIRIE ROSE</v>
      </c>
      <c r="J31" s="266">
        <f t="shared" si="2"/>
        <v>13.705118650003305</v>
      </c>
      <c r="K31" s="1">
        <f>F31-'- 51 -'!C31</f>
        <v>0</v>
      </c>
    </row>
    <row r="32" spans="1:11" ht="14.1" customHeight="1">
      <c r="A32" s="23" t="s">
        <v>244</v>
      </c>
      <c r="B32" s="24">
        <v>358795330</v>
      </c>
      <c r="C32" s="24">
        <v>320081500</v>
      </c>
      <c r="D32" s="24">
        <v>113824370</v>
      </c>
      <c r="E32" s="24">
        <v>792701200</v>
      </c>
      <c r="F32" s="24">
        <f>'- 51 -'!C32</f>
        <v>10864064</v>
      </c>
      <c r="G32" s="344">
        <f t="shared" si="0"/>
        <v>13.705118650003305</v>
      </c>
      <c r="I32" s="259" t="str">
        <f t="shared" si="1"/>
        <v xml:space="preserve"> PRAIRIE SPIRIT</v>
      </c>
      <c r="J32" s="266">
        <f t="shared" si="2"/>
        <v>15.222615790973432</v>
      </c>
      <c r="K32" s="1">
        <f>F32-'- 51 -'!C32</f>
        <v>0</v>
      </c>
    </row>
    <row r="33" spans="1:11" ht="14.1" customHeight="1">
      <c r="A33" s="351" t="s">
        <v>245</v>
      </c>
      <c r="B33" s="352">
        <v>211538240</v>
      </c>
      <c r="C33" s="352">
        <v>400798330</v>
      </c>
      <c r="D33" s="352">
        <v>142000080</v>
      </c>
      <c r="E33" s="352">
        <v>754336650</v>
      </c>
      <c r="F33" s="352">
        <f>'- 51 -'!C33</f>
        <v>11482977</v>
      </c>
      <c r="G33" s="353">
        <f t="shared" si="0"/>
        <v>15.222615790973432</v>
      </c>
      <c r="I33" s="259" t="str">
        <f t="shared" si="1"/>
        <v xml:space="preserve"> RED RIVER VALLEY</v>
      </c>
      <c r="J33" s="266">
        <f t="shared" si="2"/>
        <v>16.252378172249536</v>
      </c>
      <c r="K33" s="1">
        <f>F33-'- 51 -'!C33</f>
        <v>0</v>
      </c>
    </row>
    <row r="34" spans="1:11" ht="14.1" customHeight="1">
      <c r="A34" s="23" t="s">
        <v>246</v>
      </c>
      <c r="B34" s="24">
        <v>350923430</v>
      </c>
      <c r="C34" s="24">
        <v>257390210</v>
      </c>
      <c r="D34" s="24">
        <v>186098960</v>
      </c>
      <c r="E34" s="24">
        <v>794412600</v>
      </c>
      <c r="F34" s="24">
        <f>'- 51 -'!C34</f>
        <v>12911094</v>
      </c>
      <c r="G34" s="344">
        <f t="shared" si="0"/>
        <v>16.252378172249536</v>
      </c>
      <c r="I34" s="259" t="str">
        <f t="shared" si="1"/>
        <v xml:space="preserve"> RIVER EAST TRANSCONA</v>
      </c>
      <c r="J34" s="266">
        <f t="shared" si="2"/>
        <v>14.229430792843869</v>
      </c>
      <c r="K34" s="1">
        <f>F34-'- 51 -'!C34</f>
        <v>0</v>
      </c>
    </row>
    <row r="35" spans="1:11" ht="14.1" customHeight="1">
      <c r="A35" s="351" t="s">
        <v>247</v>
      </c>
      <c r="B35" s="352">
        <v>4182194470</v>
      </c>
      <c r="C35" s="352">
        <v>13166210</v>
      </c>
      <c r="D35" s="352">
        <v>763131970</v>
      </c>
      <c r="E35" s="352">
        <v>4958492650</v>
      </c>
      <c r="F35" s="352">
        <f>'- 51 -'!C35</f>
        <v>70556528</v>
      </c>
      <c r="G35" s="353">
        <f t="shared" si="0"/>
        <v>14.229430792843869</v>
      </c>
      <c r="I35" s="259" t="str">
        <f t="shared" si="1"/>
        <v xml:space="preserve"> ROLLING RIVER</v>
      </c>
      <c r="J35" s="266">
        <f t="shared" si="2"/>
        <v>14.853946723177192</v>
      </c>
      <c r="K35" s="1">
        <f>F35-'- 51 -'!C35</f>
        <v>0</v>
      </c>
    </row>
    <row r="36" spans="1:11" ht="14.1" customHeight="1">
      <c r="A36" s="23" t="s">
        <v>248</v>
      </c>
      <c r="B36" s="24">
        <v>323506790</v>
      </c>
      <c r="C36" s="24">
        <v>130394340</v>
      </c>
      <c r="D36" s="24">
        <v>154905820</v>
      </c>
      <c r="E36" s="24">
        <v>608806950</v>
      </c>
      <c r="F36" s="24">
        <f>'- 51 -'!C36</f>
        <v>9043186</v>
      </c>
      <c r="G36" s="344">
        <f t="shared" si="0"/>
        <v>14.853946723177192</v>
      </c>
      <c r="I36" s="259" t="str">
        <f t="shared" si="1"/>
        <v xml:space="preserve"> SEINE RIVER</v>
      </c>
      <c r="J36" s="266">
        <f t="shared" si="2"/>
        <v>14.84616126729183</v>
      </c>
      <c r="K36" s="1">
        <f>F36-'- 51 -'!C36</f>
        <v>0</v>
      </c>
    </row>
    <row r="37" spans="1:11" ht="14.1" customHeight="1">
      <c r="A37" s="351" t="s">
        <v>249</v>
      </c>
      <c r="B37" s="352">
        <v>957814380</v>
      </c>
      <c r="C37" s="352">
        <v>102670140</v>
      </c>
      <c r="D37" s="352">
        <v>145322670</v>
      </c>
      <c r="E37" s="352">
        <v>1205807190</v>
      </c>
      <c r="F37" s="352">
        <f>'- 51 -'!C37</f>
        <v>17901608</v>
      </c>
      <c r="G37" s="353">
        <f t="shared" si="0"/>
        <v>14.84616126729183</v>
      </c>
      <c r="I37" s="259" t="str">
        <f t="shared" si="1"/>
        <v xml:space="preserve"> SEVEN OAKS</v>
      </c>
      <c r="J37" s="266">
        <f t="shared" si="2"/>
        <v>16.207341577020323</v>
      </c>
      <c r="K37" s="1">
        <f>F37-'- 51 -'!C37</f>
        <v>0</v>
      </c>
    </row>
    <row r="38" spans="1:11" ht="14.1" customHeight="1">
      <c r="A38" s="23" t="s">
        <v>250</v>
      </c>
      <c r="B38" s="24">
        <v>2198137900</v>
      </c>
      <c r="C38" s="24">
        <v>10651270</v>
      </c>
      <c r="D38" s="24">
        <v>299119410</v>
      </c>
      <c r="E38" s="24">
        <v>2507908580</v>
      </c>
      <c r="F38" s="24">
        <f>'- 51 -'!C38</f>
        <v>40646531</v>
      </c>
      <c r="G38" s="344">
        <f t="shared" si="0"/>
        <v>16.207341577020323</v>
      </c>
      <c r="I38" s="259" t="str">
        <f t="shared" si="1"/>
        <v xml:space="preserve"> SOUTHWEST HORIZON</v>
      </c>
      <c r="J38" s="266">
        <f t="shared" si="2"/>
        <v>14.584021483105188</v>
      </c>
      <c r="K38" s="1">
        <f>F38-'- 51 -'!C38</f>
        <v>0</v>
      </c>
    </row>
    <row r="39" spans="1:11" ht="14.1" customHeight="1">
      <c r="A39" s="351" t="s">
        <v>251</v>
      </c>
      <c r="B39" s="352">
        <v>190702190</v>
      </c>
      <c r="C39" s="352">
        <v>261272940</v>
      </c>
      <c r="D39" s="352">
        <v>194050660</v>
      </c>
      <c r="E39" s="352">
        <v>646025790</v>
      </c>
      <c r="F39" s="352">
        <f>'- 51 -'!C39</f>
        <v>9421654</v>
      </c>
      <c r="G39" s="353">
        <f t="shared" si="0"/>
        <v>14.584021483105188</v>
      </c>
      <c r="I39" s="259" t="str">
        <f t="shared" si="1"/>
        <v xml:space="preserve"> ST. JAMES-ASSINIBOIA</v>
      </c>
      <c r="J39" s="266">
        <f t="shared" si="2"/>
        <v>12.583316157433099</v>
      </c>
      <c r="K39" s="1">
        <f>F39-'- 51 -'!C39</f>
        <v>0</v>
      </c>
    </row>
    <row r="40" spans="1:11" ht="14.1" customHeight="1">
      <c r="A40" s="23" t="s">
        <v>252</v>
      </c>
      <c r="B40" s="24">
        <v>2387727010</v>
      </c>
      <c r="C40" s="24">
        <v>13195190</v>
      </c>
      <c r="D40" s="24">
        <v>1266910780</v>
      </c>
      <c r="E40" s="24">
        <v>3667832980</v>
      </c>
      <c r="F40" s="24">
        <f>'- 51 -'!C40</f>
        <v>46153502</v>
      </c>
      <c r="G40" s="344">
        <f t="shared" si="0"/>
        <v>12.583316157433099</v>
      </c>
      <c r="I40" s="259" t="str">
        <f t="shared" si="1"/>
        <v xml:space="preserve"> SUNRISE</v>
      </c>
      <c r="J40" s="266">
        <f t="shared" si="2"/>
        <v>14.833116448910015</v>
      </c>
      <c r="K40" s="1">
        <f>F40-'- 51 -'!C40</f>
        <v>0</v>
      </c>
    </row>
    <row r="41" spans="1:11" ht="14.1" customHeight="1">
      <c r="A41" s="351" t="s">
        <v>253</v>
      </c>
      <c r="B41" s="352">
        <v>1385528170</v>
      </c>
      <c r="C41" s="352">
        <v>161253960</v>
      </c>
      <c r="D41" s="352">
        <v>295627730</v>
      </c>
      <c r="E41" s="352">
        <v>1842409860</v>
      </c>
      <c r="F41" s="352">
        <f>'- 51 -'!C41</f>
        <v>27328680</v>
      </c>
      <c r="G41" s="353">
        <f t="shared" si="0"/>
        <v>14.833116448910015</v>
      </c>
      <c r="I41" s="259" t="str">
        <f t="shared" si="1"/>
        <v xml:space="preserve"> SWAN VALLEY</v>
      </c>
      <c r="J41" s="266">
        <f t="shared" si="2"/>
        <v>18.678140521394276</v>
      </c>
      <c r="K41" s="1">
        <f>F41-'- 51 -'!C41</f>
        <v>0</v>
      </c>
    </row>
    <row r="42" spans="1:11" ht="14.1" customHeight="1">
      <c r="A42" s="23" t="s">
        <v>254</v>
      </c>
      <c r="B42" s="24">
        <v>166590880</v>
      </c>
      <c r="C42" s="24">
        <v>109000000</v>
      </c>
      <c r="D42" s="24">
        <v>65182710</v>
      </c>
      <c r="E42" s="24">
        <v>340773590</v>
      </c>
      <c r="F42" s="24">
        <f>'- 51 -'!C42</f>
        <v>6365017</v>
      </c>
      <c r="G42" s="344">
        <f t="shared" si="0"/>
        <v>18.678140521394276</v>
      </c>
      <c r="I42" s="259" t="str">
        <f t="shared" si="1"/>
        <v xml:space="preserve"> TURTLE MOUNTAIN</v>
      </c>
      <c r="J42" s="266">
        <f t="shared" si="2"/>
        <v>15.797757219516564</v>
      </c>
      <c r="K42" s="1">
        <f>F42-'- 51 -'!C42</f>
        <v>0</v>
      </c>
    </row>
    <row r="43" spans="1:11" ht="14.1" customHeight="1">
      <c r="A43" s="351" t="s">
        <v>255</v>
      </c>
      <c r="B43" s="352">
        <v>156826200</v>
      </c>
      <c r="C43" s="352">
        <v>131399180</v>
      </c>
      <c r="D43" s="352">
        <v>50137650</v>
      </c>
      <c r="E43" s="352">
        <v>338363030</v>
      </c>
      <c r="F43" s="352">
        <f>'- 51 -'!C43</f>
        <v>5345377</v>
      </c>
      <c r="G43" s="353">
        <f t="shared" si="0"/>
        <v>15.797757219516564</v>
      </c>
      <c r="I43" s="259" t="str">
        <f t="shared" si="1"/>
        <v xml:space="preserve"> TURTLE RIVER</v>
      </c>
      <c r="J43" s="266">
        <f t="shared" si="2"/>
        <v>19.318488330085227</v>
      </c>
      <c r="K43" s="1">
        <f>F43-'- 51 -'!C43</f>
        <v>0</v>
      </c>
    </row>
    <row r="44" spans="1:11" ht="14.1" customHeight="1">
      <c r="A44" s="23" t="s">
        <v>256</v>
      </c>
      <c r="B44" s="24">
        <v>67110420</v>
      </c>
      <c r="C44" s="24">
        <v>65534830</v>
      </c>
      <c r="D44" s="24">
        <v>12870380</v>
      </c>
      <c r="E44" s="24">
        <v>145515630</v>
      </c>
      <c r="F44" s="24">
        <f>'- 51 -'!C44</f>
        <v>2811142</v>
      </c>
      <c r="G44" s="344">
        <f t="shared" si="0"/>
        <v>19.318488330085227</v>
      </c>
      <c r="I44" s="259" t="str">
        <f t="shared" si="1"/>
        <v xml:space="preserve"> WESTERN</v>
      </c>
      <c r="J44" s="266">
        <f t="shared" si="2"/>
        <v>17.976475772334258</v>
      </c>
      <c r="K44" s="1">
        <f>F44-'- 51 -'!C44</f>
        <v>0</v>
      </c>
    </row>
    <row r="45" spans="1:11" ht="14.1" customHeight="1">
      <c r="A45" s="351" t="s">
        <v>257</v>
      </c>
      <c r="B45" s="352">
        <v>246554480</v>
      </c>
      <c r="C45" s="352">
        <v>51186820</v>
      </c>
      <c r="D45" s="352">
        <v>81154880</v>
      </c>
      <c r="E45" s="352">
        <v>378896180</v>
      </c>
      <c r="F45" s="352">
        <f>'- 51 -'!C45</f>
        <v>6811218</v>
      </c>
      <c r="G45" s="353">
        <f t="shared" si="0"/>
        <v>17.976475772334258</v>
      </c>
      <c r="I45" s="259" t="str">
        <f t="shared" si="1"/>
        <v xml:space="preserve"> WINNIPEG</v>
      </c>
      <c r="J45" s="266">
        <f t="shared" si="2"/>
        <v>15.563316941711673</v>
      </c>
      <c r="K45" s="1">
        <f>F45-'- 51 -'!C45</f>
        <v>0</v>
      </c>
    </row>
    <row r="46" spans="1:11" ht="14.1" customHeight="1">
      <c r="A46" s="23" t="s">
        <v>258</v>
      </c>
      <c r="B46" s="24">
        <v>5479171760</v>
      </c>
      <c r="C46" s="24">
        <v>2975750</v>
      </c>
      <c r="D46" s="24">
        <v>3680545670</v>
      </c>
      <c r="E46" s="24">
        <v>9162693180</v>
      </c>
      <c r="F46" s="24">
        <f>'- 51 -'!C46</f>
        <v>142601898</v>
      </c>
      <c r="G46" s="344">
        <f t="shared" si="0"/>
        <v>15.563316941711673</v>
      </c>
      <c r="K46" s="1">
        <f>F46-'- 51 -'!C46</f>
        <v>0</v>
      </c>
    </row>
    <row r="47" spans="1:11" ht="5.0999999999999996" customHeight="1">
      <c r="A47"/>
      <c r="B47"/>
      <c r="C47"/>
      <c r="D47"/>
      <c r="E47"/>
      <c r="F47"/>
      <c r="G47"/>
      <c r="K47" s="1">
        <f>F47-'- 51 -'!C47</f>
        <v>0</v>
      </c>
    </row>
    <row r="48" spans="1:11" ht="14.1" customHeight="1">
      <c r="A48" s="354" t="s">
        <v>265</v>
      </c>
      <c r="B48" s="355">
        <f>SUM(B11:B46)</f>
        <v>36040548790</v>
      </c>
      <c r="C48" s="355">
        <f>SUM(C11:C46)</f>
        <v>3958001860</v>
      </c>
      <c r="D48" s="355">
        <f>SUM(D11:D46)</f>
        <v>12632785140</v>
      </c>
      <c r="E48" s="355">
        <f>SUM(E11:E46)</f>
        <v>52631335790</v>
      </c>
      <c r="F48" s="355">
        <f>SUM(F11:F46)</f>
        <v>771438893</v>
      </c>
      <c r="G48" s="356">
        <f>F48/E48*1000</f>
        <v>14.657406684072306</v>
      </c>
      <c r="K48" s="1">
        <f>F48-'- 51 -'!C48</f>
        <v>0</v>
      </c>
    </row>
    <row r="49" spans="1:10" ht="5.0999999999999996" customHeight="1">
      <c r="A49" s="154"/>
      <c r="B49" s="171"/>
      <c r="C49" s="171"/>
      <c r="D49" s="171"/>
      <c r="E49" s="171"/>
      <c r="F49" s="171"/>
      <c r="G49"/>
    </row>
    <row r="50" spans="1:10" ht="14.1" customHeight="1">
      <c r="A50" s="23" t="s">
        <v>263</v>
      </c>
      <c r="B50" s="24">
        <v>58777400</v>
      </c>
      <c r="C50" s="24">
        <v>704860</v>
      </c>
      <c r="D50" s="24">
        <v>3421900</v>
      </c>
      <c r="E50" s="24">
        <v>62904160</v>
      </c>
      <c r="F50"/>
      <c r="G50"/>
    </row>
    <row r="51" spans="1:10" ht="14.1" customHeight="1">
      <c r="A51" s="351" t="s">
        <v>264</v>
      </c>
      <c r="B51" s="352">
        <v>15239140</v>
      </c>
      <c r="C51" s="352">
        <v>12598760</v>
      </c>
      <c r="D51" s="352">
        <v>44700560</v>
      </c>
      <c r="E51" s="352">
        <v>72538460</v>
      </c>
      <c r="F51"/>
      <c r="G51"/>
    </row>
    <row r="52" spans="1:10" ht="5.0999999999999996" customHeight="1">
      <c r="A52" s="154"/>
      <c r="B52" s="171"/>
      <c r="C52" s="171"/>
      <c r="D52" s="171"/>
      <c r="E52" s="171"/>
      <c r="F52"/>
      <c r="G52"/>
    </row>
    <row r="53" spans="1:10" ht="14.1" customHeight="1">
      <c r="A53" s="354" t="s">
        <v>259</v>
      </c>
      <c r="B53" s="355">
        <f>SUM(B48,B50:B51)</f>
        <v>36114565330</v>
      </c>
      <c r="C53" s="355">
        <f>SUM(C48,C50:C51)</f>
        <v>3971305480</v>
      </c>
      <c r="D53" s="355">
        <f>SUM(D48,D50:D51)</f>
        <v>12680907600</v>
      </c>
      <c r="E53" s="355">
        <f>SUM(E48,E50:E51)</f>
        <v>52766778410</v>
      </c>
      <c r="F53" s="595"/>
      <c r="G53" s="595"/>
    </row>
    <row r="54" spans="1:10" ht="30" customHeight="1">
      <c r="A54" s="27"/>
      <c r="B54" s="27"/>
      <c r="C54" s="27"/>
      <c r="D54" s="27"/>
      <c r="E54" s="27"/>
      <c r="F54" s="27"/>
      <c r="G54" s="27"/>
    </row>
    <row r="55" spans="1:10" ht="15" customHeight="1">
      <c r="A55" s="159" t="s">
        <v>618</v>
      </c>
      <c r="B55" s="39"/>
      <c r="C55" s="39"/>
      <c r="D55" s="39"/>
      <c r="E55" s="39"/>
      <c r="F55" s="39"/>
      <c r="G55" s="39"/>
      <c r="H55" s="39"/>
      <c r="I55" s="39"/>
      <c r="J55" s="39"/>
    </row>
    <row r="56" spans="1:10" ht="12" customHeight="1">
      <c r="A56" s="1" t="s">
        <v>619</v>
      </c>
      <c r="B56" s="39"/>
      <c r="C56" s="39"/>
      <c r="D56" s="39"/>
      <c r="E56" s="39"/>
      <c r="F56" s="39"/>
      <c r="G56" s="39"/>
      <c r="H56" s="39"/>
      <c r="I56" s="39"/>
      <c r="J56" s="39"/>
    </row>
    <row r="57" spans="1:10" ht="12" customHeight="1">
      <c r="A57" s="1" t="s">
        <v>545</v>
      </c>
      <c r="B57" s="39"/>
      <c r="C57" s="39"/>
      <c r="D57" s="39"/>
      <c r="E57" s="39"/>
      <c r="F57" s="39"/>
      <c r="G57" s="39"/>
      <c r="H57" s="39"/>
      <c r="I57" s="39"/>
      <c r="J57" s="39"/>
    </row>
  </sheetData>
  <phoneticPr fontId="0" type="noConversion"/>
  <printOptions horizontalCentered="1"/>
  <pageMargins left="0.5" right="0.5" top="0.6" bottom="0" header="0.3" footer="0"/>
  <pageSetup scale="88" orientation="portrait" r:id="rId1"/>
  <headerFooter alignWithMargins="0">
    <oddHeader>&amp;C&amp;"Arial,Bold"&amp;10&amp;A</oddHeader>
  </headerFooter>
  <legacyDrawing r:id="rId2"/>
</worksheet>
</file>

<file path=xl/worksheets/sheet43.xml><?xml version="1.0" encoding="utf-8"?>
<worksheet xmlns="http://schemas.openxmlformats.org/spreadsheetml/2006/main" xmlns:r="http://schemas.openxmlformats.org/officeDocument/2006/relationships">
  <sheetPr codeName="Sheet55"/>
  <dimension ref="A1:F56"/>
  <sheetViews>
    <sheetView showGridLines="0" showZeros="0" workbookViewId="0"/>
  </sheetViews>
  <sheetFormatPr defaultColWidth="13.6640625" defaultRowHeight="12"/>
  <cols>
    <col min="1" max="1" width="37.5" style="1" customWidth="1"/>
    <col min="2" max="2" width="22" style="1" customWidth="1"/>
    <col min="3" max="3" width="18.83203125" style="1" customWidth="1"/>
    <col min="4" max="4" width="19" style="1" customWidth="1"/>
    <col min="5" max="5" width="13.6640625" style="1"/>
    <col min="6" max="6" width="15.6640625" style="1" customWidth="1"/>
    <col min="7" max="16384" width="13.6640625" style="1"/>
  </cols>
  <sheetData>
    <row r="1" spans="1:6" ht="6.95" customHeight="1">
      <c r="A1" s="3"/>
    </row>
    <row r="2" spans="1:6" ht="15.95" customHeight="1">
      <c r="A2" s="641" t="s">
        <v>506</v>
      </c>
      <c r="B2" s="641"/>
      <c r="C2" s="641"/>
      <c r="D2" s="641"/>
      <c r="E2" s="641"/>
      <c r="F2" s="641"/>
    </row>
    <row r="3" spans="1:6" ht="15.95" customHeight="1">
      <c r="A3" s="642" t="s">
        <v>623</v>
      </c>
      <c r="B3" s="642"/>
      <c r="C3" s="642"/>
      <c r="D3" s="642"/>
      <c r="E3" s="642"/>
      <c r="F3" s="642"/>
    </row>
    <row r="4" spans="1:6" ht="15.95" customHeight="1">
      <c r="B4" s="4"/>
      <c r="C4" s="4"/>
      <c r="D4" s="4"/>
    </row>
    <row r="5" spans="1:6" ht="15.95" customHeight="1">
      <c r="B5" s="4"/>
      <c r="C5" s="4"/>
      <c r="D5" s="4"/>
    </row>
    <row r="6" spans="1:6" ht="15.95" customHeight="1">
      <c r="B6" s="528"/>
      <c r="C6" s="528"/>
      <c r="D6" s="528"/>
    </row>
    <row r="7" spans="1:6" ht="15.95" customHeight="1">
      <c r="B7" s="447"/>
      <c r="C7" s="526"/>
      <c r="D7" s="435"/>
    </row>
    <row r="8" spans="1:6" ht="15.95" customHeight="1">
      <c r="A8" s="17"/>
      <c r="B8" s="449" t="s">
        <v>450</v>
      </c>
      <c r="C8" s="426" t="s">
        <v>451</v>
      </c>
      <c r="D8" s="426" t="s">
        <v>452</v>
      </c>
    </row>
    <row r="9" spans="1:6" ht="15.95" customHeight="1">
      <c r="A9" s="19" t="s">
        <v>79</v>
      </c>
      <c r="B9" s="451" t="s">
        <v>130</v>
      </c>
      <c r="C9" s="370" t="s">
        <v>453</v>
      </c>
      <c r="D9" s="370" t="s">
        <v>130</v>
      </c>
    </row>
    <row r="10" spans="1:6" ht="5.0999999999999996" customHeight="1">
      <c r="A10" s="22"/>
      <c r="B10" s="246"/>
      <c r="C10" s="246"/>
      <c r="D10" s="246"/>
    </row>
    <row r="11" spans="1:6" ht="14.1" customHeight="1">
      <c r="A11" s="351" t="s">
        <v>224</v>
      </c>
      <c r="B11" s="352">
        <v>7581331</v>
      </c>
      <c r="C11" s="352">
        <v>504331</v>
      </c>
      <c r="D11" s="352">
        <v>7077000</v>
      </c>
    </row>
    <row r="12" spans="1:6" ht="14.1" customHeight="1">
      <c r="A12" s="23" t="s">
        <v>225</v>
      </c>
      <c r="B12" s="24">
        <v>13262830</v>
      </c>
      <c r="C12" s="24">
        <v>2736955</v>
      </c>
      <c r="D12" s="24">
        <v>10525875</v>
      </c>
    </row>
    <row r="13" spans="1:6" ht="14.1" customHeight="1">
      <c r="A13" s="351" t="s">
        <v>226</v>
      </c>
      <c r="B13" s="352">
        <v>36438520</v>
      </c>
      <c r="C13" s="352">
        <v>1848000</v>
      </c>
      <c r="D13" s="352">
        <v>34590520</v>
      </c>
    </row>
    <row r="14" spans="1:6" ht="14.1" customHeight="1">
      <c r="A14" s="23" t="s">
        <v>524</v>
      </c>
      <c r="B14" s="24">
        <v>0</v>
      </c>
      <c r="C14" s="24">
        <v>0</v>
      </c>
      <c r="D14" s="24">
        <v>0</v>
      </c>
    </row>
    <row r="15" spans="1:6" ht="14.1" customHeight="1">
      <c r="A15" s="351" t="s">
        <v>227</v>
      </c>
      <c r="B15" s="352">
        <v>9930119</v>
      </c>
      <c r="C15" s="352">
        <v>1595317</v>
      </c>
      <c r="D15" s="352">
        <v>8334802</v>
      </c>
    </row>
    <row r="16" spans="1:6" ht="14.1" customHeight="1">
      <c r="A16" s="23" t="s">
        <v>228</v>
      </c>
      <c r="B16" s="24">
        <v>4411523</v>
      </c>
      <c r="C16" s="24">
        <v>752713</v>
      </c>
      <c r="D16" s="24">
        <v>3658810</v>
      </c>
    </row>
    <row r="17" spans="1:4" ht="14.1" customHeight="1">
      <c r="A17" s="351" t="s">
        <v>229</v>
      </c>
      <c r="B17" s="352">
        <v>7803973</v>
      </c>
      <c r="C17" s="352">
        <v>487785</v>
      </c>
      <c r="D17" s="352">
        <v>7316188</v>
      </c>
    </row>
    <row r="18" spans="1:4" ht="14.1" customHeight="1">
      <c r="A18" s="23" t="s">
        <v>230</v>
      </c>
      <c r="B18" s="24">
        <v>3318014</v>
      </c>
      <c r="C18" s="24">
        <v>318474</v>
      </c>
      <c r="D18" s="24">
        <v>2999540</v>
      </c>
    </row>
    <row r="19" spans="1:4" ht="14.1" customHeight="1">
      <c r="A19" s="351" t="s">
        <v>231</v>
      </c>
      <c r="B19" s="352">
        <v>15361368</v>
      </c>
      <c r="C19" s="352">
        <v>646173</v>
      </c>
      <c r="D19" s="352">
        <v>14715195</v>
      </c>
    </row>
    <row r="20" spans="1:4" ht="14.1" customHeight="1">
      <c r="A20" s="23" t="s">
        <v>232</v>
      </c>
      <c r="B20" s="24">
        <v>25616105</v>
      </c>
      <c r="C20" s="24">
        <v>1508126</v>
      </c>
      <c r="D20" s="24">
        <v>24107979</v>
      </c>
    </row>
    <row r="21" spans="1:4" ht="14.1" customHeight="1">
      <c r="A21" s="351" t="s">
        <v>233</v>
      </c>
      <c r="B21" s="352">
        <v>14421440</v>
      </c>
      <c r="C21" s="352">
        <v>1289551</v>
      </c>
      <c r="D21" s="352">
        <v>13131889</v>
      </c>
    </row>
    <row r="22" spans="1:4" ht="14.1" customHeight="1">
      <c r="A22" s="23" t="s">
        <v>234</v>
      </c>
      <c r="B22" s="24">
        <v>4322925</v>
      </c>
      <c r="C22" s="24">
        <v>309407</v>
      </c>
      <c r="D22" s="24">
        <v>4013518</v>
      </c>
    </row>
    <row r="23" spans="1:4" ht="14.1" customHeight="1">
      <c r="A23" s="351" t="s">
        <v>235</v>
      </c>
      <c r="B23" s="352">
        <v>4488716</v>
      </c>
      <c r="C23" s="352">
        <v>440073</v>
      </c>
      <c r="D23" s="352">
        <v>4048643</v>
      </c>
    </row>
    <row r="24" spans="1:4" ht="14.1" customHeight="1">
      <c r="A24" s="23" t="s">
        <v>236</v>
      </c>
      <c r="B24" s="24">
        <v>24232454</v>
      </c>
      <c r="C24" s="24">
        <v>2692903</v>
      </c>
      <c r="D24" s="24">
        <v>21539551</v>
      </c>
    </row>
    <row r="25" spans="1:4" ht="14.1" customHeight="1">
      <c r="A25" s="351" t="s">
        <v>237</v>
      </c>
      <c r="B25" s="352">
        <v>81022879</v>
      </c>
      <c r="C25" s="352">
        <v>6541003</v>
      </c>
      <c r="D25" s="352">
        <v>74481876</v>
      </c>
    </row>
    <row r="26" spans="1:4" ht="14.1" customHeight="1">
      <c r="A26" s="23" t="s">
        <v>238</v>
      </c>
      <c r="B26" s="24">
        <v>13640931</v>
      </c>
      <c r="C26" s="24">
        <v>690360</v>
      </c>
      <c r="D26" s="24">
        <v>12950571</v>
      </c>
    </row>
    <row r="27" spans="1:4" ht="14.1" customHeight="1">
      <c r="A27" s="351" t="s">
        <v>239</v>
      </c>
      <c r="B27" s="352">
        <v>8635634</v>
      </c>
      <c r="C27" s="352">
        <v>1086050</v>
      </c>
      <c r="D27" s="352">
        <v>7549584</v>
      </c>
    </row>
    <row r="28" spans="1:4" ht="14.1" customHeight="1">
      <c r="A28" s="23" t="s">
        <v>240</v>
      </c>
      <c r="B28" s="24">
        <v>8635804</v>
      </c>
      <c r="C28" s="24">
        <v>817353</v>
      </c>
      <c r="D28" s="24">
        <v>7818451</v>
      </c>
    </row>
    <row r="29" spans="1:4" ht="14.1" customHeight="1">
      <c r="A29" s="351" t="s">
        <v>241</v>
      </c>
      <c r="B29" s="352">
        <v>78407802</v>
      </c>
      <c r="C29" s="352">
        <v>4859689</v>
      </c>
      <c r="D29" s="352">
        <v>73548113</v>
      </c>
    </row>
    <row r="30" spans="1:4" ht="14.1" customHeight="1">
      <c r="A30" s="23" t="s">
        <v>242</v>
      </c>
      <c r="B30" s="24">
        <v>5497134</v>
      </c>
      <c r="C30" s="24">
        <v>332215</v>
      </c>
      <c r="D30" s="24">
        <v>5164919</v>
      </c>
    </row>
    <row r="31" spans="1:4" ht="14.1" customHeight="1">
      <c r="A31" s="351" t="s">
        <v>243</v>
      </c>
      <c r="B31" s="352">
        <v>14144429</v>
      </c>
      <c r="C31" s="352">
        <v>523036</v>
      </c>
      <c r="D31" s="352">
        <v>13621393</v>
      </c>
    </row>
    <row r="32" spans="1:4" ht="14.1" customHeight="1">
      <c r="A32" s="23" t="s">
        <v>244</v>
      </c>
      <c r="B32" s="24">
        <v>12017173</v>
      </c>
      <c r="C32" s="24">
        <v>1153109</v>
      </c>
      <c r="D32" s="24">
        <v>10864064</v>
      </c>
    </row>
    <row r="33" spans="1:4" ht="14.1" customHeight="1">
      <c r="A33" s="351" t="s">
        <v>245</v>
      </c>
      <c r="B33" s="352">
        <v>12376962</v>
      </c>
      <c r="C33" s="352">
        <v>893985</v>
      </c>
      <c r="D33" s="352">
        <v>11482977</v>
      </c>
    </row>
    <row r="34" spans="1:4" ht="14.1" customHeight="1">
      <c r="A34" s="23" t="s">
        <v>246</v>
      </c>
      <c r="B34" s="24">
        <v>13780970</v>
      </c>
      <c r="C34" s="24">
        <v>869876</v>
      </c>
      <c r="D34" s="24">
        <v>12911094</v>
      </c>
    </row>
    <row r="35" spans="1:4" ht="14.1" customHeight="1">
      <c r="A35" s="351" t="s">
        <v>247</v>
      </c>
      <c r="B35" s="352">
        <v>72047051</v>
      </c>
      <c r="C35" s="352">
        <v>1490523</v>
      </c>
      <c r="D35" s="352">
        <v>70556528</v>
      </c>
    </row>
    <row r="36" spans="1:4" ht="14.1" customHeight="1">
      <c r="A36" s="23" t="s">
        <v>248</v>
      </c>
      <c r="B36" s="24">
        <v>9807077</v>
      </c>
      <c r="C36" s="24">
        <v>763891</v>
      </c>
      <c r="D36" s="24">
        <v>9043186</v>
      </c>
    </row>
    <row r="37" spans="1:4" ht="14.1" customHeight="1">
      <c r="A37" s="351" t="s">
        <v>249</v>
      </c>
      <c r="B37" s="352">
        <v>20480702</v>
      </c>
      <c r="C37" s="352">
        <v>2579094</v>
      </c>
      <c r="D37" s="352">
        <v>17901608</v>
      </c>
    </row>
    <row r="38" spans="1:4" ht="14.1" customHeight="1">
      <c r="A38" s="23" t="s">
        <v>250</v>
      </c>
      <c r="B38" s="24">
        <v>46010365</v>
      </c>
      <c r="C38" s="24">
        <v>5363834</v>
      </c>
      <c r="D38" s="24">
        <v>40646531</v>
      </c>
    </row>
    <row r="39" spans="1:4" ht="14.1" customHeight="1">
      <c r="A39" s="351" t="s">
        <v>251</v>
      </c>
      <c r="B39" s="352">
        <v>10180110</v>
      </c>
      <c r="C39" s="352">
        <v>758456</v>
      </c>
      <c r="D39" s="352">
        <v>9421654</v>
      </c>
    </row>
    <row r="40" spans="1:4" ht="14.1" customHeight="1">
      <c r="A40" s="23" t="s">
        <v>252</v>
      </c>
      <c r="B40" s="24">
        <v>49634025</v>
      </c>
      <c r="C40" s="24">
        <v>3480523</v>
      </c>
      <c r="D40" s="24">
        <v>46153502</v>
      </c>
    </row>
    <row r="41" spans="1:4" ht="14.1" customHeight="1">
      <c r="A41" s="351" t="s">
        <v>253</v>
      </c>
      <c r="B41" s="352">
        <v>30308377</v>
      </c>
      <c r="C41" s="352">
        <v>2979697</v>
      </c>
      <c r="D41" s="352">
        <v>27328680</v>
      </c>
    </row>
    <row r="42" spans="1:4" ht="14.1" customHeight="1">
      <c r="A42" s="23" t="s">
        <v>254</v>
      </c>
      <c r="B42" s="24">
        <v>7421514</v>
      </c>
      <c r="C42" s="24">
        <v>1056497</v>
      </c>
      <c r="D42" s="24">
        <v>6365017</v>
      </c>
    </row>
    <row r="43" spans="1:4" ht="14.1" customHeight="1">
      <c r="A43" s="351" t="s">
        <v>255</v>
      </c>
      <c r="B43" s="352">
        <v>5345377</v>
      </c>
      <c r="C43" s="352">
        <v>0</v>
      </c>
      <c r="D43" s="352">
        <v>5345377</v>
      </c>
    </row>
    <row r="44" spans="1:4" ht="14.1" customHeight="1">
      <c r="A44" s="23" t="s">
        <v>256</v>
      </c>
      <c r="B44" s="24">
        <v>3280061</v>
      </c>
      <c r="C44" s="24">
        <v>468919</v>
      </c>
      <c r="D44" s="24">
        <v>2811142</v>
      </c>
    </row>
    <row r="45" spans="1:4" ht="14.1" customHeight="1">
      <c r="A45" s="351" t="s">
        <v>257</v>
      </c>
      <c r="B45" s="352">
        <v>6811218</v>
      </c>
      <c r="C45" s="352">
        <v>0</v>
      </c>
      <c r="D45" s="352">
        <v>6811218</v>
      </c>
    </row>
    <row r="46" spans="1:4" ht="14.1" customHeight="1">
      <c r="A46" s="23" t="s">
        <v>258</v>
      </c>
      <c r="B46" s="24">
        <v>152182294</v>
      </c>
      <c r="C46" s="24">
        <v>9580396</v>
      </c>
      <c r="D46" s="24">
        <v>142601898</v>
      </c>
    </row>
    <row r="47" spans="1:4" ht="5.0999999999999996" customHeight="1">
      <c r="A47"/>
      <c r="B47"/>
      <c r="C47"/>
      <c r="D47"/>
    </row>
    <row r="48" spans="1:4" ht="14.1" customHeight="1">
      <c r="A48" s="354" t="s">
        <v>259</v>
      </c>
      <c r="B48" s="355">
        <f>SUM(B11:B47)</f>
        <v>832857207</v>
      </c>
      <c r="C48" s="355">
        <f>SUM(C11:C47)</f>
        <v>61418314</v>
      </c>
      <c r="D48" s="355">
        <f>SUM(D11:D47)</f>
        <v>771438893</v>
      </c>
    </row>
    <row r="49" spans="1:6" s="206" customFormat="1" ht="53.25" customHeight="1">
      <c r="A49" s="527"/>
      <c r="B49" s="527"/>
      <c r="C49" s="527"/>
      <c r="D49" s="527"/>
      <c r="E49" s="27"/>
      <c r="F49" s="27"/>
    </row>
    <row r="50" spans="1:6" s="206" customFormat="1" ht="14.25" customHeight="1">
      <c r="A50" s="2" t="s">
        <v>582</v>
      </c>
      <c r="B50" s="1"/>
      <c r="C50" s="1"/>
      <c r="D50" s="1"/>
      <c r="E50" s="1"/>
      <c r="F50" s="1"/>
    </row>
    <row r="51" spans="1:6" ht="11.25" customHeight="1">
      <c r="A51" s="2" t="s">
        <v>624</v>
      </c>
    </row>
    <row r="52" spans="1:6" ht="14.45" customHeight="1"/>
    <row r="53" spans="1:6" ht="14.45" customHeight="1"/>
    <row r="54" spans="1:6" ht="14.45" customHeight="1"/>
    <row r="55" spans="1:6" ht="14.45" customHeight="1"/>
    <row r="56" spans="1:6" ht="14.45" customHeight="1"/>
  </sheetData>
  <mergeCells count="2">
    <mergeCell ref="A2:F2"/>
    <mergeCell ref="A3:F3"/>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 &amp;A</oddHeader>
  </headerFooter>
</worksheet>
</file>

<file path=xl/worksheets/sheet44.xml><?xml version="1.0" encoding="utf-8"?>
<worksheet xmlns="http://schemas.openxmlformats.org/spreadsheetml/2006/main" xmlns:r="http://schemas.openxmlformats.org/officeDocument/2006/relationships">
  <sheetPr codeName="Sheet44">
    <pageSetUpPr fitToPage="1"/>
  </sheetPr>
  <dimension ref="A1:F58"/>
  <sheetViews>
    <sheetView showGridLines="0" showZeros="0" workbookViewId="0"/>
  </sheetViews>
  <sheetFormatPr defaultColWidth="15.83203125" defaultRowHeight="12"/>
  <cols>
    <col min="1" max="1" width="38.6640625" style="1" customWidth="1"/>
    <col min="2" max="2" width="24.1640625" style="1" customWidth="1"/>
    <col min="3" max="3" width="24" style="1" customWidth="1"/>
    <col min="4" max="4" width="20.33203125" style="1" customWidth="1"/>
    <col min="5" max="5" width="3.83203125" style="1" customWidth="1"/>
    <col min="6" max="6" width="25" style="1" customWidth="1"/>
    <col min="7" max="16384" width="15.83203125" style="1"/>
  </cols>
  <sheetData>
    <row r="1" spans="1:6" ht="6.95" customHeight="1">
      <c r="A1" s="3"/>
    </row>
    <row r="2" spans="1:6" ht="15.95" customHeight="1">
      <c r="A2" s="41"/>
      <c r="B2" s="260" t="s">
        <v>286</v>
      </c>
      <c r="C2" s="273"/>
      <c r="D2" s="273"/>
      <c r="E2" s="274"/>
      <c r="F2" s="274"/>
    </row>
    <row r="3" spans="1:6" ht="15.95" customHeight="1">
      <c r="A3" s="45"/>
      <c r="B3" s="262" t="str">
        <f>TAXYEAR</f>
        <v>FOR THE 2012 TAXATION YEAR (2012 IS A REASSESSMENT YEAR)</v>
      </c>
      <c r="C3" s="275"/>
      <c r="D3" s="275"/>
      <c r="E3" s="276"/>
      <c r="F3" s="276"/>
    </row>
    <row r="4" spans="1:6" ht="15.95" customHeight="1">
      <c r="B4" s="4"/>
      <c r="C4" s="4"/>
      <c r="D4" s="4"/>
      <c r="E4" s="4"/>
      <c r="F4" s="4"/>
    </row>
    <row r="5" spans="1:6" ht="15.95" customHeight="1">
      <c r="B5" s="4"/>
      <c r="C5" s="4"/>
      <c r="D5" s="4"/>
      <c r="E5" s="4"/>
      <c r="F5" s="4"/>
    </row>
    <row r="6" spans="1:6" ht="15.95" customHeight="1">
      <c r="B6" s="4"/>
      <c r="C6" s="4"/>
      <c r="D6" s="4"/>
      <c r="E6" s="4"/>
      <c r="F6" s="528"/>
    </row>
    <row r="7" spans="1:6" ht="15.95" customHeight="1">
      <c r="B7" s="447" t="s">
        <v>76</v>
      </c>
      <c r="C7" s="448"/>
      <c r="D7" s="448"/>
      <c r="E7" s="4"/>
      <c r="F7" s="435" t="s">
        <v>109</v>
      </c>
    </row>
    <row r="8" spans="1:6" ht="15.95" customHeight="1">
      <c r="A8" s="17"/>
      <c r="B8" s="449" t="s">
        <v>132</v>
      </c>
      <c r="C8" s="450"/>
      <c r="D8" s="450"/>
      <c r="E8" s="4"/>
      <c r="F8" s="426" t="s">
        <v>59</v>
      </c>
    </row>
    <row r="9" spans="1:6" ht="15.95" customHeight="1">
      <c r="A9" s="19" t="s">
        <v>79</v>
      </c>
      <c r="B9" s="451" t="s">
        <v>130</v>
      </c>
      <c r="C9" s="452" t="s">
        <v>143</v>
      </c>
      <c r="D9" s="452" t="s">
        <v>54</v>
      </c>
      <c r="E9" s="4"/>
      <c r="F9" s="370" t="s">
        <v>357</v>
      </c>
    </row>
    <row r="10" spans="1:6" ht="5.0999999999999996" customHeight="1">
      <c r="A10" s="22"/>
      <c r="B10" s="246"/>
      <c r="C10" s="246"/>
      <c r="D10" s="246"/>
      <c r="E10" s="246"/>
      <c r="F10" s="246"/>
    </row>
    <row r="11" spans="1:6" ht="14.1" customHeight="1">
      <c r="A11" s="351" t="s">
        <v>224</v>
      </c>
      <c r="B11" s="352">
        <f>'- 46 -'!C11</f>
        <v>1353676.7984</v>
      </c>
      <c r="C11" s="352">
        <v>7077000</v>
      </c>
      <c r="D11" s="352">
        <f t="shared" ref="D11:D46" si="0">SUM(B11,C11)</f>
        <v>8430676.7983999997</v>
      </c>
      <c r="F11" s="352">
        <v>340743</v>
      </c>
    </row>
    <row r="12" spans="1:6" ht="14.1" customHeight="1">
      <c r="A12" s="23" t="s">
        <v>225</v>
      </c>
      <c r="B12" s="24">
        <f>'- 46 -'!C12</f>
        <v>1723522.5008</v>
      </c>
      <c r="C12" s="24">
        <v>10525875</v>
      </c>
      <c r="D12" s="24">
        <f t="shared" si="0"/>
        <v>12249397.500800001</v>
      </c>
      <c r="F12" s="24">
        <v>260483</v>
      </c>
    </row>
    <row r="13" spans="1:6" ht="14.1" customHeight="1">
      <c r="A13" s="351" t="s">
        <v>226</v>
      </c>
      <c r="B13" s="352">
        <f>'- 46 -'!C13</f>
        <v>8243718.3248000005</v>
      </c>
      <c r="C13" s="352">
        <v>34590520</v>
      </c>
      <c r="D13" s="352">
        <f t="shared" si="0"/>
        <v>42834238.3248</v>
      </c>
      <c r="F13" s="352">
        <v>297557</v>
      </c>
    </row>
    <row r="14" spans="1:6" ht="14.1" customHeight="1">
      <c r="A14" s="23" t="s">
        <v>524</v>
      </c>
      <c r="B14" s="24">
        <f>'- 46 -'!C14</f>
        <v>0</v>
      </c>
      <c r="C14" s="24">
        <v>0</v>
      </c>
      <c r="D14" s="24">
        <f t="shared" si="0"/>
        <v>0</v>
      </c>
      <c r="F14" s="24">
        <v>327875</v>
      </c>
    </row>
    <row r="15" spans="1:6" ht="14.1" customHeight="1">
      <c r="A15" s="351" t="s">
        <v>227</v>
      </c>
      <c r="B15" s="352">
        <f>'- 46 -'!C15</f>
        <v>1167776.9872000001</v>
      </c>
      <c r="C15" s="352">
        <v>8334802</v>
      </c>
      <c r="D15" s="352">
        <f t="shared" si="0"/>
        <v>9502578.9871999994</v>
      </c>
      <c r="F15" s="352">
        <v>507300</v>
      </c>
    </row>
    <row r="16" spans="1:6" ht="14.1" customHeight="1">
      <c r="A16" s="23" t="s">
        <v>228</v>
      </c>
      <c r="B16" s="24">
        <f>'- 46 -'!C16</f>
        <v>366424.75200000004</v>
      </c>
      <c r="C16" s="24">
        <v>3658810</v>
      </c>
      <c r="D16" s="24">
        <f t="shared" si="0"/>
        <v>4025234.7519999999</v>
      </c>
      <c r="F16" s="24">
        <v>156848</v>
      </c>
    </row>
    <row r="17" spans="1:6" ht="14.1" customHeight="1">
      <c r="A17" s="351" t="s">
        <v>229</v>
      </c>
      <c r="B17" s="352">
        <f>'- 46 -'!C17</f>
        <v>3398760.1168</v>
      </c>
      <c r="C17" s="352">
        <v>7316188</v>
      </c>
      <c r="D17" s="352">
        <f t="shared" si="0"/>
        <v>10714948.116799999</v>
      </c>
      <c r="F17" s="352">
        <v>466048</v>
      </c>
    </row>
    <row r="18" spans="1:6" ht="14.1" customHeight="1">
      <c r="A18" s="23" t="s">
        <v>230</v>
      </c>
      <c r="B18" s="24">
        <f>'- 46 -'!C18</f>
        <v>676674.41760000004</v>
      </c>
      <c r="C18" s="24">
        <v>2999540</v>
      </c>
      <c r="D18" s="24">
        <f t="shared" si="0"/>
        <v>3676214.4176000003</v>
      </c>
      <c r="F18" s="24">
        <v>69713</v>
      </c>
    </row>
    <row r="19" spans="1:6" ht="14.1" customHeight="1">
      <c r="A19" s="351" t="s">
        <v>231</v>
      </c>
      <c r="B19" s="352">
        <f>'- 46 -'!C19</f>
        <v>2339211.7807999998</v>
      </c>
      <c r="C19" s="352">
        <v>14715195</v>
      </c>
      <c r="D19" s="352">
        <f t="shared" si="0"/>
        <v>17054406.7808</v>
      </c>
      <c r="F19" s="352">
        <v>188101</v>
      </c>
    </row>
    <row r="20" spans="1:6" ht="14.1" customHeight="1">
      <c r="A20" s="23" t="s">
        <v>232</v>
      </c>
      <c r="B20" s="24">
        <f>'- 46 -'!C20</f>
        <v>3393117.6048000003</v>
      </c>
      <c r="C20" s="24">
        <v>24107979</v>
      </c>
      <c r="D20" s="24">
        <f t="shared" si="0"/>
        <v>27501096.604800001</v>
      </c>
      <c r="F20" s="24">
        <v>196027</v>
      </c>
    </row>
    <row r="21" spans="1:6" ht="14.1" customHeight="1">
      <c r="A21" s="351" t="s">
        <v>233</v>
      </c>
      <c r="B21" s="352">
        <f>'- 46 -'!C21</f>
        <v>2167354.2927999999</v>
      </c>
      <c r="C21" s="352">
        <v>13131889</v>
      </c>
      <c r="D21" s="352">
        <f t="shared" si="0"/>
        <v>15299243.2928</v>
      </c>
      <c r="F21" s="352">
        <v>307690</v>
      </c>
    </row>
    <row r="22" spans="1:6" ht="14.1" customHeight="1">
      <c r="A22" s="23" t="s">
        <v>234</v>
      </c>
      <c r="B22" s="24">
        <f>'- 46 -'!C22</f>
        <v>653021.42079999996</v>
      </c>
      <c r="C22" s="24">
        <v>4013518</v>
      </c>
      <c r="D22" s="24">
        <f t="shared" si="0"/>
        <v>4666539.4208000004</v>
      </c>
      <c r="F22" s="24">
        <v>117664</v>
      </c>
    </row>
    <row r="23" spans="1:6" ht="14.1" customHeight="1">
      <c r="A23" s="351" t="s">
        <v>235</v>
      </c>
      <c r="B23" s="352">
        <f>'- 46 -'!C23</f>
        <v>295658.9952</v>
      </c>
      <c r="C23" s="352">
        <v>4048643</v>
      </c>
      <c r="D23" s="352">
        <f t="shared" si="0"/>
        <v>4344301.9951999998</v>
      </c>
      <c r="F23" s="352">
        <v>186803</v>
      </c>
    </row>
    <row r="24" spans="1:6" ht="14.1" customHeight="1">
      <c r="A24" s="23" t="s">
        <v>236</v>
      </c>
      <c r="B24" s="24">
        <f>'- 46 -'!C24</f>
        <v>2215890.9152000002</v>
      </c>
      <c r="C24" s="24">
        <v>21539551</v>
      </c>
      <c r="D24" s="24">
        <f t="shared" si="0"/>
        <v>23755441.915199999</v>
      </c>
      <c r="F24" s="24">
        <v>367776</v>
      </c>
    </row>
    <row r="25" spans="1:6" ht="14.1" customHeight="1">
      <c r="A25" s="351" t="s">
        <v>237</v>
      </c>
      <c r="B25" s="352">
        <f>'- 46 -'!C25</f>
        <v>11031258.072000001</v>
      </c>
      <c r="C25" s="352">
        <v>74481876</v>
      </c>
      <c r="D25" s="352">
        <f t="shared" si="0"/>
        <v>85513134.071999997</v>
      </c>
      <c r="F25" s="352">
        <v>378060</v>
      </c>
    </row>
    <row r="26" spans="1:6" ht="14.1" customHeight="1">
      <c r="A26" s="23" t="s">
        <v>238</v>
      </c>
      <c r="B26" s="24">
        <f>'- 46 -'!C26</f>
        <v>1307287.3296000001</v>
      </c>
      <c r="C26" s="24">
        <v>12950571</v>
      </c>
      <c r="D26" s="24">
        <f t="shared" si="0"/>
        <v>14257858.329600001</v>
      </c>
      <c r="F26" s="24">
        <v>234446</v>
      </c>
    </row>
    <row r="27" spans="1:6" ht="14.1" customHeight="1">
      <c r="A27" s="351" t="s">
        <v>239</v>
      </c>
      <c r="B27" s="352">
        <f>'- 46 -'!C27</f>
        <v>1244928.2</v>
      </c>
      <c r="C27" s="352">
        <v>7549584</v>
      </c>
      <c r="D27" s="352">
        <f t="shared" si="0"/>
        <v>8794512.1999999993</v>
      </c>
      <c r="F27" s="352">
        <v>169376</v>
      </c>
    </row>
    <row r="28" spans="1:6" ht="14.1" customHeight="1">
      <c r="A28" s="23" t="s">
        <v>240</v>
      </c>
      <c r="B28" s="24">
        <f>'- 46 -'!C28</f>
        <v>1786813.7184000001</v>
      </c>
      <c r="C28" s="24">
        <v>7818451</v>
      </c>
      <c r="D28" s="24">
        <f t="shared" si="0"/>
        <v>9605264.7183999997</v>
      </c>
      <c r="F28" s="24">
        <v>317147</v>
      </c>
    </row>
    <row r="29" spans="1:6" ht="14.1" customHeight="1">
      <c r="A29" s="351" t="s">
        <v>241</v>
      </c>
      <c r="B29" s="352">
        <f>'- 46 -'!C29</f>
        <v>11376521.984000001</v>
      </c>
      <c r="C29" s="352">
        <v>73548113</v>
      </c>
      <c r="D29" s="352">
        <f t="shared" si="0"/>
        <v>84924634.983999997</v>
      </c>
      <c r="F29" s="352">
        <v>467839</v>
      </c>
    </row>
    <row r="30" spans="1:6" ht="14.1" customHeight="1">
      <c r="A30" s="23" t="s">
        <v>242</v>
      </c>
      <c r="B30" s="24">
        <f>'- 46 -'!C30</f>
        <v>902452.6</v>
      </c>
      <c r="C30" s="24">
        <v>5164919</v>
      </c>
      <c r="D30" s="24">
        <f t="shared" si="0"/>
        <v>6067371.5999999996</v>
      </c>
      <c r="F30" s="24">
        <v>273276</v>
      </c>
    </row>
    <row r="31" spans="1:6" ht="14.1" customHeight="1">
      <c r="A31" s="351" t="s">
        <v>243</v>
      </c>
      <c r="B31" s="352">
        <f>'- 46 -'!C31</f>
        <v>3222329.0928000002</v>
      </c>
      <c r="C31" s="352">
        <v>13621393</v>
      </c>
      <c r="D31" s="352">
        <f t="shared" si="0"/>
        <v>16843722.092799999</v>
      </c>
      <c r="F31" s="352">
        <v>284341</v>
      </c>
    </row>
    <row r="32" spans="1:6" ht="14.1" customHeight="1">
      <c r="A32" s="23" t="s">
        <v>244</v>
      </c>
      <c r="B32" s="24">
        <f>'- 46 -'!C32</f>
        <v>1293044.8432</v>
      </c>
      <c r="C32" s="24">
        <v>10864064</v>
      </c>
      <c r="D32" s="24">
        <f t="shared" si="0"/>
        <v>12157108.8432</v>
      </c>
      <c r="F32" s="24">
        <v>353238</v>
      </c>
    </row>
    <row r="33" spans="1:6" ht="14.1" customHeight="1">
      <c r="A33" s="351" t="s">
        <v>245</v>
      </c>
      <c r="B33" s="352">
        <f>'- 46 -'!C33</f>
        <v>1613120.9088000001</v>
      </c>
      <c r="C33" s="352">
        <v>11482977</v>
      </c>
      <c r="D33" s="352">
        <f t="shared" si="0"/>
        <v>13096097.9088</v>
      </c>
      <c r="F33" s="352">
        <v>327177</v>
      </c>
    </row>
    <row r="34" spans="1:6" ht="14.1" customHeight="1">
      <c r="A34" s="23" t="s">
        <v>246</v>
      </c>
      <c r="B34" s="24">
        <f>'- 46 -'!C34</f>
        <v>2114084.1856</v>
      </c>
      <c r="C34" s="24">
        <v>12911094</v>
      </c>
      <c r="D34" s="24">
        <f t="shared" si="0"/>
        <v>15025178.1856</v>
      </c>
      <c r="F34" s="24">
        <v>345642</v>
      </c>
    </row>
    <row r="35" spans="1:6" ht="14.1" customHeight="1">
      <c r="A35" s="351" t="s">
        <v>247</v>
      </c>
      <c r="B35" s="352">
        <f>'- 46 -'!C35</f>
        <v>8669179.1792000011</v>
      </c>
      <c r="C35" s="352">
        <v>70556528</v>
      </c>
      <c r="D35" s="352">
        <f t="shared" si="0"/>
        <v>79225707.179199994</v>
      </c>
      <c r="F35" s="352">
        <v>317185</v>
      </c>
    </row>
    <row r="36" spans="1:6" ht="14.1" customHeight="1">
      <c r="A36" s="23" t="s">
        <v>248</v>
      </c>
      <c r="B36" s="24">
        <f>'- 46 -'!C36</f>
        <v>1759730.1152000001</v>
      </c>
      <c r="C36" s="24">
        <v>9043186</v>
      </c>
      <c r="D36" s="24">
        <f t="shared" si="0"/>
        <v>10802916.1152</v>
      </c>
      <c r="F36" s="24">
        <v>368589</v>
      </c>
    </row>
    <row r="37" spans="1:6" ht="14.1" customHeight="1">
      <c r="A37" s="351" t="s">
        <v>249</v>
      </c>
      <c r="B37" s="352">
        <f>'- 46 -'!C37</f>
        <v>1650865.5312000001</v>
      </c>
      <c r="C37" s="352">
        <v>17901608</v>
      </c>
      <c r="D37" s="352">
        <f t="shared" si="0"/>
        <v>19552473.531199999</v>
      </c>
      <c r="F37" s="352">
        <v>241790</v>
      </c>
    </row>
    <row r="38" spans="1:6" ht="14.1" customHeight="1">
      <c r="A38" s="23" t="s">
        <v>250</v>
      </c>
      <c r="B38" s="24">
        <f>'- 46 -'!C38</f>
        <v>3397996.4975999999</v>
      </c>
      <c r="C38" s="24">
        <v>40646531</v>
      </c>
      <c r="D38" s="24">
        <f t="shared" si="0"/>
        <v>44044527.497599997</v>
      </c>
      <c r="F38" s="24">
        <v>253401</v>
      </c>
    </row>
    <row r="39" spans="1:6" ht="14.1" customHeight="1">
      <c r="A39" s="351" t="s">
        <v>251</v>
      </c>
      <c r="B39" s="352">
        <f>'- 46 -'!C39</f>
        <v>2204415.4975999999</v>
      </c>
      <c r="C39" s="352">
        <v>9421654</v>
      </c>
      <c r="D39" s="352">
        <f t="shared" si="0"/>
        <v>11626069.4976</v>
      </c>
      <c r="F39" s="352">
        <v>411481</v>
      </c>
    </row>
    <row r="40" spans="1:6" ht="14.1" customHeight="1">
      <c r="A40" s="23" t="s">
        <v>252</v>
      </c>
      <c r="B40" s="24">
        <f>'- 46 -'!C40</f>
        <v>14392106.4608</v>
      </c>
      <c r="C40" s="24">
        <v>46153502</v>
      </c>
      <c r="D40" s="24">
        <f t="shared" si="0"/>
        <v>60545608.4608</v>
      </c>
      <c r="F40" s="24">
        <v>460516</v>
      </c>
    </row>
    <row r="41" spans="1:6" ht="14.1" customHeight="1">
      <c r="A41" s="351" t="s">
        <v>253</v>
      </c>
      <c r="B41" s="352">
        <f>'- 46 -'!C41</f>
        <v>3358331.0128000001</v>
      </c>
      <c r="C41" s="352">
        <v>27328680</v>
      </c>
      <c r="D41" s="352">
        <f t="shared" si="0"/>
        <v>30687011.012800001</v>
      </c>
      <c r="F41" s="352">
        <v>380872</v>
      </c>
    </row>
    <row r="42" spans="1:6" ht="14.1" customHeight="1">
      <c r="A42" s="23" t="s">
        <v>254</v>
      </c>
      <c r="B42" s="24">
        <f>'- 46 -'!C42</f>
        <v>740475.58559999999</v>
      </c>
      <c r="C42" s="24">
        <v>6365017</v>
      </c>
      <c r="D42" s="24">
        <f t="shared" si="0"/>
        <v>7105492.5855999999</v>
      </c>
      <c r="F42" s="24">
        <v>232150</v>
      </c>
    </row>
    <row r="43" spans="1:6" ht="14.1" customHeight="1">
      <c r="A43" s="351" t="s">
        <v>255</v>
      </c>
      <c r="B43" s="352">
        <f>'- 46 -'!C43</f>
        <v>569563.70400000003</v>
      </c>
      <c r="C43" s="352">
        <v>5345377</v>
      </c>
      <c r="D43" s="352">
        <f t="shared" si="0"/>
        <v>5914940.7039999999</v>
      </c>
      <c r="F43" s="352">
        <v>348361</v>
      </c>
    </row>
    <row r="44" spans="1:6" ht="14.1" customHeight="1">
      <c r="A44" s="23" t="s">
        <v>256</v>
      </c>
      <c r="B44" s="24">
        <f>'- 46 -'!C44</f>
        <v>146207.51680000001</v>
      </c>
      <c r="C44" s="24">
        <v>2811142</v>
      </c>
      <c r="D44" s="24">
        <f t="shared" si="0"/>
        <v>2957349.5167999999</v>
      </c>
      <c r="F44" s="24">
        <v>182473</v>
      </c>
    </row>
    <row r="45" spans="1:6" ht="14.1" customHeight="1">
      <c r="A45" s="351" t="s">
        <v>257</v>
      </c>
      <c r="B45" s="352">
        <f>'- 46 -'!C45</f>
        <v>921919.43680000002</v>
      </c>
      <c r="C45" s="352">
        <v>6811218</v>
      </c>
      <c r="D45" s="352">
        <f t="shared" si="0"/>
        <v>7733137.4368000003</v>
      </c>
      <c r="F45" s="352">
        <v>237925</v>
      </c>
    </row>
    <row r="46" spans="1:6" ht="14.1" customHeight="1">
      <c r="A46" s="23" t="s">
        <v>258</v>
      </c>
      <c r="B46" s="24">
        <f>'- 46 -'!C46</f>
        <v>41810998.8112</v>
      </c>
      <c r="C46" s="24">
        <v>142601898</v>
      </c>
      <c r="D46" s="24">
        <f t="shared" si="0"/>
        <v>184412896.81119999</v>
      </c>
      <c r="F46" s="24">
        <v>312565</v>
      </c>
    </row>
    <row r="47" spans="1:6" ht="5.0999999999999996" customHeight="1">
      <c r="A47"/>
      <c r="B47"/>
      <c r="C47"/>
      <c r="D47"/>
      <c r="F47"/>
    </row>
    <row r="48" spans="1:6" ht="14.1" customHeight="1">
      <c r="A48" s="354" t="s">
        <v>259</v>
      </c>
      <c r="B48" s="355">
        <f>SUM(B11:B46)</f>
        <v>143508439.1904</v>
      </c>
      <c r="C48" s="355">
        <f>SUM(C11:C46)</f>
        <v>771438893</v>
      </c>
      <c r="D48" s="355">
        <f>SUM(D11:D46)</f>
        <v>914947332.19040012</v>
      </c>
      <c r="F48" s="355">
        <v>317611.57242137002</v>
      </c>
    </row>
    <row r="49" spans="1:6" ht="50.1" customHeight="1">
      <c r="A49" s="277" t="s">
        <v>3</v>
      </c>
      <c r="B49" s="27"/>
      <c r="C49" s="27"/>
      <c r="D49" s="27"/>
      <c r="E49" s="27"/>
      <c r="F49" s="27"/>
    </row>
    <row r="50" spans="1:6" ht="15" customHeight="1">
      <c r="A50" s="2" t="s">
        <v>586</v>
      </c>
    </row>
    <row r="51" spans="1:6" ht="12" customHeight="1">
      <c r="A51" s="2" t="s">
        <v>589</v>
      </c>
    </row>
    <row r="52" spans="1:6" ht="12" customHeight="1">
      <c r="A52" s="154" t="s">
        <v>594</v>
      </c>
    </row>
    <row r="53" spans="1:6" ht="14.45" customHeight="1"/>
    <row r="54" spans="1:6" ht="14.45" customHeight="1"/>
    <row r="55" spans="1:6" ht="14.45" customHeight="1"/>
    <row r="56" spans="1:6" ht="14.45" customHeight="1"/>
    <row r="57" spans="1:6" ht="14.45" customHeight="1"/>
    <row r="58" spans="1:6" ht="14.45" customHeight="1"/>
  </sheetData>
  <phoneticPr fontId="0" type="noConversion"/>
  <printOptions horizontalCentered="1"/>
  <pageMargins left="0.51181102362204722" right="0.51181102362204722" top="0.59055118110236227" bottom="0" header="0.31496062992125984" footer="0"/>
  <pageSetup scale="85" orientation="portrait" r:id="rId1"/>
  <headerFooter alignWithMargins="0">
    <oddHeader>&amp;C&amp;"Arial,Bold"&amp;10&amp;A</oddHeader>
  </headerFooter>
</worksheet>
</file>

<file path=xl/worksheets/sheet45.xml><?xml version="1.0" encoding="utf-8"?>
<worksheet xmlns="http://schemas.openxmlformats.org/spreadsheetml/2006/main" xmlns:r="http://schemas.openxmlformats.org/officeDocument/2006/relationships">
  <sheetPr codeName="Sheet45"/>
  <dimension ref="A1:G59"/>
  <sheetViews>
    <sheetView showGridLines="0" showZeros="0" workbookViewId="0"/>
  </sheetViews>
  <sheetFormatPr defaultColWidth="19.83203125" defaultRowHeight="12"/>
  <cols>
    <col min="1" max="1" width="31.6640625" style="1" customWidth="1"/>
    <col min="2" max="2" width="21.83203125" style="1" customWidth="1"/>
    <col min="3" max="3" width="18.5" style="1" customWidth="1"/>
    <col min="4" max="4" width="13.6640625" style="1" customWidth="1"/>
    <col min="5" max="5" width="15.33203125" style="1" customWidth="1"/>
    <col min="6" max="6" width="15.83203125" style="1" customWidth="1"/>
    <col min="7" max="7" width="13.33203125" style="1" customWidth="1"/>
    <col min="8" max="16384" width="19.83203125" style="1"/>
  </cols>
  <sheetData>
    <row r="1" spans="1:7" ht="6.95" customHeight="1">
      <c r="A1" s="3"/>
      <c r="B1" s="3"/>
      <c r="C1" s="3"/>
      <c r="D1" s="3"/>
      <c r="E1" s="3"/>
      <c r="F1" s="3"/>
      <c r="G1" s="3"/>
    </row>
    <row r="2" spans="1:7" ht="15.95" customHeight="1">
      <c r="A2" s="299"/>
      <c r="B2" s="309" t="str">
        <f>REVYEAR</f>
        <v>ANALYSIS OF OPERATING FUND REVENUE: 2012/2013 BUDGET</v>
      </c>
      <c r="C2" s="309"/>
      <c r="D2" s="310"/>
      <c r="E2" s="304"/>
      <c r="F2" s="304"/>
      <c r="G2" s="249" t="s">
        <v>193</v>
      </c>
    </row>
    <row r="3" spans="1:7" ht="15.95" customHeight="1">
      <c r="A3" s="244"/>
      <c r="B3" s="3"/>
      <c r="C3" s="3"/>
      <c r="D3" s="3"/>
      <c r="E3" s="3"/>
      <c r="F3" s="3"/>
      <c r="G3" s="3"/>
    </row>
    <row r="4" spans="1:7" ht="15.95" customHeight="1">
      <c r="B4" s="430" t="s">
        <v>76</v>
      </c>
      <c r="C4" s="463"/>
      <c r="D4" s="360"/>
      <c r="E4" s="360"/>
      <c r="F4" s="360"/>
      <c r="G4" s="359"/>
    </row>
    <row r="5" spans="1:7" ht="15.95" customHeight="1">
      <c r="B5" s="453" t="s">
        <v>216</v>
      </c>
      <c r="C5" s="464"/>
      <c r="D5" s="425"/>
      <c r="E5" s="371"/>
      <c r="F5" s="371"/>
      <c r="G5" s="361"/>
    </row>
    <row r="6" spans="1:7" ht="15.95" customHeight="1">
      <c r="B6" s="132" t="s">
        <v>95</v>
      </c>
      <c r="C6" s="127"/>
      <c r="D6" s="128"/>
      <c r="E6" s="128"/>
      <c r="F6" s="275"/>
      <c r="G6" s="313"/>
    </row>
    <row r="7" spans="1:7" ht="15.95" customHeight="1">
      <c r="B7" s="251"/>
      <c r="C7" s="251" t="s">
        <v>457</v>
      </c>
      <c r="D7" s="32"/>
      <c r="E7" s="32"/>
      <c r="F7" s="32"/>
      <c r="G7" s="32"/>
    </row>
    <row r="8" spans="1:7" ht="15.95" customHeight="1">
      <c r="A8" s="101"/>
      <c r="B8" s="303" t="s">
        <v>212</v>
      </c>
      <c r="C8" s="303" t="s">
        <v>455</v>
      </c>
      <c r="D8" s="253" t="s">
        <v>222</v>
      </c>
      <c r="E8" s="253" t="s">
        <v>189</v>
      </c>
      <c r="F8" s="253" t="s">
        <v>190</v>
      </c>
      <c r="G8" s="253" t="s">
        <v>111</v>
      </c>
    </row>
    <row r="9" spans="1:7" ht="15.95" customHeight="1">
      <c r="A9" s="35" t="s">
        <v>79</v>
      </c>
      <c r="B9" s="235" t="s">
        <v>360</v>
      </c>
      <c r="C9" s="235" t="s">
        <v>456</v>
      </c>
      <c r="D9" s="118" t="s">
        <v>363</v>
      </c>
      <c r="E9" s="118" t="s">
        <v>150</v>
      </c>
      <c r="F9" s="118" t="s">
        <v>22</v>
      </c>
      <c r="G9" s="118" t="s">
        <v>135</v>
      </c>
    </row>
    <row r="10" spans="1:7" ht="5.0999999999999996" customHeight="1">
      <c r="A10" s="37"/>
      <c r="E10" s="3"/>
      <c r="F10" s="3"/>
      <c r="G10" s="3"/>
    </row>
    <row r="11" spans="1:7" ht="14.1" customHeight="1">
      <c r="A11" s="351" t="s">
        <v>224</v>
      </c>
      <c r="B11" s="352">
        <v>2752720</v>
      </c>
      <c r="C11" s="352">
        <v>100105</v>
      </c>
      <c r="D11" s="352">
        <v>165020</v>
      </c>
      <c r="E11" s="352">
        <v>85710</v>
      </c>
      <c r="F11" s="352">
        <v>85710</v>
      </c>
      <c r="G11" s="352">
        <v>131422</v>
      </c>
    </row>
    <row r="12" spans="1:7" ht="14.1" customHeight="1">
      <c r="A12" s="23" t="s">
        <v>225</v>
      </c>
      <c r="B12" s="24">
        <v>4223021</v>
      </c>
      <c r="C12" s="24">
        <v>1871</v>
      </c>
      <c r="D12" s="24">
        <v>393225</v>
      </c>
      <c r="E12" s="24">
        <v>131490</v>
      </c>
      <c r="F12" s="24">
        <v>131490</v>
      </c>
      <c r="G12" s="24">
        <v>201618</v>
      </c>
    </row>
    <row r="13" spans="1:7" ht="14.1" customHeight="1">
      <c r="A13" s="351" t="s">
        <v>226</v>
      </c>
      <c r="B13" s="352">
        <v>14499500</v>
      </c>
      <c r="C13" s="352">
        <v>0</v>
      </c>
      <c r="D13" s="352">
        <v>104200</v>
      </c>
      <c r="E13" s="352">
        <v>451500</v>
      </c>
      <c r="F13" s="352">
        <v>451500</v>
      </c>
      <c r="G13" s="352">
        <v>692200</v>
      </c>
    </row>
    <row r="14" spans="1:7" ht="14.1" customHeight="1">
      <c r="A14" s="23" t="s">
        <v>524</v>
      </c>
      <c r="B14" s="24">
        <v>9063837</v>
      </c>
      <c r="C14" s="24">
        <v>113133</v>
      </c>
      <c r="D14" s="24">
        <v>757862</v>
      </c>
      <c r="E14" s="24">
        <v>282216</v>
      </c>
      <c r="F14" s="24">
        <v>282216</v>
      </c>
      <c r="G14" s="24">
        <v>432731</v>
      </c>
    </row>
    <row r="15" spans="1:7" ht="14.1" customHeight="1">
      <c r="A15" s="351" t="s">
        <v>227</v>
      </c>
      <c r="B15" s="352">
        <v>2889729</v>
      </c>
      <c r="C15" s="352">
        <v>0</v>
      </c>
      <c r="D15" s="352">
        <v>244944</v>
      </c>
      <c r="E15" s="352">
        <v>89976</v>
      </c>
      <c r="F15" s="352">
        <v>89976</v>
      </c>
      <c r="G15" s="352">
        <v>137963</v>
      </c>
    </row>
    <row r="16" spans="1:7" ht="14.1" customHeight="1">
      <c r="A16" s="23" t="s">
        <v>228</v>
      </c>
      <c r="B16" s="24">
        <v>1848764</v>
      </c>
      <c r="C16" s="24">
        <v>60060</v>
      </c>
      <c r="D16" s="24">
        <v>0</v>
      </c>
      <c r="E16" s="24">
        <v>57564</v>
      </c>
      <c r="F16" s="24">
        <v>57564</v>
      </c>
      <c r="G16" s="24">
        <v>88265</v>
      </c>
    </row>
    <row r="17" spans="1:7" ht="14.1" customHeight="1">
      <c r="A17" s="351" t="s">
        <v>229</v>
      </c>
      <c r="B17" s="352">
        <v>2454420</v>
      </c>
      <c r="C17" s="352">
        <v>0</v>
      </c>
      <c r="D17" s="352">
        <v>284276</v>
      </c>
      <c r="E17" s="352">
        <v>76422</v>
      </c>
      <c r="F17" s="352">
        <v>76422</v>
      </c>
      <c r="G17" s="352">
        <v>117180</v>
      </c>
    </row>
    <row r="18" spans="1:7" ht="14.1" customHeight="1">
      <c r="A18" s="23" t="s">
        <v>230</v>
      </c>
      <c r="B18" s="24">
        <v>4820198</v>
      </c>
      <c r="C18" s="24">
        <v>0</v>
      </c>
      <c r="D18" s="24">
        <v>1074857</v>
      </c>
      <c r="E18" s="24">
        <v>150084</v>
      </c>
      <c r="F18" s="24">
        <v>150084</v>
      </c>
      <c r="G18" s="24">
        <v>230129</v>
      </c>
    </row>
    <row r="19" spans="1:7" ht="14.1" customHeight="1">
      <c r="A19" s="351" t="s">
        <v>231</v>
      </c>
      <c r="B19" s="352">
        <v>7927485</v>
      </c>
      <c r="C19" s="352">
        <v>30499</v>
      </c>
      <c r="D19" s="352">
        <v>194472</v>
      </c>
      <c r="E19" s="352">
        <v>246834</v>
      </c>
      <c r="F19" s="352">
        <v>246834</v>
      </c>
      <c r="G19" s="352">
        <v>378479</v>
      </c>
    </row>
    <row r="20" spans="1:7" ht="14.1" customHeight="1">
      <c r="A20" s="23" t="s">
        <v>232</v>
      </c>
      <c r="B20" s="24">
        <v>14043976</v>
      </c>
      <c r="C20" s="24">
        <v>0</v>
      </c>
      <c r="D20" s="24">
        <v>254854</v>
      </c>
      <c r="E20" s="24">
        <v>437280</v>
      </c>
      <c r="F20" s="24">
        <v>437280</v>
      </c>
      <c r="G20" s="24">
        <v>670496</v>
      </c>
    </row>
    <row r="21" spans="1:7" ht="14.1" customHeight="1">
      <c r="A21" s="351" t="s">
        <v>233</v>
      </c>
      <c r="B21" s="352">
        <v>5542837</v>
      </c>
      <c r="C21" s="352">
        <v>0</v>
      </c>
      <c r="D21" s="352">
        <v>446926</v>
      </c>
      <c r="E21" s="352">
        <v>170184</v>
      </c>
      <c r="F21" s="352">
        <v>170184</v>
      </c>
      <c r="G21" s="352">
        <v>260949</v>
      </c>
    </row>
    <row r="22" spans="1:7" ht="14.1" customHeight="1">
      <c r="A22" s="23" t="s">
        <v>234</v>
      </c>
      <c r="B22" s="24">
        <v>3016140</v>
      </c>
      <c r="C22" s="24">
        <v>0</v>
      </c>
      <c r="D22" s="24">
        <v>35200</v>
      </c>
      <c r="E22" s="24">
        <v>93912</v>
      </c>
      <c r="F22" s="24">
        <v>93912</v>
      </c>
      <c r="G22" s="24">
        <v>143998</v>
      </c>
    </row>
    <row r="23" spans="1:7" ht="14.1" customHeight="1">
      <c r="A23" s="351" t="s">
        <v>235</v>
      </c>
      <c r="B23" s="352">
        <v>2059770</v>
      </c>
      <c r="C23" s="352">
        <v>0</v>
      </c>
      <c r="D23" s="352">
        <v>389577</v>
      </c>
      <c r="E23" s="352">
        <v>64134</v>
      </c>
      <c r="F23" s="352">
        <v>64134</v>
      </c>
      <c r="G23" s="352">
        <v>98339</v>
      </c>
    </row>
    <row r="24" spans="1:7" ht="14.1" customHeight="1">
      <c r="A24" s="23" t="s">
        <v>236</v>
      </c>
      <c r="B24" s="24">
        <v>8165855</v>
      </c>
      <c r="C24" s="24">
        <v>0</v>
      </c>
      <c r="D24" s="24">
        <v>363643</v>
      </c>
      <c r="E24" s="24">
        <v>254256</v>
      </c>
      <c r="F24" s="24">
        <v>254256</v>
      </c>
      <c r="G24" s="24">
        <v>389859</v>
      </c>
    </row>
    <row r="25" spans="1:7" ht="14.1" customHeight="1">
      <c r="A25" s="351" t="s">
        <v>237</v>
      </c>
      <c r="B25" s="352">
        <v>26191957</v>
      </c>
      <c r="C25" s="352">
        <v>0</v>
      </c>
      <c r="D25" s="352">
        <v>0</v>
      </c>
      <c r="E25" s="352">
        <v>815538</v>
      </c>
      <c r="F25" s="352">
        <v>815538</v>
      </c>
      <c r="G25" s="352">
        <v>1250492</v>
      </c>
    </row>
    <row r="26" spans="1:7" ht="14.1" customHeight="1">
      <c r="A26" s="23" t="s">
        <v>238</v>
      </c>
      <c r="B26" s="24">
        <v>5686192</v>
      </c>
      <c r="C26" s="24">
        <v>0</v>
      </c>
      <c r="D26" s="24">
        <v>586435</v>
      </c>
      <c r="E26" s="24">
        <v>177048</v>
      </c>
      <c r="F26" s="24">
        <v>177048</v>
      </c>
      <c r="G26" s="24">
        <v>271474</v>
      </c>
    </row>
    <row r="27" spans="1:7" ht="14.1" customHeight="1">
      <c r="A27" s="351" t="s">
        <v>239</v>
      </c>
      <c r="B27" s="352">
        <v>5295974</v>
      </c>
      <c r="C27" s="352">
        <v>0</v>
      </c>
      <c r="D27" s="352">
        <v>0</v>
      </c>
      <c r="E27" s="352">
        <v>164898</v>
      </c>
      <c r="F27" s="352">
        <v>164898</v>
      </c>
      <c r="G27" s="352">
        <v>252844</v>
      </c>
    </row>
    <row r="28" spans="1:7" ht="14.1" customHeight="1">
      <c r="A28" s="23" t="s">
        <v>240</v>
      </c>
      <c r="B28" s="24">
        <v>2945420</v>
      </c>
      <c r="C28" s="24">
        <v>143187</v>
      </c>
      <c r="D28" s="24">
        <v>525765</v>
      </c>
      <c r="E28" s="24">
        <v>91710</v>
      </c>
      <c r="F28" s="24">
        <v>91710</v>
      </c>
      <c r="G28" s="24">
        <v>140622</v>
      </c>
    </row>
    <row r="29" spans="1:7" ht="14.1" customHeight="1">
      <c r="A29" s="351" t="s">
        <v>241</v>
      </c>
      <c r="B29" s="352">
        <v>23191445</v>
      </c>
      <c r="C29" s="352">
        <v>0</v>
      </c>
      <c r="D29" s="352">
        <v>0</v>
      </c>
      <c r="E29" s="352">
        <v>722100</v>
      </c>
      <c r="F29" s="352">
        <v>722100</v>
      </c>
      <c r="G29" s="352">
        <v>1107220</v>
      </c>
    </row>
    <row r="30" spans="1:7" ht="14.1" customHeight="1">
      <c r="A30" s="23" t="s">
        <v>242</v>
      </c>
      <c r="B30" s="24">
        <v>2113919</v>
      </c>
      <c r="C30" s="24">
        <v>70361</v>
      </c>
      <c r="D30" s="24">
        <v>298616</v>
      </c>
      <c r="E30" s="24">
        <v>65820</v>
      </c>
      <c r="F30" s="24">
        <v>65820</v>
      </c>
      <c r="G30" s="24">
        <v>100924</v>
      </c>
    </row>
    <row r="31" spans="1:7" ht="14.1" customHeight="1">
      <c r="A31" s="351" t="s">
        <v>243</v>
      </c>
      <c r="B31" s="352">
        <v>5924754</v>
      </c>
      <c r="C31" s="352">
        <v>0</v>
      </c>
      <c r="D31" s="352">
        <v>184533</v>
      </c>
      <c r="E31" s="352">
        <v>184476</v>
      </c>
      <c r="F31" s="352">
        <v>184476</v>
      </c>
      <c r="G31" s="352">
        <v>282863</v>
      </c>
    </row>
    <row r="32" spans="1:7" ht="14.1" customHeight="1">
      <c r="A32" s="23" t="s">
        <v>244</v>
      </c>
      <c r="B32" s="24">
        <v>3954011</v>
      </c>
      <c r="C32" s="24">
        <v>0</v>
      </c>
      <c r="D32" s="24">
        <v>603112</v>
      </c>
      <c r="E32" s="24">
        <v>123114</v>
      </c>
      <c r="F32" s="24">
        <v>123114</v>
      </c>
      <c r="G32" s="24">
        <v>188775</v>
      </c>
    </row>
    <row r="33" spans="1:7" ht="14.1" customHeight="1">
      <c r="A33" s="351" t="s">
        <v>245</v>
      </c>
      <c r="B33" s="352">
        <v>3860745</v>
      </c>
      <c r="C33" s="352">
        <v>21924</v>
      </c>
      <c r="D33" s="352">
        <v>825085</v>
      </c>
      <c r="E33" s="352">
        <v>120210</v>
      </c>
      <c r="F33" s="352">
        <v>120210</v>
      </c>
      <c r="G33" s="352">
        <v>184322</v>
      </c>
    </row>
    <row r="34" spans="1:7" ht="14.1" customHeight="1">
      <c r="A34" s="23" t="s">
        <v>246</v>
      </c>
      <c r="B34" s="24">
        <v>3840896</v>
      </c>
      <c r="C34" s="24">
        <v>69960</v>
      </c>
      <c r="D34" s="24">
        <v>562821</v>
      </c>
      <c r="E34" s="24">
        <v>119592</v>
      </c>
      <c r="F34" s="24">
        <v>119592</v>
      </c>
      <c r="G34" s="24">
        <v>183374</v>
      </c>
    </row>
    <row r="35" spans="1:7" ht="14.1" customHeight="1">
      <c r="A35" s="351" t="s">
        <v>247</v>
      </c>
      <c r="B35" s="352">
        <v>29966006</v>
      </c>
      <c r="C35" s="352">
        <v>0</v>
      </c>
      <c r="D35" s="352">
        <v>0</v>
      </c>
      <c r="E35" s="352">
        <v>933036</v>
      </c>
      <c r="F35" s="352">
        <v>933036</v>
      </c>
      <c r="G35" s="352">
        <v>1430655</v>
      </c>
    </row>
    <row r="36" spans="1:7" ht="14.1" customHeight="1">
      <c r="A36" s="23" t="s">
        <v>248</v>
      </c>
      <c r="B36" s="24">
        <v>2996100</v>
      </c>
      <c r="C36" s="24">
        <v>92140</v>
      </c>
      <c r="D36" s="24">
        <v>406847</v>
      </c>
      <c r="E36" s="24">
        <v>93288</v>
      </c>
      <c r="F36" s="24">
        <v>93288</v>
      </c>
      <c r="G36" s="24">
        <v>143042</v>
      </c>
    </row>
    <row r="37" spans="1:7" ht="14.1" customHeight="1">
      <c r="A37" s="351" t="s">
        <v>249</v>
      </c>
      <c r="B37" s="352">
        <v>7081147</v>
      </c>
      <c r="C37" s="352">
        <v>0</v>
      </c>
      <c r="D37" s="352">
        <v>459889</v>
      </c>
      <c r="E37" s="352">
        <v>220482</v>
      </c>
      <c r="F37" s="352">
        <v>220482</v>
      </c>
      <c r="G37" s="352">
        <v>338072</v>
      </c>
    </row>
    <row r="38" spans="1:7" ht="14.1" customHeight="1">
      <c r="A38" s="23" t="s">
        <v>250</v>
      </c>
      <c r="B38" s="24">
        <v>19412405</v>
      </c>
      <c r="C38" s="24">
        <v>0</v>
      </c>
      <c r="D38" s="24">
        <v>0</v>
      </c>
      <c r="E38" s="24">
        <v>604434</v>
      </c>
      <c r="F38" s="24">
        <v>604434</v>
      </c>
      <c r="G38" s="24">
        <v>926799</v>
      </c>
    </row>
    <row r="39" spans="1:7" ht="14.1" customHeight="1">
      <c r="A39" s="351" t="s">
        <v>251</v>
      </c>
      <c r="B39" s="352">
        <v>3057571</v>
      </c>
      <c r="C39" s="352">
        <v>0</v>
      </c>
      <c r="D39" s="352">
        <v>523621</v>
      </c>
      <c r="E39" s="352">
        <v>95202</v>
      </c>
      <c r="F39" s="352">
        <v>95202</v>
      </c>
      <c r="G39" s="352">
        <v>145976</v>
      </c>
    </row>
    <row r="40" spans="1:7" ht="14.1" customHeight="1">
      <c r="A40" s="23" t="s">
        <v>252</v>
      </c>
      <c r="B40" s="24">
        <v>15559369</v>
      </c>
      <c r="C40" s="24">
        <v>0</v>
      </c>
      <c r="D40" s="24">
        <v>0</v>
      </c>
      <c r="E40" s="24">
        <v>484464</v>
      </c>
      <c r="F40" s="24">
        <v>484464</v>
      </c>
      <c r="G40" s="24">
        <v>742845</v>
      </c>
    </row>
    <row r="41" spans="1:7" ht="14.1" customHeight="1">
      <c r="A41" s="351" t="s">
        <v>253</v>
      </c>
      <c r="B41" s="352">
        <v>8627248</v>
      </c>
      <c r="C41" s="352">
        <v>95593</v>
      </c>
      <c r="D41" s="352">
        <v>499053</v>
      </c>
      <c r="E41" s="352">
        <v>268698</v>
      </c>
      <c r="F41" s="352">
        <v>268698</v>
      </c>
      <c r="G41" s="352">
        <v>412004</v>
      </c>
    </row>
    <row r="42" spans="1:7" ht="14.1" customHeight="1">
      <c r="A42" s="23" t="s">
        <v>254</v>
      </c>
      <c r="B42" s="24">
        <v>2770063</v>
      </c>
      <c r="C42" s="24">
        <v>0</v>
      </c>
      <c r="D42" s="24">
        <v>307217</v>
      </c>
      <c r="E42" s="24">
        <v>86250</v>
      </c>
      <c r="F42" s="24">
        <v>86250</v>
      </c>
      <c r="G42" s="24">
        <v>132250</v>
      </c>
    </row>
    <row r="43" spans="1:7" ht="14.1" customHeight="1">
      <c r="A43" s="351" t="s">
        <v>255</v>
      </c>
      <c r="B43" s="352">
        <v>1874586</v>
      </c>
      <c r="C43" s="352">
        <v>36436</v>
      </c>
      <c r="D43" s="352">
        <v>243409</v>
      </c>
      <c r="E43" s="352">
        <v>58368</v>
      </c>
      <c r="F43" s="352">
        <v>58368</v>
      </c>
      <c r="G43" s="352">
        <v>89498</v>
      </c>
    </row>
    <row r="44" spans="1:7" ht="14.1" customHeight="1">
      <c r="A44" s="23" t="s">
        <v>256</v>
      </c>
      <c r="B44" s="24">
        <v>1371253</v>
      </c>
      <c r="C44" s="24">
        <v>29070</v>
      </c>
      <c r="D44" s="24">
        <v>300435</v>
      </c>
      <c r="E44" s="24">
        <v>42696</v>
      </c>
      <c r="F44" s="24">
        <v>42696</v>
      </c>
      <c r="G44" s="24">
        <v>65467</v>
      </c>
    </row>
    <row r="45" spans="1:7" ht="14.1" customHeight="1">
      <c r="A45" s="351" t="s">
        <v>257</v>
      </c>
      <c r="B45" s="352">
        <v>3142359</v>
      </c>
      <c r="C45" s="352">
        <v>0</v>
      </c>
      <c r="D45" s="352">
        <v>10350</v>
      </c>
      <c r="E45" s="352">
        <v>97842</v>
      </c>
      <c r="F45" s="352">
        <v>97842</v>
      </c>
      <c r="G45" s="352">
        <v>150024</v>
      </c>
    </row>
    <row r="46" spans="1:7" ht="14.1" customHeight="1">
      <c r="A46" s="23" t="s">
        <v>258</v>
      </c>
      <c r="B46" s="24">
        <v>57703630</v>
      </c>
      <c r="C46" s="24">
        <v>0</v>
      </c>
      <c r="D46" s="24">
        <v>0</v>
      </c>
      <c r="E46" s="24">
        <v>1796688</v>
      </c>
      <c r="F46" s="24">
        <v>1796688</v>
      </c>
      <c r="G46" s="24">
        <v>2754922</v>
      </c>
    </row>
    <row r="47" spans="1:7" ht="5.0999999999999996" customHeight="1">
      <c r="A47"/>
      <c r="B47"/>
      <c r="C47"/>
      <c r="D47"/>
      <c r="E47"/>
      <c r="F47"/>
      <c r="G47"/>
    </row>
    <row r="48" spans="1:7" ht="14.1" customHeight="1">
      <c r="A48" s="354" t="s">
        <v>259</v>
      </c>
      <c r="B48" s="355">
        <f t="shared" ref="B48:G48" si="0">SUM(B11:B46)</f>
        <v>319875302</v>
      </c>
      <c r="C48" s="355">
        <f t="shared" si="0"/>
        <v>864339</v>
      </c>
      <c r="D48" s="355">
        <f t="shared" si="0"/>
        <v>11046244</v>
      </c>
      <c r="E48" s="355">
        <f t="shared" si="0"/>
        <v>9957516</v>
      </c>
      <c r="F48" s="355">
        <f t="shared" si="0"/>
        <v>9957516</v>
      </c>
      <c r="G48" s="355">
        <f t="shared" si="0"/>
        <v>15268092</v>
      </c>
    </row>
    <row r="49" spans="1:7" ht="5.0999999999999996" customHeight="1">
      <c r="A49" s="25" t="s">
        <v>3</v>
      </c>
      <c r="B49" s="26"/>
      <c r="C49" s="26"/>
      <c r="D49" s="26"/>
      <c r="E49" s="26"/>
      <c r="F49" s="26"/>
      <c r="G49" s="26"/>
    </row>
    <row r="50" spans="1:7" ht="14.45" customHeight="1">
      <c r="A50" s="23" t="s">
        <v>260</v>
      </c>
      <c r="B50" s="24">
        <v>217704</v>
      </c>
      <c r="C50" s="24">
        <v>38478</v>
      </c>
      <c r="D50" s="24">
        <v>0</v>
      </c>
      <c r="E50" s="24">
        <v>10710</v>
      </c>
      <c r="F50" s="24">
        <v>10710</v>
      </c>
      <c r="G50" s="24">
        <v>16422</v>
      </c>
    </row>
    <row r="51" spans="1:7" ht="14.1" customHeight="1">
      <c r="A51" s="351" t="s">
        <v>261</v>
      </c>
      <c r="B51" s="352">
        <v>0</v>
      </c>
      <c r="C51" s="352">
        <v>0</v>
      </c>
      <c r="D51" s="352">
        <v>0</v>
      </c>
      <c r="E51" s="352">
        <v>0</v>
      </c>
      <c r="F51" s="352">
        <v>0</v>
      </c>
      <c r="G51" s="352">
        <v>0</v>
      </c>
    </row>
    <row r="52" spans="1:7" ht="50.1" customHeight="1">
      <c r="A52" s="27"/>
      <c r="B52" s="27"/>
      <c r="C52" s="27"/>
      <c r="D52" s="27"/>
      <c r="E52" s="27"/>
      <c r="F52" s="27"/>
      <c r="G52" s="27"/>
    </row>
    <row r="53" spans="1:7" ht="15" customHeight="1">
      <c r="A53" s="39" t="s">
        <v>620</v>
      </c>
      <c r="D53" s="39"/>
      <c r="E53" s="39"/>
      <c r="F53" s="39"/>
      <c r="G53" s="39"/>
    </row>
    <row r="54" spans="1:7" ht="12" customHeight="1">
      <c r="A54" s="39" t="s">
        <v>527</v>
      </c>
      <c r="D54" s="39"/>
      <c r="E54" s="39"/>
      <c r="F54" s="39"/>
      <c r="G54" s="39"/>
    </row>
    <row r="55" spans="1:7" ht="14.45" customHeight="1">
      <c r="A55" s="39"/>
      <c r="D55" s="39"/>
      <c r="E55" s="39"/>
      <c r="F55" s="39"/>
      <c r="G55" s="39"/>
    </row>
    <row r="56" spans="1:7" ht="14.45" customHeight="1">
      <c r="D56" s="114"/>
      <c r="E56" s="114"/>
      <c r="F56" s="114"/>
      <c r="G56" s="114"/>
    </row>
    <row r="57" spans="1:7" ht="14.45" customHeight="1"/>
    <row r="58" spans="1:7" ht="14.45" customHeight="1"/>
    <row r="59" spans="1:7" ht="14.45" customHeight="1"/>
  </sheetData>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6.xml><?xml version="1.0" encoding="utf-8"?>
<worksheet xmlns="http://schemas.openxmlformats.org/spreadsheetml/2006/main" xmlns:r="http://schemas.openxmlformats.org/officeDocument/2006/relationships">
  <sheetPr codeName="Sheet451">
    <pageSetUpPr fitToPage="1"/>
  </sheetPr>
  <dimension ref="A1:K59"/>
  <sheetViews>
    <sheetView showGridLines="0" showZeros="0" workbookViewId="0"/>
  </sheetViews>
  <sheetFormatPr defaultColWidth="19.83203125" defaultRowHeight="12"/>
  <cols>
    <col min="1" max="1" width="29.83203125" style="1" customWidth="1"/>
    <col min="2" max="2" width="15.83203125" style="1" customWidth="1"/>
    <col min="3" max="3" width="17.83203125" style="1" customWidth="1"/>
    <col min="4" max="4" width="18.83203125" style="1" customWidth="1"/>
    <col min="5" max="5" width="14.83203125" style="1" customWidth="1"/>
    <col min="6" max="7" width="17.83203125" style="1" customWidth="1"/>
    <col min="8" max="16384" width="19.83203125" style="1"/>
  </cols>
  <sheetData>
    <row r="1" spans="1:7" ht="6.95" customHeight="1">
      <c r="A1" s="3"/>
      <c r="B1" s="3"/>
      <c r="C1" s="3"/>
      <c r="D1" s="3"/>
      <c r="E1" s="3"/>
      <c r="F1" s="3"/>
      <c r="G1" s="3"/>
    </row>
    <row r="2" spans="1:7" ht="15.95" customHeight="1">
      <c r="A2" s="299"/>
      <c r="B2" s="309" t="str">
        <f>REVYEAR</f>
        <v>ANALYSIS OF OPERATING FUND REVENUE: 2012/2013 BUDGET</v>
      </c>
      <c r="C2" s="310"/>
      <c r="D2" s="304"/>
      <c r="E2" s="304"/>
      <c r="F2" s="311"/>
      <c r="G2" s="249" t="s">
        <v>194</v>
      </c>
    </row>
    <row r="3" spans="1:7" ht="15.95" customHeight="1">
      <c r="A3" s="244"/>
      <c r="B3" s="244"/>
      <c r="C3" s="3"/>
      <c r="D3" s="3"/>
      <c r="E3" s="3"/>
      <c r="F3" s="3"/>
      <c r="G3" s="3"/>
    </row>
    <row r="4" spans="1:7" ht="15.95" customHeight="1">
      <c r="B4" s="430" t="s">
        <v>76</v>
      </c>
      <c r="C4" s="360"/>
      <c r="D4" s="360"/>
      <c r="E4" s="360"/>
      <c r="F4" s="360"/>
      <c r="G4" s="359"/>
    </row>
    <row r="5" spans="1:7" ht="15.95" customHeight="1">
      <c r="B5" s="453" t="s">
        <v>215</v>
      </c>
      <c r="C5" s="425"/>
      <c r="D5" s="425"/>
      <c r="E5" s="425"/>
      <c r="F5" s="371"/>
      <c r="G5" s="462"/>
    </row>
    <row r="6" spans="1:7" ht="15.95" customHeight="1">
      <c r="B6" s="302" t="s">
        <v>95</v>
      </c>
      <c r="C6" s="128"/>
      <c r="D6" s="128"/>
      <c r="E6" s="128"/>
      <c r="F6" s="128"/>
      <c r="G6" s="133"/>
    </row>
    <row r="7" spans="1:7" ht="15.95" customHeight="1">
      <c r="B7" s="251"/>
      <c r="C7" s="32"/>
      <c r="D7" s="32"/>
      <c r="E7" s="32"/>
      <c r="F7" s="32"/>
      <c r="G7" s="251" t="s">
        <v>54</v>
      </c>
    </row>
    <row r="8" spans="1:7" ht="15.95" customHeight="1">
      <c r="A8" s="101"/>
      <c r="B8" s="553" t="s">
        <v>379</v>
      </c>
      <c r="C8" s="253" t="s">
        <v>110</v>
      </c>
      <c r="D8" s="253" t="s">
        <v>112</v>
      </c>
      <c r="E8" s="253" t="s">
        <v>442</v>
      </c>
      <c r="F8" s="312"/>
      <c r="G8" s="253" t="s">
        <v>113</v>
      </c>
    </row>
    <row r="9" spans="1:7" ht="15.95" customHeight="1">
      <c r="A9" s="35" t="s">
        <v>79</v>
      </c>
      <c r="B9" s="554" t="s">
        <v>500</v>
      </c>
      <c r="C9" s="118" t="s">
        <v>134</v>
      </c>
      <c r="D9" s="118" t="s">
        <v>136</v>
      </c>
      <c r="E9" s="118" t="s">
        <v>76</v>
      </c>
      <c r="F9" s="118" t="s">
        <v>133</v>
      </c>
      <c r="G9" s="118" t="s">
        <v>132</v>
      </c>
    </row>
    <row r="10" spans="1:7" ht="5.0999999999999996" customHeight="1">
      <c r="A10" s="37"/>
      <c r="B10" s="3"/>
      <c r="F10" s="3"/>
      <c r="G10" s="3"/>
    </row>
    <row r="11" spans="1:7" ht="14.1" customHeight="1">
      <c r="A11" s="351" t="s">
        <v>224</v>
      </c>
      <c r="B11" s="352">
        <v>457534</v>
      </c>
      <c r="C11" s="352">
        <v>117137</v>
      </c>
      <c r="D11" s="352">
        <v>65711</v>
      </c>
      <c r="E11" s="352">
        <v>27875</v>
      </c>
      <c r="F11" s="352">
        <v>844740</v>
      </c>
      <c r="G11" s="352">
        <f>SUM('- 52 -'!$B11:G11,B11:F11)</f>
        <v>4833684</v>
      </c>
    </row>
    <row r="12" spans="1:7" ht="14.1" customHeight="1">
      <c r="A12" s="23" t="s">
        <v>225</v>
      </c>
      <c r="B12" s="24">
        <v>712532</v>
      </c>
      <c r="C12" s="24">
        <v>179703</v>
      </c>
      <c r="D12" s="24">
        <v>100809</v>
      </c>
      <c r="E12" s="24">
        <v>46300</v>
      </c>
      <c r="F12" s="24">
        <v>1225215</v>
      </c>
      <c r="G12" s="24">
        <f>SUM('- 52 -'!$B12:G12,B12:F12)</f>
        <v>7347274</v>
      </c>
    </row>
    <row r="13" spans="1:7" ht="14.1" customHeight="1">
      <c r="A13" s="351" t="s">
        <v>226</v>
      </c>
      <c r="B13" s="352">
        <v>2470400</v>
      </c>
      <c r="C13" s="352">
        <v>617000</v>
      </c>
      <c r="D13" s="352">
        <v>346100</v>
      </c>
      <c r="E13" s="352">
        <v>181000</v>
      </c>
      <c r="F13" s="352">
        <v>3055700</v>
      </c>
      <c r="G13" s="352">
        <f>SUM('- 52 -'!$B13:G13,B13:F13)</f>
        <v>22869100</v>
      </c>
    </row>
    <row r="14" spans="1:7" ht="14.1" customHeight="1">
      <c r="A14" s="23" t="s">
        <v>524</v>
      </c>
      <c r="B14" s="24">
        <v>1495405</v>
      </c>
      <c r="C14" s="24">
        <v>385695</v>
      </c>
      <c r="D14" s="24">
        <v>183440</v>
      </c>
      <c r="E14" s="24">
        <v>82125</v>
      </c>
      <c r="F14" s="24">
        <v>2599200</v>
      </c>
      <c r="G14" s="24">
        <f>SUM('- 52 -'!$B14:G14,B14:F14)</f>
        <v>15677860</v>
      </c>
    </row>
    <row r="15" spans="1:7" ht="14.1" customHeight="1">
      <c r="A15" s="351" t="s">
        <v>227</v>
      </c>
      <c r="B15" s="352">
        <v>487002</v>
      </c>
      <c r="C15" s="352">
        <v>122967</v>
      </c>
      <c r="D15" s="352">
        <v>58484</v>
      </c>
      <c r="E15" s="352">
        <v>35163</v>
      </c>
      <c r="F15" s="352">
        <v>866115</v>
      </c>
      <c r="G15" s="352">
        <f>SUM('- 52 -'!$B15:G15,B15:F15)</f>
        <v>5022319</v>
      </c>
    </row>
    <row r="16" spans="1:7" ht="14.1" customHeight="1">
      <c r="A16" s="23" t="s">
        <v>228</v>
      </c>
      <c r="B16" s="24">
        <v>323122</v>
      </c>
      <c r="C16" s="24">
        <v>78671</v>
      </c>
      <c r="D16" s="24">
        <v>48929</v>
      </c>
      <c r="E16" s="24">
        <v>26625</v>
      </c>
      <c r="F16" s="24">
        <v>560880</v>
      </c>
      <c r="G16" s="24">
        <f>SUM('- 52 -'!$B16:G16,B16:F16)</f>
        <v>3150444</v>
      </c>
    </row>
    <row r="17" spans="1:7" ht="14.1" customHeight="1">
      <c r="A17" s="351" t="s">
        <v>229</v>
      </c>
      <c r="B17" s="352">
        <v>394006</v>
      </c>
      <c r="C17" s="352">
        <v>104443</v>
      </c>
      <c r="D17" s="352">
        <v>58590</v>
      </c>
      <c r="E17" s="352">
        <v>30375</v>
      </c>
      <c r="F17" s="352">
        <v>861840</v>
      </c>
      <c r="G17" s="352">
        <f>SUM('- 52 -'!$B17:G17,B17:F17)</f>
        <v>4457974</v>
      </c>
    </row>
    <row r="18" spans="1:7" ht="14.1" customHeight="1">
      <c r="A18" s="23" t="s">
        <v>230</v>
      </c>
      <c r="B18" s="24">
        <v>1325147</v>
      </c>
      <c r="C18" s="24">
        <v>205115</v>
      </c>
      <c r="D18" s="24">
        <v>97555</v>
      </c>
      <c r="E18" s="24">
        <v>33038</v>
      </c>
      <c r="F18" s="24">
        <v>4192920</v>
      </c>
      <c r="G18" s="24">
        <f>SUM('- 52 -'!$B18:G18,B18:F18)</f>
        <v>12279127</v>
      </c>
    </row>
    <row r="19" spans="1:7" ht="14.1" customHeight="1">
      <c r="A19" s="351" t="s">
        <v>231</v>
      </c>
      <c r="B19" s="352">
        <v>1293114</v>
      </c>
      <c r="C19" s="352">
        <v>337340</v>
      </c>
      <c r="D19" s="352">
        <v>189239</v>
      </c>
      <c r="E19" s="352">
        <v>80875</v>
      </c>
      <c r="F19" s="352">
        <v>1432980</v>
      </c>
      <c r="G19" s="352">
        <f>SUM('- 52 -'!$B19:G19,B19:F19)</f>
        <v>12358151</v>
      </c>
    </row>
    <row r="20" spans="1:7" ht="14.1" customHeight="1">
      <c r="A20" s="23" t="s">
        <v>232</v>
      </c>
      <c r="B20" s="24">
        <v>2362647</v>
      </c>
      <c r="C20" s="24">
        <v>597616</v>
      </c>
      <c r="D20" s="24">
        <v>284232</v>
      </c>
      <c r="E20" s="24">
        <v>142000</v>
      </c>
      <c r="F20" s="24">
        <v>2384595</v>
      </c>
      <c r="G20" s="24">
        <f>SUM('- 52 -'!$B20:G20,B20:F20)</f>
        <v>21614976</v>
      </c>
    </row>
    <row r="21" spans="1:7" ht="14.1" customHeight="1">
      <c r="A21" s="351" t="s">
        <v>233</v>
      </c>
      <c r="B21" s="352">
        <v>899712</v>
      </c>
      <c r="C21" s="352">
        <v>232585</v>
      </c>
      <c r="D21" s="352">
        <v>110620</v>
      </c>
      <c r="E21" s="352">
        <v>72875</v>
      </c>
      <c r="F21" s="352">
        <v>1559520</v>
      </c>
      <c r="G21" s="352">
        <f>SUM('- 52 -'!$B21:G21,B21:F21)</f>
        <v>9466392</v>
      </c>
    </row>
    <row r="22" spans="1:7" ht="14.1" customHeight="1">
      <c r="A22" s="23" t="s">
        <v>234</v>
      </c>
      <c r="B22" s="24">
        <v>546140</v>
      </c>
      <c r="C22" s="24">
        <v>128346</v>
      </c>
      <c r="D22" s="24">
        <v>79825</v>
      </c>
      <c r="E22" s="24">
        <v>28250</v>
      </c>
      <c r="F22" s="24">
        <v>961020</v>
      </c>
      <c r="G22" s="24">
        <f>SUM('- 52 -'!$B22:G22,B22:F22)</f>
        <v>5126743</v>
      </c>
    </row>
    <row r="23" spans="1:7" ht="14.1" customHeight="1">
      <c r="A23" s="351" t="s">
        <v>235</v>
      </c>
      <c r="B23" s="352">
        <v>374607</v>
      </c>
      <c r="C23" s="352">
        <v>87650</v>
      </c>
      <c r="D23" s="352">
        <v>49169</v>
      </c>
      <c r="E23" s="352">
        <v>22500</v>
      </c>
      <c r="F23" s="352">
        <v>812250</v>
      </c>
      <c r="G23" s="352">
        <f>SUM('- 52 -'!$B23:G23,B23:F23)</f>
        <v>4022130</v>
      </c>
    </row>
    <row r="24" spans="1:7" ht="14.1" customHeight="1">
      <c r="A24" s="23" t="s">
        <v>236</v>
      </c>
      <c r="B24" s="24">
        <v>1386807</v>
      </c>
      <c r="C24" s="24">
        <v>347483</v>
      </c>
      <c r="D24" s="24">
        <v>165266</v>
      </c>
      <c r="E24" s="24">
        <v>102000</v>
      </c>
      <c r="F24" s="24">
        <v>2053710</v>
      </c>
      <c r="G24" s="24">
        <f>SUM('- 52 -'!$B24:G24,B24:F24)</f>
        <v>13483135</v>
      </c>
    </row>
    <row r="25" spans="1:7" ht="14.1" customHeight="1">
      <c r="A25" s="351" t="s">
        <v>237</v>
      </c>
      <c r="B25" s="352">
        <v>4610586</v>
      </c>
      <c r="C25" s="352">
        <v>1114569</v>
      </c>
      <c r="D25" s="352">
        <v>530100</v>
      </c>
      <c r="E25" s="352">
        <v>329375</v>
      </c>
      <c r="F25" s="352">
        <v>6495435</v>
      </c>
      <c r="G25" s="352">
        <f>SUM('- 52 -'!$B25:G25,B25:F25)</f>
        <v>42153590</v>
      </c>
    </row>
    <row r="26" spans="1:7" ht="14.1" customHeight="1">
      <c r="A26" s="23" t="s">
        <v>238</v>
      </c>
      <c r="B26" s="24">
        <v>991814</v>
      </c>
      <c r="C26" s="24">
        <v>241966</v>
      </c>
      <c r="D26" s="24">
        <v>135737</v>
      </c>
      <c r="E26" s="24">
        <v>68000</v>
      </c>
      <c r="F26" s="24">
        <v>2331585</v>
      </c>
      <c r="G26" s="24">
        <f>SUM('- 52 -'!$B26:G26,B26:F26)</f>
        <v>10667299</v>
      </c>
    </row>
    <row r="27" spans="1:7" ht="14.1" customHeight="1">
      <c r="A27" s="351" t="s">
        <v>239</v>
      </c>
      <c r="B27" s="352">
        <v>1014656</v>
      </c>
      <c r="C27" s="352">
        <v>225361</v>
      </c>
      <c r="D27" s="352">
        <v>140163</v>
      </c>
      <c r="E27" s="352">
        <v>56625</v>
      </c>
      <c r="F27" s="352">
        <v>1315845</v>
      </c>
      <c r="G27" s="352">
        <f>SUM('- 52 -'!$B27:G27,B27:F27)</f>
        <v>8631264</v>
      </c>
    </row>
    <row r="28" spans="1:7" ht="14.1" customHeight="1">
      <c r="A28" s="23" t="s">
        <v>240</v>
      </c>
      <c r="B28" s="24">
        <v>485600</v>
      </c>
      <c r="C28" s="24">
        <v>125337</v>
      </c>
      <c r="D28" s="24">
        <v>70311</v>
      </c>
      <c r="E28" s="24">
        <v>37125</v>
      </c>
      <c r="F28" s="24">
        <v>1365435</v>
      </c>
      <c r="G28" s="24">
        <f>SUM('- 52 -'!$B28:G28,B28:F28)</f>
        <v>6022222</v>
      </c>
    </row>
    <row r="29" spans="1:7" ht="14.1" customHeight="1">
      <c r="A29" s="351" t="s">
        <v>241</v>
      </c>
      <c r="B29" s="352">
        <v>3870440</v>
      </c>
      <c r="C29" s="352">
        <v>986870</v>
      </c>
      <c r="D29" s="352">
        <v>469365</v>
      </c>
      <c r="E29" s="352">
        <v>284000</v>
      </c>
      <c r="F29" s="352">
        <v>5015430</v>
      </c>
      <c r="G29" s="352">
        <f>SUM('- 52 -'!$B29:G29,B29:F29)</f>
        <v>36368970</v>
      </c>
    </row>
    <row r="30" spans="1:7" ht="14.1" customHeight="1">
      <c r="A30" s="23" t="s">
        <v>242</v>
      </c>
      <c r="B30" s="24">
        <v>357409</v>
      </c>
      <c r="C30" s="24">
        <v>89954</v>
      </c>
      <c r="D30" s="24">
        <v>50462</v>
      </c>
      <c r="E30" s="24">
        <v>23375</v>
      </c>
      <c r="F30" s="24">
        <v>790875</v>
      </c>
      <c r="G30" s="24">
        <f>SUM('- 52 -'!$B30:G30,B30:F30)</f>
        <v>4027535</v>
      </c>
    </row>
    <row r="31" spans="1:7" ht="14.1" customHeight="1">
      <c r="A31" s="351" t="s">
        <v>243</v>
      </c>
      <c r="B31" s="352">
        <v>1067811</v>
      </c>
      <c r="C31" s="352">
        <v>252117</v>
      </c>
      <c r="D31" s="352">
        <v>119909</v>
      </c>
      <c r="E31" s="352">
        <v>60125</v>
      </c>
      <c r="F31" s="352">
        <v>1801485</v>
      </c>
      <c r="G31" s="352">
        <f>SUM('- 52 -'!$B31:G31,B31:F31)</f>
        <v>10062549</v>
      </c>
    </row>
    <row r="32" spans="1:7" ht="14.1" customHeight="1">
      <c r="A32" s="23" t="s">
        <v>244</v>
      </c>
      <c r="B32" s="24">
        <v>658840</v>
      </c>
      <c r="C32" s="24">
        <v>168256</v>
      </c>
      <c r="D32" s="24">
        <v>80024</v>
      </c>
      <c r="E32" s="24">
        <v>44875</v>
      </c>
      <c r="F32" s="24">
        <v>1403055</v>
      </c>
      <c r="G32" s="24">
        <f>SUM('- 52 -'!$B32:G32,B32:F32)</f>
        <v>7347176</v>
      </c>
    </row>
    <row r="33" spans="1:7" ht="14.1" customHeight="1">
      <c r="A33" s="351" t="s">
        <v>245</v>
      </c>
      <c r="B33" s="352">
        <v>644030</v>
      </c>
      <c r="C33" s="352">
        <v>164287</v>
      </c>
      <c r="D33" s="352">
        <v>92161</v>
      </c>
      <c r="E33" s="352">
        <v>44750</v>
      </c>
      <c r="F33" s="352">
        <v>1757880</v>
      </c>
      <c r="G33" s="352">
        <f>SUM('- 52 -'!$B33:G33,B33:F33)</f>
        <v>7835604</v>
      </c>
    </row>
    <row r="34" spans="1:7" ht="14.1" customHeight="1">
      <c r="A34" s="23" t="s">
        <v>246</v>
      </c>
      <c r="B34" s="24">
        <v>641030</v>
      </c>
      <c r="C34" s="24">
        <v>163442</v>
      </c>
      <c r="D34" s="24">
        <v>77735</v>
      </c>
      <c r="E34" s="24">
        <v>45625</v>
      </c>
      <c r="F34" s="24">
        <v>1222650</v>
      </c>
      <c r="G34" s="24">
        <f>SUM('- 52 -'!$B34:G34,B34:F34)</f>
        <v>7046717</v>
      </c>
    </row>
    <row r="35" spans="1:7" ht="14.1" customHeight="1">
      <c r="A35" s="351" t="s">
        <v>247</v>
      </c>
      <c r="B35" s="352">
        <v>5096501</v>
      </c>
      <c r="C35" s="352">
        <v>1275149</v>
      </c>
      <c r="D35" s="352">
        <v>606473</v>
      </c>
      <c r="E35" s="352">
        <v>392025</v>
      </c>
      <c r="F35" s="352">
        <v>7121295</v>
      </c>
      <c r="G35" s="352">
        <f>SUM('- 52 -'!$B35:G35,B35:F35)</f>
        <v>47754176</v>
      </c>
    </row>
    <row r="36" spans="1:7" ht="14.1" customHeight="1">
      <c r="A36" s="23" t="s">
        <v>248</v>
      </c>
      <c r="B36" s="24">
        <v>521508</v>
      </c>
      <c r="C36" s="24">
        <v>127494</v>
      </c>
      <c r="D36" s="24">
        <v>71521</v>
      </c>
      <c r="E36" s="24">
        <v>35000</v>
      </c>
      <c r="F36" s="24">
        <v>1177335</v>
      </c>
      <c r="G36" s="24">
        <f>SUM('- 52 -'!$B36:G36,B36:F36)</f>
        <v>5757563</v>
      </c>
    </row>
    <row r="37" spans="1:7" ht="14.1" customHeight="1">
      <c r="A37" s="351" t="s">
        <v>249</v>
      </c>
      <c r="B37" s="352">
        <v>1205404</v>
      </c>
      <c r="C37" s="352">
        <v>301325</v>
      </c>
      <c r="D37" s="352">
        <v>143313</v>
      </c>
      <c r="E37" s="352">
        <v>72625</v>
      </c>
      <c r="F37" s="352">
        <v>1674945</v>
      </c>
      <c r="G37" s="352">
        <f>SUM('- 52 -'!$B37:G37,B37:F37)</f>
        <v>11717684</v>
      </c>
    </row>
    <row r="38" spans="1:7" ht="14.1" customHeight="1">
      <c r="A38" s="23" t="s">
        <v>250</v>
      </c>
      <c r="B38" s="24">
        <v>3457903</v>
      </c>
      <c r="C38" s="24">
        <v>826060</v>
      </c>
      <c r="D38" s="24">
        <v>392882</v>
      </c>
      <c r="E38" s="24">
        <v>238000</v>
      </c>
      <c r="F38" s="24">
        <v>3357585</v>
      </c>
      <c r="G38" s="24">
        <f>SUM('- 52 -'!$B38:G38,B38:F38)</f>
        <v>29820502</v>
      </c>
    </row>
    <row r="39" spans="1:7" ht="14.1" customHeight="1">
      <c r="A39" s="351" t="s">
        <v>251</v>
      </c>
      <c r="B39" s="352">
        <v>495795</v>
      </c>
      <c r="C39" s="352">
        <v>130109</v>
      </c>
      <c r="D39" s="352">
        <v>72988</v>
      </c>
      <c r="E39" s="352">
        <v>34913</v>
      </c>
      <c r="F39" s="352">
        <v>1042245</v>
      </c>
      <c r="G39" s="352">
        <f>SUM('- 52 -'!$B39:G39,B39:F39)</f>
        <v>5693622</v>
      </c>
    </row>
    <row r="40" spans="1:7" ht="14.1" customHeight="1">
      <c r="A40" s="23" t="s">
        <v>252</v>
      </c>
      <c r="B40" s="24">
        <v>2724155</v>
      </c>
      <c r="C40" s="24">
        <v>662101</v>
      </c>
      <c r="D40" s="24">
        <v>314902</v>
      </c>
      <c r="E40" s="24">
        <v>212125</v>
      </c>
      <c r="F40" s="24">
        <v>4250205</v>
      </c>
      <c r="G40" s="24">
        <f>SUM('- 52 -'!$B40:G40,B40:F40)</f>
        <v>25434630</v>
      </c>
    </row>
    <row r="41" spans="1:7" ht="14.1" customHeight="1">
      <c r="A41" s="351" t="s">
        <v>253</v>
      </c>
      <c r="B41" s="352">
        <v>1461929</v>
      </c>
      <c r="C41" s="352">
        <v>367221</v>
      </c>
      <c r="D41" s="352">
        <v>206002</v>
      </c>
      <c r="E41" s="352">
        <v>92375</v>
      </c>
      <c r="F41" s="352">
        <v>2184525</v>
      </c>
      <c r="G41" s="352">
        <f>SUM('- 52 -'!$B41:G41,B41:F41)</f>
        <v>14483346</v>
      </c>
    </row>
    <row r="42" spans="1:7" ht="14.1" customHeight="1">
      <c r="A42" s="23" t="s">
        <v>254</v>
      </c>
      <c r="B42" s="24">
        <v>483458</v>
      </c>
      <c r="C42" s="24">
        <v>117875</v>
      </c>
      <c r="D42" s="24">
        <v>73313</v>
      </c>
      <c r="E42" s="24">
        <v>33150</v>
      </c>
      <c r="F42" s="24">
        <v>1055925</v>
      </c>
      <c r="G42" s="24">
        <f>SUM('- 52 -'!$B42:G42,B42:F42)</f>
        <v>5145751</v>
      </c>
    </row>
    <row r="43" spans="1:7" ht="14.1" customHeight="1">
      <c r="A43" s="351" t="s">
        <v>255</v>
      </c>
      <c r="B43" s="352">
        <v>309574</v>
      </c>
      <c r="C43" s="352">
        <v>79770</v>
      </c>
      <c r="D43" s="352">
        <v>44749</v>
      </c>
      <c r="E43" s="352">
        <v>24375</v>
      </c>
      <c r="F43" s="352">
        <v>601065</v>
      </c>
      <c r="G43" s="352">
        <f>SUM('- 52 -'!$B43:G43,B43:F43)</f>
        <v>3420198</v>
      </c>
    </row>
    <row r="44" spans="1:7" ht="14.1" customHeight="1">
      <c r="A44" s="23" t="s">
        <v>256</v>
      </c>
      <c r="B44" s="24">
        <v>342248</v>
      </c>
      <c r="C44" s="24">
        <v>58351</v>
      </c>
      <c r="D44" s="24">
        <v>32734</v>
      </c>
      <c r="E44" s="24">
        <v>12000</v>
      </c>
      <c r="F44" s="24">
        <v>630135</v>
      </c>
      <c r="G44" s="24">
        <f>SUM('- 52 -'!$B44:G44,B44:F44)</f>
        <v>2927085</v>
      </c>
    </row>
    <row r="45" spans="1:7" ht="14.1" customHeight="1">
      <c r="A45" s="351" t="s">
        <v>257</v>
      </c>
      <c r="B45" s="352">
        <v>513936</v>
      </c>
      <c r="C45" s="352">
        <v>133717</v>
      </c>
      <c r="D45" s="352">
        <v>75012</v>
      </c>
      <c r="E45" s="352">
        <v>38500</v>
      </c>
      <c r="F45" s="352">
        <v>589095</v>
      </c>
      <c r="G45" s="352">
        <f>SUM('- 52 -'!$B45:G45,B45:F45)</f>
        <v>4848677</v>
      </c>
    </row>
    <row r="46" spans="1:7" ht="14.1" customHeight="1">
      <c r="A46" s="23" t="s">
        <v>258</v>
      </c>
      <c r="B46" s="24">
        <v>16520499</v>
      </c>
      <c r="C46" s="24">
        <v>2455474</v>
      </c>
      <c r="D46" s="24">
        <v>1167847</v>
      </c>
      <c r="E46" s="24">
        <v>738500</v>
      </c>
      <c r="F46" s="24">
        <v>14664105</v>
      </c>
      <c r="G46" s="24">
        <f>SUM('- 52 -'!$B46:G46,B46:F46)</f>
        <v>99598353</v>
      </c>
    </row>
    <row r="47" spans="1:7" ht="5.0999999999999996" customHeight="1">
      <c r="A47"/>
      <c r="B47"/>
      <c r="C47"/>
      <c r="D47"/>
      <c r="E47"/>
      <c r="F47"/>
      <c r="G47"/>
    </row>
    <row r="48" spans="1:7" ht="14.1" customHeight="1">
      <c r="A48" s="354" t="s">
        <v>259</v>
      </c>
      <c r="B48" s="355">
        <f t="shared" ref="B48:G48" si="0">SUM(B11:B46)</f>
        <v>62003301</v>
      </c>
      <c r="C48" s="355">
        <f t="shared" si="0"/>
        <v>13608556</v>
      </c>
      <c r="D48" s="355">
        <f t="shared" si="0"/>
        <v>6805672</v>
      </c>
      <c r="E48" s="355">
        <f t="shared" si="0"/>
        <v>3828464</v>
      </c>
      <c r="F48" s="355">
        <f t="shared" si="0"/>
        <v>85258820</v>
      </c>
      <c r="G48" s="355">
        <f t="shared" si="0"/>
        <v>538473822</v>
      </c>
    </row>
    <row r="49" spans="1:11" ht="5.0999999999999996" customHeight="1">
      <c r="A49" s="25" t="s">
        <v>3</v>
      </c>
      <c r="B49" s="26"/>
      <c r="C49" s="26"/>
      <c r="D49" s="26"/>
      <c r="E49" s="26"/>
      <c r="F49" s="26"/>
      <c r="G49" s="26"/>
    </row>
    <row r="50" spans="1:11" ht="14.45" customHeight="1">
      <c r="A50" s="23" t="s">
        <v>260</v>
      </c>
      <c r="B50" s="24">
        <v>56620</v>
      </c>
      <c r="C50" s="24">
        <v>14637</v>
      </c>
      <c r="D50" s="24">
        <v>8211</v>
      </c>
      <c r="E50" s="24">
        <v>4000</v>
      </c>
      <c r="F50" s="24">
        <v>240255</v>
      </c>
      <c r="G50" s="24">
        <f>SUM('- 52 -'!$B50:G50,B50:F50)</f>
        <v>617747</v>
      </c>
    </row>
    <row r="51" spans="1:11" ht="14.1" customHeight="1">
      <c r="A51" s="351" t="s">
        <v>261</v>
      </c>
      <c r="B51" s="352">
        <v>0</v>
      </c>
      <c r="C51" s="352">
        <v>0</v>
      </c>
      <c r="D51" s="352">
        <v>0</v>
      </c>
      <c r="E51" s="352">
        <v>0</v>
      </c>
      <c r="F51" s="352">
        <v>0</v>
      </c>
      <c r="G51" s="352">
        <f>SUM('- 52 -'!$B51:G51,B51:F51)</f>
        <v>0</v>
      </c>
      <c r="H51" s="1">
        <v>0</v>
      </c>
    </row>
    <row r="52" spans="1:11" ht="50.1" customHeight="1">
      <c r="A52" s="27"/>
      <c r="B52" s="27"/>
      <c r="C52" s="27"/>
      <c r="D52" s="27"/>
      <c r="E52" s="27"/>
      <c r="F52" s="27"/>
      <c r="G52" s="520"/>
      <c r="H52"/>
      <c r="I52"/>
      <c r="J52"/>
      <c r="K52"/>
    </row>
    <row r="53" spans="1:11" ht="15" customHeight="1">
      <c r="A53" s="39" t="s">
        <v>499</v>
      </c>
      <c r="B53" s="39"/>
      <c r="D53" s="39"/>
      <c r="E53" s="39"/>
      <c r="F53" s="39"/>
      <c r="G53" s="595"/>
      <c r="H53" s="595"/>
      <c r="I53" s="595"/>
      <c r="J53" s="595"/>
      <c r="K53" s="595"/>
    </row>
    <row r="54" spans="1:11" ht="14.45" customHeight="1">
      <c r="A54" s="595"/>
      <c r="B54" s="595"/>
      <c r="C54" s="595"/>
      <c r="D54" s="595"/>
      <c r="E54" s="595"/>
      <c r="F54" s="595"/>
      <c r="G54" s="595"/>
      <c r="H54" s="595"/>
      <c r="I54" s="595"/>
      <c r="J54" s="595"/>
      <c r="K54" s="595"/>
    </row>
    <row r="55" spans="1:11" ht="14.45" customHeight="1">
      <c r="A55" s="39"/>
      <c r="B55" s="39"/>
      <c r="D55" s="39"/>
      <c r="E55" s="39"/>
      <c r="F55" s="39"/>
      <c r="G55" s="39"/>
    </row>
    <row r="56" spans="1:11" ht="14.45" customHeight="1">
      <c r="D56" s="114"/>
      <c r="E56" s="114"/>
      <c r="F56" s="114"/>
      <c r="G56" s="114"/>
    </row>
    <row r="57" spans="1:11" ht="14.45" customHeight="1"/>
    <row r="58" spans="1:11" ht="14.45" customHeight="1"/>
    <row r="59" spans="1:11" ht="14.45" customHeight="1"/>
  </sheetData>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7.xml><?xml version="1.0" encoding="utf-8"?>
<worksheet xmlns="http://schemas.openxmlformats.org/spreadsheetml/2006/main" xmlns:r="http://schemas.openxmlformats.org/officeDocument/2006/relationships">
  <sheetPr codeName="Sheet47">
    <pageSetUpPr fitToPage="1"/>
  </sheetPr>
  <dimension ref="A1:F58"/>
  <sheetViews>
    <sheetView showGridLines="0" showZeros="0" workbookViewId="0"/>
  </sheetViews>
  <sheetFormatPr defaultColWidth="19.83203125" defaultRowHeight="12"/>
  <cols>
    <col min="1" max="1" width="29.83203125" style="1" customWidth="1"/>
    <col min="2" max="2" width="21.83203125" style="1" customWidth="1"/>
    <col min="3" max="3" width="19.83203125" style="1" customWidth="1"/>
    <col min="4" max="4" width="18.83203125" style="1" customWidth="1"/>
    <col min="5" max="5" width="20.83203125" style="1" customWidth="1"/>
    <col min="6" max="6" width="21.83203125" style="1" customWidth="1"/>
    <col min="7" max="7" width="14.83203125" style="1" customWidth="1"/>
    <col min="8" max="16384" width="19.83203125" style="1"/>
  </cols>
  <sheetData>
    <row r="1" spans="1:6" ht="6.95" customHeight="1">
      <c r="A1" s="3"/>
      <c r="B1" s="3"/>
      <c r="C1" s="3"/>
      <c r="D1" s="3"/>
      <c r="E1" s="3"/>
      <c r="F1" s="3"/>
    </row>
    <row r="2" spans="1:6" ht="15.95" customHeight="1">
      <c r="A2" s="299"/>
      <c r="B2" s="72" t="str">
        <f>REVYEAR</f>
        <v>ANALYSIS OF OPERATING FUND REVENUE: 2012/2013 BUDGET</v>
      </c>
      <c r="C2" s="300"/>
      <c r="D2" s="304"/>
      <c r="E2" s="304"/>
      <c r="F2" s="249" t="s">
        <v>195</v>
      </c>
    </row>
    <row r="3" spans="1:6" ht="15.95" customHeight="1">
      <c r="A3" s="244"/>
      <c r="B3" s="244"/>
      <c r="C3" s="3"/>
      <c r="D3" s="3"/>
      <c r="E3" s="3"/>
      <c r="F3" s="3"/>
    </row>
    <row r="4" spans="1:6" ht="15.95" customHeight="1">
      <c r="B4" s="430" t="s">
        <v>76</v>
      </c>
      <c r="C4" s="360"/>
      <c r="D4" s="359"/>
      <c r="E4" s="359"/>
      <c r="F4" s="359"/>
    </row>
    <row r="5" spans="1:6" ht="15.95" customHeight="1">
      <c r="B5" s="453" t="s">
        <v>215</v>
      </c>
      <c r="C5" s="425"/>
      <c r="D5" s="462"/>
      <c r="E5" s="462"/>
      <c r="F5" s="462"/>
    </row>
    <row r="6" spans="1:6" ht="15.95" customHeight="1">
      <c r="B6" s="302" t="s">
        <v>96</v>
      </c>
      <c r="C6" s="128"/>
      <c r="D6" s="128"/>
      <c r="E6" s="127"/>
      <c r="F6" s="188"/>
    </row>
    <row r="7" spans="1:6" ht="15.95" customHeight="1">
      <c r="B7" s="251"/>
      <c r="C7" s="251"/>
      <c r="D7" s="251" t="s">
        <v>182</v>
      </c>
      <c r="E7" s="251" t="s">
        <v>380</v>
      </c>
      <c r="F7" s="251" t="s">
        <v>198</v>
      </c>
    </row>
    <row r="8" spans="1:6" ht="15.95" customHeight="1">
      <c r="A8" s="101"/>
      <c r="B8" s="303" t="s">
        <v>23</v>
      </c>
      <c r="C8" s="253" t="s">
        <v>108</v>
      </c>
      <c r="D8" s="253" t="s">
        <v>22</v>
      </c>
      <c r="E8" s="253" t="s">
        <v>381</v>
      </c>
      <c r="F8" s="253" t="s">
        <v>199</v>
      </c>
    </row>
    <row r="9" spans="1:6" ht="15.95" customHeight="1">
      <c r="A9" s="35" t="s">
        <v>79</v>
      </c>
      <c r="B9" s="305" t="s">
        <v>184</v>
      </c>
      <c r="C9" s="118" t="s">
        <v>362</v>
      </c>
      <c r="D9" s="118" t="s">
        <v>76</v>
      </c>
      <c r="E9" s="118" t="s">
        <v>83</v>
      </c>
      <c r="F9" s="118" t="s">
        <v>207</v>
      </c>
    </row>
    <row r="10" spans="1:6" ht="5.0999999999999996" customHeight="1">
      <c r="A10" s="37"/>
      <c r="B10" s="3"/>
      <c r="C10" s="3"/>
      <c r="D10" s="3"/>
      <c r="E10" s="3"/>
    </row>
    <row r="11" spans="1:6" ht="14.1" customHeight="1">
      <c r="A11" s="351" t="s">
        <v>224</v>
      </c>
      <c r="B11" s="352">
        <v>657216</v>
      </c>
      <c r="C11" s="352">
        <v>659337</v>
      </c>
      <c r="D11" s="352">
        <v>47713</v>
      </c>
      <c r="E11" s="352">
        <v>122500</v>
      </c>
      <c r="F11" s="352">
        <v>37500</v>
      </c>
    </row>
    <row r="12" spans="1:6" ht="14.1" customHeight="1">
      <c r="A12" s="23" t="s">
        <v>225</v>
      </c>
      <c r="B12" s="24">
        <v>1310381</v>
      </c>
      <c r="C12" s="24">
        <v>1198673</v>
      </c>
      <c r="D12" s="24">
        <v>206745</v>
      </c>
      <c r="E12" s="24">
        <v>140400</v>
      </c>
      <c r="F12" s="24">
        <v>45000</v>
      </c>
    </row>
    <row r="13" spans="1:6" ht="14.1" customHeight="1">
      <c r="A13" s="351" t="s">
        <v>226</v>
      </c>
      <c r="B13" s="352">
        <v>979300</v>
      </c>
      <c r="C13" s="352">
        <v>3486800</v>
      </c>
      <c r="D13" s="352">
        <v>571500</v>
      </c>
      <c r="E13" s="352">
        <v>825500</v>
      </c>
      <c r="F13" s="352">
        <v>342500</v>
      </c>
    </row>
    <row r="14" spans="1:6" ht="14.1" customHeight="1">
      <c r="A14" s="23" t="s">
        <v>524</v>
      </c>
      <c r="B14" s="24">
        <v>3112653</v>
      </c>
      <c r="C14" s="24">
        <v>2077393</v>
      </c>
      <c r="D14" s="24">
        <v>24585</v>
      </c>
      <c r="E14" s="24">
        <v>227500</v>
      </c>
      <c r="F14" s="24">
        <v>300900</v>
      </c>
    </row>
    <row r="15" spans="1:6" ht="14.1" customHeight="1">
      <c r="A15" s="351" t="s">
        <v>227</v>
      </c>
      <c r="B15" s="352">
        <v>895556</v>
      </c>
      <c r="C15" s="352">
        <v>1001118</v>
      </c>
      <c r="D15" s="352">
        <v>82996</v>
      </c>
      <c r="E15" s="352">
        <v>17300</v>
      </c>
      <c r="F15" s="352">
        <v>87500</v>
      </c>
    </row>
    <row r="16" spans="1:6" ht="14.1" customHeight="1">
      <c r="A16" s="23" t="s">
        <v>228</v>
      </c>
      <c r="B16" s="24">
        <v>108452</v>
      </c>
      <c r="C16" s="24">
        <v>588454</v>
      </c>
      <c r="D16" s="24">
        <v>58960</v>
      </c>
      <c r="E16" s="24">
        <v>150</v>
      </c>
      <c r="F16" s="24">
        <v>78500</v>
      </c>
    </row>
    <row r="17" spans="1:6" ht="14.1" customHeight="1">
      <c r="A17" s="351" t="s">
        <v>229</v>
      </c>
      <c r="B17" s="352">
        <v>846292</v>
      </c>
      <c r="C17" s="352">
        <v>749605</v>
      </c>
      <c r="D17" s="352">
        <v>79365</v>
      </c>
      <c r="E17" s="352">
        <v>24800</v>
      </c>
      <c r="F17" s="352">
        <v>15000</v>
      </c>
    </row>
    <row r="18" spans="1:6" ht="14.1" customHeight="1">
      <c r="A18" s="23" t="s">
        <v>230</v>
      </c>
      <c r="B18" s="24">
        <v>1454459</v>
      </c>
      <c r="C18" s="24">
        <v>2012089</v>
      </c>
      <c r="D18" s="24">
        <v>115968</v>
      </c>
      <c r="E18" s="24">
        <v>6450</v>
      </c>
      <c r="F18" s="24">
        <v>723200</v>
      </c>
    </row>
    <row r="19" spans="1:6" ht="14.1" customHeight="1">
      <c r="A19" s="351" t="s">
        <v>231</v>
      </c>
      <c r="B19" s="352">
        <v>1454895</v>
      </c>
      <c r="C19" s="352">
        <v>1728848</v>
      </c>
      <c r="D19" s="352">
        <v>317130</v>
      </c>
      <c r="E19" s="352">
        <v>618450</v>
      </c>
      <c r="F19" s="352">
        <v>15000</v>
      </c>
    </row>
    <row r="20" spans="1:6" ht="14.1" customHeight="1">
      <c r="A20" s="23" t="s">
        <v>232</v>
      </c>
      <c r="B20" s="24">
        <v>2520659</v>
      </c>
      <c r="C20" s="24">
        <v>3716450</v>
      </c>
      <c r="D20" s="24">
        <v>545573</v>
      </c>
      <c r="E20" s="24">
        <v>753125</v>
      </c>
      <c r="F20" s="24">
        <v>97500</v>
      </c>
    </row>
    <row r="21" spans="1:6" ht="14.1" customHeight="1">
      <c r="A21" s="351" t="s">
        <v>233</v>
      </c>
      <c r="B21" s="352">
        <v>1294861</v>
      </c>
      <c r="C21" s="352">
        <v>1352342</v>
      </c>
      <c r="D21" s="352">
        <v>127408</v>
      </c>
      <c r="E21" s="352">
        <v>38750</v>
      </c>
      <c r="F21" s="352">
        <v>91000</v>
      </c>
    </row>
    <row r="22" spans="1:6" ht="14.1" customHeight="1">
      <c r="A22" s="23" t="s">
        <v>234</v>
      </c>
      <c r="B22" s="24">
        <v>327336</v>
      </c>
      <c r="C22" s="24">
        <v>1279489</v>
      </c>
      <c r="D22" s="24">
        <v>52415</v>
      </c>
      <c r="E22" s="24">
        <v>6950</v>
      </c>
      <c r="F22" s="24">
        <v>142500</v>
      </c>
    </row>
    <row r="23" spans="1:6" ht="14.1" customHeight="1">
      <c r="A23" s="351" t="s">
        <v>235</v>
      </c>
      <c r="B23" s="352">
        <v>1044516</v>
      </c>
      <c r="C23" s="352">
        <v>957294</v>
      </c>
      <c r="D23" s="352">
        <v>67431</v>
      </c>
      <c r="E23" s="352">
        <v>15700</v>
      </c>
      <c r="F23" s="352">
        <v>97500</v>
      </c>
    </row>
    <row r="24" spans="1:6" ht="14.1" customHeight="1">
      <c r="A24" s="23" t="s">
        <v>236</v>
      </c>
      <c r="B24" s="24">
        <v>1780495</v>
      </c>
      <c r="C24" s="24">
        <v>3302751</v>
      </c>
      <c r="D24" s="24">
        <v>448855</v>
      </c>
      <c r="E24" s="24">
        <v>15250</v>
      </c>
      <c r="F24" s="24">
        <v>292000</v>
      </c>
    </row>
    <row r="25" spans="1:6" ht="14.1" customHeight="1">
      <c r="A25" s="351" t="s">
        <v>237</v>
      </c>
      <c r="B25" s="352">
        <v>1177838</v>
      </c>
      <c r="C25" s="352">
        <v>7826377</v>
      </c>
      <c r="D25" s="352">
        <v>726743</v>
      </c>
      <c r="E25" s="352">
        <v>729900</v>
      </c>
      <c r="F25" s="352">
        <v>597500</v>
      </c>
    </row>
    <row r="26" spans="1:6" ht="14.1" customHeight="1">
      <c r="A26" s="23" t="s">
        <v>238</v>
      </c>
      <c r="B26" s="24">
        <v>1612121</v>
      </c>
      <c r="C26" s="24">
        <v>1669007</v>
      </c>
      <c r="D26" s="24">
        <v>225748</v>
      </c>
      <c r="E26" s="24">
        <v>10875</v>
      </c>
      <c r="F26" s="24">
        <v>215000</v>
      </c>
    </row>
    <row r="27" spans="1:6" ht="14.1" customHeight="1">
      <c r="A27" s="351" t="s">
        <v>239</v>
      </c>
      <c r="B27" s="352">
        <v>44975</v>
      </c>
      <c r="C27" s="352">
        <v>1549399</v>
      </c>
      <c r="D27" s="352">
        <v>234823</v>
      </c>
      <c r="E27" s="352">
        <v>60845</v>
      </c>
      <c r="F27" s="352">
        <v>305500</v>
      </c>
    </row>
    <row r="28" spans="1:6" ht="14.1" customHeight="1">
      <c r="A28" s="23" t="s">
        <v>240</v>
      </c>
      <c r="B28" s="24">
        <v>1377397</v>
      </c>
      <c r="C28" s="24">
        <v>663274</v>
      </c>
      <c r="D28" s="24">
        <v>58905</v>
      </c>
      <c r="E28" s="24">
        <v>29700</v>
      </c>
      <c r="F28" s="24">
        <v>71000</v>
      </c>
    </row>
    <row r="29" spans="1:6" ht="14.1" customHeight="1">
      <c r="A29" s="351" t="s">
        <v>241</v>
      </c>
      <c r="B29" s="352">
        <v>790915</v>
      </c>
      <c r="C29" s="352">
        <v>7009320</v>
      </c>
      <c r="D29" s="352">
        <v>334208</v>
      </c>
      <c r="E29" s="352">
        <v>1164850</v>
      </c>
      <c r="F29" s="352">
        <v>274600</v>
      </c>
    </row>
    <row r="30" spans="1:6" ht="14.1" customHeight="1">
      <c r="A30" s="23" t="s">
        <v>242</v>
      </c>
      <c r="B30" s="24">
        <v>755596</v>
      </c>
      <c r="C30" s="24">
        <v>599386</v>
      </c>
      <c r="D30" s="24">
        <v>36025</v>
      </c>
      <c r="E30" s="24">
        <v>57200</v>
      </c>
      <c r="F30" s="24">
        <v>42500</v>
      </c>
    </row>
    <row r="31" spans="1:6" ht="14.1" customHeight="1">
      <c r="A31" s="351" t="s">
        <v>243</v>
      </c>
      <c r="B31" s="352">
        <v>832885</v>
      </c>
      <c r="C31" s="352">
        <v>1966765</v>
      </c>
      <c r="D31" s="352">
        <v>178585</v>
      </c>
      <c r="E31" s="352">
        <v>111850</v>
      </c>
      <c r="F31" s="352">
        <v>232000</v>
      </c>
    </row>
    <row r="32" spans="1:6" ht="14.1" customHeight="1">
      <c r="A32" s="23" t="s">
        <v>244</v>
      </c>
      <c r="B32" s="24">
        <v>1256918</v>
      </c>
      <c r="C32" s="24">
        <v>936482</v>
      </c>
      <c r="D32" s="24">
        <v>123201</v>
      </c>
      <c r="E32" s="24">
        <v>107600</v>
      </c>
      <c r="F32" s="24">
        <v>84500</v>
      </c>
    </row>
    <row r="33" spans="1:6" ht="14.1" customHeight="1">
      <c r="A33" s="351" t="s">
        <v>245</v>
      </c>
      <c r="B33" s="352">
        <v>1439471</v>
      </c>
      <c r="C33" s="352">
        <v>766021</v>
      </c>
      <c r="D33" s="352">
        <v>72243</v>
      </c>
      <c r="E33" s="352">
        <v>118850</v>
      </c>
      <c r="F33" s="352">
        <v>37500</v>
      </c>
    </row>
    <row r="34" spans="1:6" ht="14.1" customHeight="1">
      <c r="A34" s="23" t="s">
        <v>246</v>
      </c>
      <c r="B34" s="24">
        <v>1375029</v>
      </c>
      <c r="C34" s="24">
        <v>931247</v>
      </c>
      <c r="D34" s="24">
        <v>89678</v>
      </c>
      <c r="E34" s="24">
        <v>91950</v>
      </c>
      <c r="F34" s="24">
        <v>90000</v>
      </c>
    </row>
    <row r="35" spans="1:6" ht="14.1" customHeight="1">
      <c r="A35" s="351" t="s">
        <v>247</v>
      </c>
      <c r="B35" s="352">
        <v>1711577</v>
      </c>
      <c r="C35" s="352">
        <v>8923056</v>
      </c>
      <c r="D35" s="352">
        <v>1007600</v>
      </c>
      <c r="E35" s="352">
        <v>571075</v>
      </c>
      <c r="F35" s="352">
        <v>682500</v>
      </c>
    </row>
    <row r="36" spans="1:6" ht="14.1" customHeight="1">
      <c r="A36" s="23" t="s">
        <v>248</v>
      </c>
      <c r="B36" s="24">
        <v>953416</v>
      </c>
      <c r="C36" s="24">
        <v>737610</v>
      </c>
      <c r="D36" s="24">
        <v>24475</v>
      </c>
      <c r="E36" s="24">
        <v>41100</v>
      </c>
      <c r="F36" s="24">
        <v>65000</v>
      </c>
    </row>
    <row r="37" spans="1:6" ht="14.1" customHeight="1">
      <c r="A37" s="351" t="s">
        <v>249</v>
      </c>
      <c r="B37" s="352">
        <v>1530286</v>
      </c>
      <c r="C37" s="352">
        <v>2677452</v>
      </c>
      <c r="D37" s="352">
        <v>145420</v>
      </c>
      <c r="E37" s="352">
        <v>164700</v>
      </c>
      <c r="F37" s="352">
        <v>232500</v>
      </c>
    </row>
    <row r="38" spans="1:6" ht="14.1" customHeight="1">
      <c r="A38" s="23" t="s">
        <v>250</v>
      </c>
      <c r="B38" s="24">
        <v>1087664</v>
      </c>
      <c r="C38" s="24">
        <v>6764731</v>
      </c>
      <c r="D38" s="24">
        <v>293480</v>
      </c>
      <c r="E38" s="24">
        <v>920915</v>
      </c>
      <c r="F38" s="24">
        <v>341500</v>
      </c>
    </row>
    <row r="39" spans="1:6" ht="14.1" customHeight="1">
      <c r="A39" s="351" t="s">
        <v>251</v>
      </c>
      <c r="B39" s="352">
        <v>1194312</v>
      </c>
      <c r="C39" s="352">
        <v>657419</v>
      </c>
      <c r="D39" s="352">
        <v>39655</v>
      </c>
      <c r="E39" s="352">
        <v>45500</v>
      </c>
      <c r="F39" s="352">
        <v>22500</v>
      </c>
    </row>
    <row r="40" spans="1:6" ht="14.1" customHeight="1">
      <c r="A40" s="23" t="s">
        <v>252</v>
      </c>
      <c r="B40" s="24">
        <v>618994</v>
      </c>
      <c r="C40" s="24">
        <v>5030459</v>
      </c>
      <c r="D40" s="24">
        <v>738540</v>
      </c>
      <c r="E40" s="24">
        <v>327500</v>
      </c>
      <c r="F40" s="24">
        <v>356200</v>
      </c>
    </row>
    <row r="41" spans="1:6" ht="14.1" customHeight="1">
      <c r="A41" s="351" t="s">
        <v>253</v>
      </c>
      <c r="B41" s="352">
        <v>2921575</v>
      </c>
      <c r="C41" s="352">
        <v>3139861</v>
      </c>
      <c r="D41" s="352">
        <v>182133</v>
      </c>
      <c r="E41" s="352">
        <v>110125</v>
      </c>
      <c r="F41" s="352">
        <v>199500</v>
      </c>
    </row>
    <row r="42" spans="1:6" ht="14.1" customHeight="1">
      <c r="A42" s="23" t="s">
        <v>254</v>
      </c>
      <c r="B42" s="24">
        <v>1012658</v>
      </c>
      <c r="C42" s="24">
        <v>1070133</v>
      </c>
      <c r="D42" s="24">
        <v>176825</v>
      </c>
      <c r="E42" s="24">
        <v>11250</v>
      </c>
      <c r="F42" s="24">
        <v>140000</v>
      </c>
    </row>
    <row r="43" spans="1:6" ht="14.1" customHeight="1">
      <c r="A43" s="351" t="s">
        <v>255</v>
      </c>
      <c r="B43" s="352">
        <v>597085</v>
      </c>
      <c r="C43" s="352">
        <v>509179</v>
      </c>
      <c r="D43" s="352">
        <v>35475</v>
      </c>
      <c r="E43" s="352">
        <v>45100</v>
      </c>
      <c r="F43" s="352">
        <v>22500</v>
      </c>
    </row>
    <row r="44" spans="1:6" ht="14.1" customHeight="1">
      <c r="A44" s="23" t="s">
        <v>256</v>
      </c>
      <c r="B44" s="24">
        <v>797298</v>
      </c>
      <c r="C44" s="24">
        <v>571822</v>
      </c>
      <c r="D44" s="24">
        <v>23788</v>
      </c>
      <c r="E44" s="24">
        <v>14800</v>
      </c>
      <c r="F44" s="24">
        <v>91000</v>
      </c>
    </row>
    <row r="45" spans="1:6" ht="14.1" customHeight="1">
      <c r="A45" s="351" t="s">
        <v>257</v>
      </c>
      <c r="B45" s="352">
        <v>501926</v>
      </c>
      <c r="C45" s="352">
        <v>781250</v>
      </c>
      <c r="D45" s="352">
        <v>101750</v>
      </c>
      <c r="E45" s="352">
        <v>160600</v>
      </c>
      <c r="F45" s="352">
        <v>22500</v>
      </c>
    </row>
    <row r="46" spans="1:6" ht="14.1" customHeight="1">
      <c r="A46" s="23" t="s">
        <v>258</v>
      </c>
      <c r="B46" s="24">
        <v>1377936</v>
      </c>
      <c r="C46" s="24">
        <v>16593167</v>
      </c>
      <c r="D46" s="24">
        <v>1683221</v>
      </c>
      <c r="E46" s="24">
        <v>3545480</v>
      </c>
      <c r="F46" s="24">
        <v>2070000</v>
      </c>
    </row>
    <row r="47" spans="1:6" ht="5.0999999999999996" customHeight="1">
      <c r="A47"/>
      <c r="B47"/>
      <c r="C47"/>
      <c r="D47"/>
      <c r="E47"/>
      <c r="F47"/>
    </row>
    <row r="48" spans="1:6" ht="14.1" customHeight="1">
      <c r="A48" s="354" t="s">
        <v>259</v>
      </c>
      <c r="B48" s="355">
        <f>SUM(B11:B46)</f>
        <v>42754943</v>
      </c>
      <c r="C48" s="355">
        <f>SUM(C11:C46)</f>
        <v>95484060</v>
      </c>
      <c r="D48" s="355">
        <f>SUM(D11:D46)</f>
        <v>9279165</v>
      </c>
      <c r="E48" s="355">
        <f>SUM(E11:E46)</f>
        <v>11254590</v>
      </c>
      <c r="F48" s="355">
        <f>SUM(F11:F46)</f>
        <v>8561400</v>
      </c>
    </row>
    <row r="49" spans="1:6" ht="5.0999999999999996" customHeight="1">
      <c r="A49" s="25" t="s">
        <v>3</v>
      </c>
      <c r="B49" s="26"/>
      <c r="C49" s="26"/>
      <c r="D49" s="26"/>
      <c r="E49" s="26"/>
      <c r="F49" s="26"/>
    </row>
    <row r="50" spans="1:6" ht="14.45" customHeight="1">
      <c r="A50" s="23" t="s">
        <v>260</v>
      </c>
      <c r="B50" s="24">
        <v>1256</v>
      </c>
      <c r="C50" s="24">
        <v>129673</v>
      </c>
      <c r="D50" s="24">
        <v>5720</v>
      </c>
      <c r="E50" s="24">
        <v>800</v>
      </c>
      <c r="F50" s="24">
        <v>6500</v>
      </c>
    </row>
    <row r="51" spans="1:6" ht="14.1" customHeight="1">
      <c r="A51" s="351" t="s">
        <v>261</v>
      </c>
      <c r="B51" s="352">
        <v>0</v>
      </c>
      <c r="C51" s="352">
        <v>0</v>
      </c>
      <c r="D51" s="352">
        <v>0</v>
      </c>
      <c r="E51" s="352">
        <v>0</v>
      </c>
      <c r="F51" s="352">
        <v>0</v>
      </c>
    </row>
    <row r="52" spans="1:6" ht="50.1" customHeight="1">
      <c r="A52" s="27"/>
      <c r="B52" s="27"/>
      <c r="C52" s="27"/>
      <c r="D52" s="27"/>
      <c r="E52" s="27"/>
      <c r="F52" s="27"/>
    </row>
    <row r="53" spans="1:6" ht="15" customHeight="1">
      <c r="A53" s="39" t="s">
        <v>528</v>
      </c>
      <c r="B53" s="272"/>
      <c r="C53" s="39"/>
      <c r="D53" s="39"/>
      <c r="E53" s="39"/>
      <c r="F53" s="39"/>
    </row>
    <row r="54" spans="1:6" ht="12" customHeight="1">
      <c r="A54" s="39" t="str">
        <f>"(2)  Includes support for coordinators, clinicians and Level 2 and 3 pupils. Note: total special needs support is"&amp;" $"&amp;TEXT(C48+'- 53 -'!B48,"000,000")&amp; " (Student Services,"</f>
        <v>(2)  Includes support for coordinators, clinicians and Level 2 and 3 pupils. Note: total special needs support is $157,487,361 (Student Services,</v>
      </c>
      <c r="B54" s="39"/>
      <c r="C54" s="39"/>
      <c r="D54" s="39"/>
      <c r="E54" s="39"/>
      <c r="F54" s="307"/>
    </row>
    <row r="55" spans="1:6" ht="12" customHeight="1">
      <c r="A55" s="1" t="s">
        <v>454</v>
      </c>
      <c r="C55" s="39"/>
      <c r="D55" s="39"/>
      <c r="E55" s="39"/>
      <c r="F55" s="39"/>
    </row>
    <row r="56" spans="1:6" ht="14.45" customHeight="1">
      <c r="A56" s="306"/>
      <c r="B56" s="39"/>
      <c r="C56" s="308"/>
      <c r="D56" s="39"/>
      <c r="E56" s="39"/>
      <c r="F56" s="39"/>
    </row>
    <row r="57" spans="1:6" ht="14.45" customHeight="1">
      <c r="A57" s="39"/>
    </row>
    <row r="58" spans="1:6" ht="14.45" customHeight="1"/>
  </sheetData>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8.xml><?xml version="1.0" encoding="utf-8"?>
<worksheet xmlns="http://schemas.openxmlformats.org/spreadsheetml/2006/main" xmlns:r="http://schemas.openxmlformats.org/officeDocument/2006/relationships">
  <sheetPr codeName="Sheet46">
    <pageSetUpPr fitToPage="1"/>
  </sheetPr>
  <dimension ref="A1:F59"/>
  <sheetViews>
    <sheetView showGridLines="0" showZeros="0" workbookViewId="0"/>
  </sheetViews>
  <sheetFormatPr defaultColWidth="19.83203125" defaultRowHeight="12"/>
  <cols>
    <col min="1" max="1" width="33.83203125" style="1" customWidth="1"/>
    <col min="2" max="2" width="18.83203125" style="1" customWidth="1"/>
    <col min="3" max="4" width="19.83203125" style="1" customWidth="1"/>
    <col min="5" max="5" width="20.83203125" style="1" customWidth="1"/>
    <col min="6" max="6" width="19.83203125" style="1" customWidth="1"/>
    <col min="7" max="16384" width="19.83203125" style="1"/>
  </cols>
  <sheetData>
    <row r="1" spans="1:6" ht="6.95" customHeight="1">
      <c r="A1" s="3"/>
      <c r="B1" s="3"/>
      <c r="C1" s="3"/>
      <c r="D1" s="3"/>
      <c r="E1" s="3"/>
      <c r="F1" s="3"/>
    </row>
    <row r="2" spans="1:6" ht="15.95" customHeight="1">
      <c r="A2" s="299"/>
      <c r="B2" s="72" t="str">
        <f>REVYEAR</f>
        <v>ANALYSIS OF OPERATING FUND REVENUE: 2012/2013 BUDGET</v>
      </c>
      <c r="C2" s="300"/>
      <c r="D2" s="300"/>
      <c r="E2" s="300"/>
      <c r="F2" s="249" t="s">
        <v>196</v>
      </c>
    </row>
    <row r="3" spans="1:6" ht="15.95" customHeight="1">
      <c r="A3" s="244"/>
      <c r="B3" s="3"/>
      <c r="C3" s="3"/>
      <c r="D3" s="3"/>
      <c r="E3" s="3"/>
      <c r="F3" s="3"/>
    </row>
    <row r="4" spans="1:6" ht="15.95" customHeight="1">
      <c r="B4" s="430" t="s">
        <v>76</v>
      </c>
      <c r="C4" s="346"/>
      <c r="D4" s="346"/>
      <c r="E4" s="360"/>
      <c r="F4" s="359"/>
    </row>
    <row r="5" spans="1:6" ht="15.95" customHeight="1">
      <c r="B5" s="453" t="s">
        <v>215</v>
      </c>
      <c r="C5" s="439"/>
      <c r="D5" s="439"/>
      <c r="E5" s="425"/>
      <c r="F5" s="462"/>
    </row>
    <row r="6" spans="1:6" ht="15.95" customHeight="1">
      <c r="B6" s="302" t="s">
        <v>96</v>
      </c>
      <c r="C6" s="127"/>
      <c r="D6" s="127"/>
      <c r="E6" s="188"/>
      <c r="F6" s="188"/>
    </row>
    <row r="7" spans="1:6" ht="15.95" customHeight="1">
      <c r="B7" s="251" t="s">
        <v>69</v>
      </c>
      <c r="C7" s="251" t="s">
        <v>191</v>
      </c>
      <c r="D7" s="251" t="s">
        <v>191</v>
      </c>
      <c r="E7" s="32"/>
      <c r="F7" s="251" t="s">
        <v>54</v>
      </c>
    </row>
    <row r="8" spans="1:6" ht="15.95" customHeight="1">
      <c r="A8" s="101"/>
      <c r="B8" s="303" t="s">
        <v>83</v>
      </c>
      <c r="C8" s="253" t="s">
        <v>382</v>
      </c>
      <c r="D8" s="253" t="s">
        <v>201</v>
      </c>
      <c r="E8" s="253" t="s">
        <v>44</v>
      </c>
      <c r="F8" s="253" t="s">
        <v>114</v>
      </c>
    </row>
    <row r="9" spans="1:6" ht="15.95" customHeight="1">
      <c r="A9" s="35" t="s">
        <v>79</v>
      </c>
      <c r="B9" s="235" t="s">
        <v>200</v>
      </c>
      <c r="C9" s="118" t="s">
        <v>136</v>
      </c>
      <c r="D9" s="118" t="s">
        <v>192</v>
      </c>
      <c r="E9" s="118" t="s">
        <v>361</v>
      </c>
      <c r="F9" s="118" t="s">
        <v>132</v>
      </c>
    </row>
    <row r="10" spans="1:6" ht="5.0999999999999996" customHeight="1">
      <c r="A10" s="37"/>
      <c r="B10" s="3"/>
      <c r="C10" s="3"/>
      <c r="D10" s="3"/>
      <c r="E10" s="3"/>
      <c r="F10" s="3"/>
    </row>
    <row r="11" spans="1:6" ht="14.1" customHeight="1">
      <c r="A11" s="351" t="s">
        <v>224</v>
      </c>
      <c r="B11" s="352">
        <v>3700</v>
      </c>
      <c r="C11" s="352">
        <v>18870</v>
      </c>
      <c r="D11" s="352">
        <v>54945</v>
      </c>
      <c r="E11" s="352">
        <v>165708</v>
      </c>
      <c r="F11" s="352">
        <f>SUM('- 54 -'!$B11:F11,B11:E11)</f>
        <v>1767489</v>
      </c>
    </row>
    <row r="12" spans="1:6" ht="14.1" customHeight="1">
      <c r="A12" s="23" t="s">
        <v>225</v>
      </c>
      <c r="B12" s="24">
        <v>23300</v>
      </c>
      <c r="C12" s="24">
        <v>32317</v>
      </c>
      <c r="D12" s="24">
        <v>83655</v>
      </c>
      <c r="E12" s="24">
        <v>277229</v>
      </c>
      <c r="F12" s="24">
        <f>SUM('- 54 -'!$B12:F12,B12:E12)</f>
        <v>3317700</v>
      </c>
    </row>
    <row r="13" spans="1:6" ht="14.1" customHeight="1">
      <c r="A13" s="351" t="s">
        <v>226</v>
      </c>
      <c r="B13" s="352">
        <v>179000</v>
      </c>
      <c r="C13" s="352">
        <v>134200</v>
      </c>
      <c r="D13" s="352">
        <v>371900</v>
      </c>
      <c r="E13" s="352">
        <v>404600</v>
      </c>
      <c r="F13" s="352">
        <f>SUM('- 54 -'!$B13:F13,B13:E13)</f>
        <v>7295300</v>
      </c>
    </row>
    <row r="14" spans="1:6" ht="14.1" customHeight="1">
      <c r="A14" s="23" t="s">
        <v>524</v>
      </c>
      <c r="B14" s="24">
        <v>1350000</v>
      </c>
      <c r="C14" s="24">
        <v>97057</v>
      </c>
      <c r="D14" s="24">
        <v>239085</v>
      </c>
      <c r="E14" s="24">
        <v>393761</v>
      </c>
      <c r="F14" s="24">
        <f>SUM('- 54 -'!$B14:F14,B14:E14)</f>
        <v>7822934</v>
      </c>
    </row>
    <row r="15" spans="1:6" ht="14.1" customHeight="1">
      <c r="A15" s="351" t="s">
        <v>227</v>
      </c>
      <c r="B15" s="352">
        <v>5700</v>
      </c>
      <c r="C15" s="352">
        <v>18020</v>
      </c>
      <c r="D15" s="352">
        <v>52470</v>
      </c>
      <c r="E15" s="352">
        <v>189903</v>
      </c>
      <c r="F15" s="352">
        <f>SUM('- 54 -'!$B15:F15,B15:E15)</f>
        <v>2350563</v>
      </c>
    </row>
    <row r="16" spans="1:6" ht="14.1" customHeight="1">
      <c r="A16" s="23" t="s">
        <v>228</v>
      </c>
      <c r="B16" s="24">
        <v>22900</v>
      </c>
      <c r="C16" s="24">
        <v>11748</v>
      </c>
      <c r="D16" s="24">
        <v>34155</v>
      </c>
      <c r="E16" s="24">
        <v>640734</v>
      </c>
      <c r="F16" s="24">
        <f>SUM('- 54 -'!$B16:F16,B16:E16)</f>
        <v>1544053</v>
      </c>
    </row>
    <row r="17" spans="1:6" ht="14.1" customHeight="1">
      <c r="A17" s="351" t="s">
        <v>229</v>
      </c>
      <c r="B17" s="352">
        <v>2550</v>
      </c>
      <c r="C17" s="352">
        <v>14515</v>
      </c>
      <c r="D17" s="352">
        <v>40095</v>
      </c>
      <c r="E17" s="352">
        <v>153779</v>
      </c>
      <c r="F17" s="352">
        <f>SUM('- 54 -'!$B17:F17,B17:E17)</f>
        <v>1926001</v>
      </c>
    </row>
    <row r="18" spans="1:6" ht="14.1" customHeight="1">
      <c r="A18" s="23" t="s">
        <v>230</v>
      </c>
      <c r="B18" s="24">
        <v>400</v>
      </c>
      <c r="C18" s="24">
        <v>43272</v>
      </c>
      <c r="D18" s="24">
        <v>171578</v>
      </c>
      <c r="E18" s="24">
        <v>2509039</v>
      </c>
      <c r="F18" s="24">
        <f>SUM('- 54 -'!$B18:F18,B18:E18)</f>
        <v>7036455</v>
      </c>
    </row>
    <row r="19" spans="1:6" ht="14.1" customHeight="1">
      <c r="A19" s="351" t="s">
        <v>231</v>
      </c>
      <c r="B19" s="352">
        <v>4400</v>
      </c>
      <c r="C19" s="352">
        <v>65487</v>
      </c>
      <c r="D19" s="352">
        <v>166320</v>
      </c>
      <c r="E19" s="352">
        <v>290101</v>
      </c>
      <c r="F19" s="352">
        <f>SUM('- 54 -'!$B19:F19,B19:E19)</f>
        <v>4660631</v>
      </c>
    </row>
    <row r="20" spans="1:6" ht="14.1" customHeight="1">
      <c r="A20" s="23" t="s">
        <v>232</v>
      </c>
      <c r="B20" s="24">
        <v>31000</v>
      </c>
      <c r="C20" s="24">
        <v>115332</v>
      </c>
      <c r="D20" s="24">
        <v>290070</v>
      </c>
      <c r="E20" s="24">
        <v>515913</v>
      </c>
      <c r="F20" s="24">
        <f>SUM('- 54 -'!$B20:F20,B20:E20)</f>
        <v>8585622</v>
      </c>
    </row>
    <row r="21" spans="1:6" ht="14.1" customHeight="1">
      <c r="A21" s="351" t="s">
        <v>233</v>
      </c>
      <c r="B21" s="352">
        <v>38400</v>
      </c>
      <c r="C21" s="352">
        <v>33674</v>
      </c>
      <c r="D21" s="352">
        <v>98010</v>
      </c>
      <c r="E21" s="352">
        <v>299144</v>
      </c>
      <c r="F21" s="352">
        <f>SUM('- 54 -'!$B21:F21,B21:E21)</f>
        <v>3373589</v>
      </c>
    </row>
    <row r="22" spans="1:6" ht="14.1" customHeight="1">
      <c r="A22" s="23" t="s">
        <v>234</v>
      </c>
      <c r="B22" s="24">
        <v>43900</v>
      </c>
      <c r="C22" s="24">
        <v>22134</v>
      </c>
      <c r="D22" s="24">
        <v>55440</v>
      </c>
      <c r="E22" s="24">
        <v>977388</v>
      </c>
      <c r="F22" s="24">
        <f>SUM('- 54 -'!$B22:F22,B22:E22)</f>
        <v>2907552</v>
      </c>
    </row>
    <row r="23" spans="1:6" ht="14.1" customHeight="1">
      <c r="A23" s="351" t="s">
        <v>235</v>
      </c>
      <c r="B23" s="352">
        <v>5650</v>
      </c>
      <c r="C23" s="352">
        <v>19638</v>
      </c>
      <c r="D23" s="352">
        <v>45045</v>
      </c>
      <c r="E23" s="352">
        <v>247284</v>
      </c>
      <c r="F23" s="352">
        <f>SUM('- 54 -'!$B23:F23,B23:E23)</f>
        <v>2500058</v>
      </c>
    </row>
    <row r="24" spans="1:6" ht="14.1" customHeight="1">
      <c r="A24" s="23" t="s">
        <v>236</v>
      </c>
      <c r="B24" s="24">
        <v>113300</v>
      </c>
      <c r="C24" s="24">
        <v>52162</v>
      </c>
      <c r="D24" s="24">
        <v>197095</v>
      </c>
      <c r="E24" s="24">
        <v>215133</v>
      </c>
      <c r="F24" s="24">
        <f>SUM('- 54 -'!$B24:F24,B24:E24)</f>
        <v>6417041</v>
      </c>
    </row>
    <row r="25" spans="1:6" ht="14.1" customHeight="1">
      <c r="A25" s="351" t="s">
        <v>237</v>
      </c>
      <c r="B25" s="352">
        <v>1059000</v>
      </c>
      <c r="C25" s="352">
        <v>191794</v>
      </c>
      <c r="D25" s="352">
        <v>484605</v>
      </c>
      <c r="E25" s="352">
        <v>242468</v>
      </c>
      <c r="F25" s="352">
        <f>SUM('- 54 -'!$B25:F25,B25:E25)</f>
        <v>13036225</v>
      </c>
    </row>
    <row r="26" spans="1:6" ht="14.1" customHeight="1">
      <c r="A26" s="23" t="s">
        <v>238</v>
      </c>
      <c r="B26" s="24">
        <v>64700</v>
      </c>
      <c r="C26" s="24">
        <v>43019</v>
      </c>
      <c r="D26" s="24">
        <v>177335</v>
      </c>
      <c r="E26" s="24">
        <v>293875</v>
      </c>
      <c r="F26" s="24">
        <f>SUM('- 54 -'!$B26:F26,B26:E26)</f>
        <v>4311680</v>
      </c>
    </row>
    <row r="27" spans="1:6" ht="14.1" customHeight="1">
      <c r="A27" s="351" t="s">
        <v>239</v>
      </c>
      <c r="B27" s="352">
        <v>62600</v>
      </c>
      <c r="C27" s="352">
        <v>43605</v>
      </c>
      <c r="D27" s="352">
        <v>115895</v>
      </c>
      <c r="E27" s="352">
        <v>1714136</v>
      </c>
      <c r="F27" s="352">
        <f>SUM('- 54 -'!$B27:F27,B27:E27)</f>
        <v>4131778</v>
      </c>
    </row>
    <row r="28" spans="1:6" ht="14.1" customHeight="1">
      <c r="A28" s="23" t="s">
        <v>240</v>
      </c>
      <c r="B28" s="24">
        <v>7300</v>
      </c>
      <c r="C28" s="24">
        <v>15980</v>
      </c>
      <c r="D28" s="24">
        <v>62865</v>
      </c>
      <c r="E28" s="24">
        <v>308544</v>
      </c>
      <c r="F28" s="24">
        <f>SUM('- 54 -'!$B28:F28,B28:E28)</f>
        <v>2594965</v>
      </c>
    </row>
    <row r="29" spans="1:6" ht="14.1" customHeight="1">
      <c r="A29" s="351" t="s">
        <v>241</v>
      </c>
      <c r="B29" s="352">
        <v>607400</v>
      </c>
      <c r="C29" s="352">
        <v>157251</v>
      </c>
      <c r="D29" s="352">
        <v>412335</v>
      </c>
      <c r="E29" s="352">
        <v>391972</v>
      </c>
      <c r="F29" s="352">
        <f>SUM('- 54 -'!$B29:F29,B29:E29)</f>
        <v>11142851</v>
      </c>
    </row>
    <row r="30" spans="1:6" ht="14.1" customHeight="1">
      <c r="A30" s="23" t="s">
        <v>242</v>
      </c>
      <c r="B30" s="24">
        <v>4050</v>
      </c>
      <c r="C30" s="24">
        <v>11449</v>
      </c>
      <c r="D30" s="24">
        <v>31680</v>
      </c>
      <c r="E30" s="24">
        <v>201319</v>
      </c>
      <c r="F30" s="24">
        <f>SUM('- 54 -'!$B30:F30,B30:E30)</f>
        <v>1739205</v>
      </c>
    </row>
    <row r="31" spans="1:6" ht="14.1" customHeight="1">
      <c r="A31" s="351" t="s">
        <v>243</v>
      </c>
      <c r="B31" s="352">
        <v>64500</v>
      </c>
      <c r="C31" s="352">
        <v>44579</v>
      </c>
      <c r="D31" s="352">
        <v>103950</v>
      </c>
      <c r="E31" s="352">
        <v>244230</v>
      </c>
      <c r="F31" s="352">
        <f>SUM('- 54 -'!$B31:F31,B31:E31)</f>
        <v>3779344</v>
      </c>
    </row>
    <row r="32" spans="1:6" ht="14.1" customHeight="1">
      <c r="A32" s="23" t="s">
        <v>244</v>
      </c>
      <c r="B32" s="24">
        <v>34850</v>
      </c>
      <c r="C32" s="24">
        <v>31394</v>
      </c>
      <c r="D32" s="24">
        <v>88605</v>
      </c>
      <c r="E32" s="24">
        <v>292104</v>
      </c>
      <c r="F32" s="24">
        <f>SUM('- 54 -'!$B32:F32,B32:E32)</f>
        <v>2955654</v>
      </c>
    </row>
    <row r="33" spans="1:6" ht="14.1" customHeight="1">
      <c r="A33" s="351" t="s">
        <v>245</v>
      </c>
      <c r="B33" s="352">
        <v>24550</v>
      </c>
      <c r="C33" s="352">
        <v>28971</v>
      </c>
      <c r="D33" s="352">
        <v>81180</v>
      </c>
      <c r="E33" s="352">
        <v>525853</v>
      </c>
      <c r="F33" s="352">
        <f>SUM('- 54 -'!$B33:F33,B33:E33)</f>
        <v>3094639</v>
      </c>
    </row>
    <row r="34" spans="1:6" ht="14.1" customHeight="1">
      <c r="A34" s="23" t="s">
        <v>246</v>
      </c>
      <c r="B34" s="24">
        <v>70200</v>
      </c>
      <c r="C34" s="24">
        <v>25132</v>
      </c>
      <c r="D34" s="24">
        <v>61875</v>
      </c>
      <c r="E34" s="24">
        <v>267725</v>
      </c>
      <c r="F34" s="24">
        <f>SUM('- 54 -'!$B34:F34,B34:E34)</f>
        <v>3002836</v>
      </c>
    </row>
    <row r="35" spans="1:6" ht="14.1" customHeight="1">
      <c r="A35" s="351" t="s">
        <v>247</v>
      </c>
      <c r="B35" s="352">
        <v>698050</v>
      </c>
      <c r="C35" s="352">
        <v>199640</v>
      </c>
      <c r="D35" s="352">
        <v>660510</v>
      </c>
      <c r="E35" s="352">
        <v>523276</v>
      </c>
      <c r="F35" s="352">
        <f>SUM('- 54 -'!$B35:F35,B35:E35)</f>
        <v>14977284</v>
      </c>
    </row>
    <row r="36" spans="1:6" ht="14.1" customHeight="1">
      <c r="A36" s="23" t="s">
        <v>248</v>
      </c>
      <c r="B36" s="24">
        <v>4250</v>
      </c>
      <c r="C36" s="24">
        <v>16851</v>
      </c>
      <c r="D36" s="24">
        <v>48015</v>
      </c>
      <c r="E36" s="24">
        <v>439833</v>
      </c>
      <c r="F36" s="24">
        <f>SUM('- 54 -'!$B36:F36,B36:E36)</f>
        <v>2330550</v>
      </c>
    </row>
    <row r="37" spans="1:6" ht="14.1" customHeight="1">
      <c r="A37" s="351" t="s">
        <v>249</v>
      </c>
      <c r="B37" s="352">
        <v>299250</v>
      </c>
      <c r="C37" s="352">
        <v>54790</v>
      </c>
      <c r="D37" s="352">
        <v>145035</v>
      </c>
      <c r="E37" s="352">
        <v>233502</v>
      </c>
      <c r="F37" s="352">
        <f>SUM('- 54 -'!$B37:F37,B37:E37)</f>
        <v>5482935</v>
      </c>
    </row>
    <row r="38" spans="1:6" ht="14.1" customHeight="1">
      <c r="A38" s="23" t="s">
        <v>250</v>
      </c>
      <c r="B38" s="24">
        <v>352750</v>
      </c>
      <c r="C38" s="24">
        <v>136032</v>
      </c>
      <c r="D38" s="24">
        <v>350955</v>
      </c>
      <c r="E38" s="24">
        <v>1201475</v>
      </c>
      <c r="F38" s="24">
        <f>SUM('- 54 -'!$B38:F38,B38:E38)</f>
        <v>11449502</v>
      </c>
    </row>
    <row r="39" spans="1:6" ht="14.1" customHeight="1">
      <c r="A39" s="351" t="s">
        <v>251</v>
      </c>
      <c r="B39" s="352">
        <v>4700</v>
      </c>
      <c r="C39" s="352">
        <v>19040</v>
      </c>
      <c r="D39" s="352">
        <v>55440</v>
      </c>
      <c r="E39" s="352">
        <v>285684</v>
      </c>
      <c r="F39" s="352">
        <f>SUM('- 54 -'!$B39:F39,B39:E39)</f>
        <v>2324250</v>
      </c>
    </row>
    <row r="40" spans="1:6" ht="14.1" customHeight="1">
      <c r="A40" s="23" t="s">
        <v>252</v>
      </c>
      <c r="B40" s="24">
        <v>323100</v>
      </c>
      <c r="C40" s="24">
        <v>101682</v>
      </c>
      <c r="D40" s="24">
        <v>388470</v>
      </c>
      <c r="E40" s="24">
        <v>116925</v>
      </c>
      <c r="F40" s="24">
        <f>SUM('- 54 -'!$B40:F40,B40:E40)</f>
        <v>8001870</v>
      </c>
    </row>
    <row r="41" spans="1:6" ht="14.1" customHeight="1">
      <c r="A41" s="351" t="s">
        <v>253</v>
      </c>
      <c r="B41" s="352">
        <v>151300</v>
      </c>
      <c r="C41" s="352">
        <v>58000</v>
      </c>
      <c r="D41" s="352">
        <v>159390</v>
      </c>
      <c r="E41" s="352">
        <v>364475</v>
      </c>
      <c r="F41" s="352">
        <f>SUM('- 54 -'!$B41:F41,B41:E41)</f>
        <v>7286359</v>
      </c>
    </row>
    <row r="42" spans="1:6" ht="14.1" customHeight="1">
      <c r="A42" s="23" t="s">
        <v>254</v>
      </c>
      <c r="B42" s="24">
        <v>22437</v>
      </c>
      <c r="C42" s="24">
        <v>18374</v>
      </c>
      <c r="D42" s="24">
        <v>51975</v>
      </c>
      <c r="E42" s="24">
        <v>282169</v>
      </c>
      <c r="F42" s="24">
        <f>SUM('- 54 -'!$B42:F42,B42:E42)</f>
        <v>2785821</v>
      </c>
    </row>
    <row r="43" spans="1:6" ht="14.1" customHeight="1">
      <c r="A43" s="351" t="s">
        <v>255</v>
      </c>
      <c r="B43" s="352">
        <v>550</v>
      </c>
      <c r="C43" s="352">
        <v>13744</v>
      </c>
      <c r="D43" s="352">
        <v>39105</v>
      </c>
      <c r="E43" s="352">
        <v>113864</v>
      </c>
      <c r="F43" s="352">
        <f>SUM('- 54 -'!$B43:F43,B43:E43)</f>
        <v>1376602</v>
      </c>
    </row>
    <row r="44" spans="1:6" ht="14.1" customHeight="1">
      <c r="A44" s="23" t="s">
        <v>256</v>
      </c>
      <c r="B44" s="24">
        <v>12850</v>
      </c>
      <c r="C44" s="24">
        <v>10622</v>
      </c>
      <c r="D44" s="24">
        <v>29205</v>
      </c>
      <c r="E44" s="24">
        <v>170167</v>
      </c>
      <c r="F44" s="24">
        <f>SUM('- 54 -'!$B44:F44,B44:E44)</f>
        <v>1721552</v>
      </c>
    </row>
    <row r="45" spans="1:6" ht="14.1" customHeight="1">
      <c r="A45" s="351" t="s">
        <v>257</v>
      </c>
      <c r="B45" s="352">
        <v>50200</v>
      </c>
      <c r="C45" s="352">
        <v>24804</v>
      </c>
      <c r="D45" s="352">
        <v>68310</v>
      </c>
      <c r="E45" s="352">
        <v>117611</v>
      </c>
      <c r="F45" s="352">
        <f>SUM('- 54 -'!$B45:F45,B45:E45)</f>
        <v>1828951</v>
      </c>
    </row>
    <row r="46" spans="1:6" ht="14.1" customHeight="1">
      <c r="A46" s="23" t="s">
        <v>258</v>
      </c>
      <c r="B46" s="24">
        <v>843650</v>
      </c>
      <c r="C46" s="24">
        <v>474848</v>
      </c>
      <c r="D46" s="24">
        <v>1796248</v>
      </c>
      <c r="E46" s="24">
        <v>1605180</v>
      </c>
      <c r="F46" s="24">
        <f>SUM('- 54 -'!$B46:F46,B46:E46)</f>
        <v>29989730</v>
      </c>
    </row>
    <row r="47" spans="1:6" ht="5.0999999999999996" customHeight="1">
      <c r="A47"/>
      <c r="B47"/>
      <c r="C47"/>
      <c r="D47"/>
      <c r="E47"/>
      <c r="F47"/>
    </row>
    <row r="48" spans="1:6" ht="14.1" customHeight="1">
      <c r="A48" s="354" t="s">
        <v>259</v>
      </c>
      <c r="B48" s="355">
        <f>SUM(B11:B46)</f>
        <v>6586437</v>
      </c>
      <c r="C48" s="355">
        <f>SUM(C11:C46)</f>
        <v>2400027</v>
      </c>
      <c r="D48" s="355">
        <f>SUM(D11:D46)</f>
        <v>7312846</v>
      </c>
      <c r="E48" s="355">
        <f>SUM(E11:E46)</f>
        <v>17216103</v>
      </c>
      <c r="F48" s="355">
        <f>SUM(F11:F46)</f>
        <v>200849571</v>
      </c>
    </row>
    <row r="49" spans="1:6" ht="5.0999999999999996" customHeight="1">
      <c r="A49" s="25" t="s">
        <v>3</v>
      </c>
      <c r="B49" s="26"/>
      <c r="C49" s="26"/>
      <c r="D49" s="26"/>
      <c r="E49" s="26"/>
      <c r="F49" s="26"/>
    </row>
    <row r="50" spans="1:6" ht="14.45" customHeight="1">
      <c r="A50" s="23" t="s">
        <v>260</v>
      </c>
      <c r="B50" s="24">
        <v>950</v>
      </c>
      <c r="C50" s="24">
        <v>6312</v>
      </c>
      <c r="D50" s="24">
        <v>3465</v>
      </c>
      <c r="E50" s="24">
        <v>40560</v>
      </c>
      <c r="F50" s="24">
        <f>SUM('- 54 -'!$B50:F50,B50:E50)</f>
        <v>195236</v>
      </c>
    </row>
    <row r="51" spans="1:6" ht="14.1" customHeight="1">
      <c r="A51" s="351" t="s">
        <v>261</v>
      </c>
      <c r="B51" s="352">
        <v>0</v>
      </c>
      <c r="C51" s="352">
        <v>0</v>
      </c>
      <c r="D51" s="352">
        <v>0</v>
      </c>
      <c r="E51" s="352">
        <v>0</v>
      </c>
      <c r="F51" s="352">
        <f>SUM('- 54 -'!$B51:F51,B51:E51)</f>
        <v>0</v>
      </c>
    </row>
    <row r="52" spans="1:6" ht="50.1" customHeight="1">
      <c r="A52" s="27"/>
      <c r="B52" s="27"/>
      <c r="C52" s="27"/>
      <c r="D52" s="27"/>
      <c r="E52" s="27"/>
      <c r="F52" s="27"/>
    </row>
    <row r="53" spans="1:6" ht="15" customHeight="1">
      <c r="A53" s="39" t="s">
        <v>603</v>
      </c>
      <c r="E53" s="39"/>
      <c r="F53" s="39"/>
    </row>
    <row r="54" spans="1:6" ht="14.45" customHeight="1">
      <c r="A54" s="39"/>
      <c r="E54" s="39"/>
      <c r="F54" s="39"/>
    </row>
    <row r="55" spans="1:6" ht="14.45" customHeight="1">
      <c r="B55" s="39"/>
      <c r="C55" s="39"/>
      <c r="D55" s="39"/>
      <c r="E55" s="39"/>
      <c r="F55" s="39"/>
    </row>
    <row r="56" spans="1:6" ht="14.45" customHeight="1">
      <c r="E56" s="114"/>
      <c r="F56" s="114"/>
    </row>
    <row r="57" spans="1:6" ht="14.45" customHeight="1">
      <c r="B57" s="114"/>
      <c r="C57" s="114"/>
      <c r="D57" s="114"/>
      <c r="E57" s="114"/>
      <c r="F57" s="114"/>
    </row>
    <row r="58" spans="1:6" ht="14.45" customHeight="1"/>
    <row r="59" spans="1:6" ht="14.45" customHeight="1"/>
  </sheetData>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9.xml><?xml version="1.0" encoding="utf-8"?>
<worksheet xmlns="http://schemas.openxmlformats.org/spreadsheetml/2006/main" xmlns:r="http://schemas.openxmlformats.org/officeDocument/2006/relationships">
  <sheetPr codeName="Sheet48">
    <pageSetUpPr fitToPage="1"/>
  </sheetPr>
  <dimension ref="A1:F59"/>
  <sheetViews>
    <sheetView showGridLines="0" showZeros="0" workbookViewId="0"/>
  </sheetViews>
  <sheetFormatPr defaultColWidth="23.83203125" defaultRowHeight="12"/>
  <cols>
    <col min="1" max="1" width="32.5" style="1" customWidth="1"/>
    <col min="2" max="2" width="20.1640625" style="1" customWidth="1"/>
    <col min="3" max="3" width="19.5" style="1" customWidth="1"/>
    <col min="4" max="4" width="20" style="1" customWidth="1"/>
    <col min="5" max="5" width="19.33203125" style="1" customWidth="1"/>
    <col min="6" max="6" width="21.6640625" style="1" customWidth="1"/>
    <col min="7" max="16384" width="23.83203125" style="1"/>
  </cols>
  <sheetData>
    <row r="1" spans="1:6" ht="6.95" customHeight="1">
      <c r="A1" s="3"/>
      <c r="B1" s="3"/>
      <c r="C1" s="3"/>
      <c r="D1" s="3"/>
      <c r="E1" s="3"/>
      <c r="F1" s="3"/>
    </row>
    <row r="2" spans="1:6" ht="15.95" customHeight="1">
      <c r="A2" s="299"/>
      <c r="B2" s="72" t="str">
        <f>REVYEAR</f>
        <v>ANALYSIS OF OPERATING FUND REVENUE: 2012/2013 BUDGET</v>
      </c>
      <c r="C2" s="72"/>
      <c r="D2" s="300"/>
      <c r="E2" s="300"/>
      <c r="F2" s="249" t="s">
        <v>197</v>
      </c>
    </row>
    <row r="3" spans="1:6" ht="15.95" customHeight="1">
      <c r="A3" s="244"/>
      <c r="B3" s="301"/>
      <c r="C3" s="301"/>
      <c r="D3" s="301"/>
      <c r="E3" s="301"/>
      <c r="F3" s="301"/>
    </row>
    <row r="4" spans="1:6" ht="15.95" customHeight="1"/>
    <row r="5" spans="1:6" ht="15.95" customHeight="1">
      <c r="B5" s="430" t="s">
        <v>76</v>
      </c>
      <c r="C5" s="463"/>
      <c r="D5" s="463"/>
      <c r="E5" s="360"/>
      <c r="F5" s="359"/>
    </row>
    <row r="6" spans="1:6" ht="15.95" customHeight="1">
      <c r="B6" s="453" t="s">
        <v>215</v>
      </c>
      <c r="C6" s="464"/>
      <c r="D6" s="464"/>
      <c r="E6" s="425"/>
      <c r="F6" s="462"/>
    </row>
    <row r="7" spans="1:6" ht="15.95" customHeight="1">
      <c r="B7" s="251"/>
      <c r="C7" s="251" t="s">
        <v>381</v>
      </c>
      <c r="D7" s="251"/>
      <c r="E7" s="251" t="s">
        <v>44</v>
      </c>
      <c r="F7" s="250" t="s">
        <v>217</v>
      </c>
    </row>
    <row r="8" spans="1:6" ht="15.95" customHeight="1">
      <c r="A8" s="32"/>
      <c r="B8" s="253" t="s">
        <v>223</v>
      </c>
      <c r="C8" s="253" t="s">
        <v>223</v>
      </c>
      <c r="D8" s="253" t="s">
        <v>443</v>
      </c>
      <c r="E8" s="253" t="s">
        <v>115</v>
      </c>
      <c r="F8" s="252" t="s">
        <v>218</v>
      </c>
    </row>
    <row r="9" spans="1:6" ht="15.95" customHeight="1">
      <c r="A9" s="117" t="s">
        <v>79</v>
      </c>
      <c r="B9" s="118" t="s">
        <v>360</v>
      </c>
      <c r="C9" s="118" t="s">
        <v>363</v>
      </c>
      <c r="D9" s="118" t="s">
        <v>408</v>
      </c>
      <c r="E9" s="118" t="s">
        <v>595</v>
      </c>
      <c r="F9" s="113" t="s">
        <v>115</v>
      </c>
    </row>
    <row r="10" spans="1:6" ht="5.0999999999999996" customHeight="1">
      <c r="A10" s="37"/>
      <c r="B10" s="3"/>
      <c r="C10" s="3"/>
      <c r="D10" s="3"/>
      <c r="E10" s="3"/>
      <c r="F10" s="3"/>
    </row>
    <row r="11" spans="1:6" ht="14.1" customHeight="1">
      <c r="A11" s="351" t="s">
        <v>224</v>
      </c>
      <c r="B11" s="352">
        <v>1209639</v>
      </c>
      <c r="C11" s="352">
        <v>0</v>
      </c>
      <c r="D11" s="352">
        <v>0</v>
      </c>
      <c r="E11" s="352">
        <v>89420</v>
      </c>
      <c r="F11" s="352">
        <f>SUM('- 53 -'!$G11,'- 55 -'!$F11,B11:E11)</f>
        <v>7900232</v>
      </c>
    </row>
    <row r="12" spans="1:6" ht="14.1" customHeight="1">
      <c r="A12" s="23" t="s">
        <v>225</v>
      </c>
      <c r="B12" s="24">
        <v>4305708</v>
      </c>
      <c r="C12" s="24">
        <v>1575</v>
      </c>
      <c r="D12" s="24">
        <v>0</v>
      </c>
      <c r="E12" s="24">
        <v>138100</v>
      </c>
      <c r="F12" s="24">
        <f>SUM('- 53 -'!$G12,'- 55 -'!$F12,B12:E12)</f>
        <v>15110357</v>
      </c>
    </row>
    <row r="13" spans="1:6" ht="14.1" customHeight="1">
      <c r="A13" s="351" t="s">
        <v>226</v>
      </c>
      <c r="B13" s="352">
        <v>8299600</v>
      </c>
      <c r="C13" s="352">
        <v>0</v>
      </c>
      <c r="D13" s="352">
        <v>0</v>
      </c>
      <c r="E13" s="352">
        <v>278500</v>
      </c>
      <c r="F13" s="352">
        <f>SUM('- 53 -'!$G13,'- 55 -'!$F13,B13:E13)</f>
        <v>38742500</v>
      </c>
    </row>
    <row r="14" spans="1:6" ht="14.1" customHeight="1">
      <c r="A14" s="23" t="s">
        <v>524</v>
      </c>
      <c r="B14" s="24">
        <v>6802391</v>
      </c>
      <c r="C14" s="24">
        <v>0</v>
      </c>
      <c r="D14" s="24">
        <v>0</v>
      </c>
      <c r="E14" s="24">
        <v>227720</v>
      </c>
      <c r="F14" s="24">
        <f>SUM('- 53 -'!$G14,'- 55 -'!$F14,B14:E14)</f>
        <v>30530905</v>
      </c>
    </row>
    <row r="15" spans="1:6" ht="14.1" customHeight="1">
      <c r="A15" s="351" t="s">
        <v>227</v>
      </c>
      <c r="B15" s="352">
        <v>0</v>
      </c>
      <c r="C15" s="352">
        <v>0</v>
      </c>
      <c r="D15" s="352">
        <v>700031</v>
      </c>
      <c r="E15" s="352">
        <v>84020</v>
      </c>
      <c r="F15" s="352">
        <f>SUM('- 53 -'!$G15,'- 55 -'!$F15,B15:E15)</f>
        <v>8156933</v>
      </c>
    </row>
    <row r="16" spans="1:6" ht="14.1" customHeight="1">
      <c r="A16" s="23" t="s">
        <v>228</v>
      </c>
      <c r="B16" s="24">
        <v>2796496</v>
      </c>
      <c r="C16" s="24">
        <v>208582</v>
      </c>
      <c r="D16" s="24">
        <v>0</v>
      </c>
      <c r="E16" s="24">
        <v>54660</v>
      </c>
      <c r="F16" s="24">
        <f>SUM('- 53 -'!$G16,'- 55 -'!$F16,B16:E16)</f>
        <v>7754235</v>
      </c>
    </row>
    <row r="17" spans="1:6" ht="14.1" customHeight="1">
      <c r="A17" s="351" t="s">
        <v>229</v>
      </c>
      <c r="B17" s="352">
        <v>0</v>
      </c>
      <c r="C17" s="352">
        <v>0</v>
      </c>
      <c r="D17" s="352">
        <v>921167</v>
      </c>
      <c r="E17" s="352">
        <v>101240</v>
      </c>
      <c r="F17" s="352">
        <f>SUM('- 53 -'!$G17,'- 55 -'!$F17,B17:E17)</f>
        <v>7406382</v>
      </c>
    </row>
    <row r="18" spans="1:6" ht="14.1" customHeight="1">
      <c r="A18" s="23" t="s">
        <v>230</v>
      </c>
      <c r="B18" s="24">
        <v>12485193</v>
      </c>
      <c r="C18" s="24">
        <v>4758592</v>
      </c>
      <c r="D18" s="24">
        <v>0</v>
      </c>
      <c r="E18" s="24">
        <v>381600</v>
      </c>
      <c r="F18" s="24">
        <f>SUM('- 53 -'!$G18,'- 55 -'!$F18,B18:E18)</f>
        <v>36940967</v>
      </c>
    </row>
    <row r="19" spans="1:6" ht="14.1" customHeight="1">
      <c r="A19" s="351" t="s">
        <v>231</v>
      </c>
      <c r="B19" s="352">
        <v>6792562</v>
      </c>
      <c r="C19" s="352">
        <v>0</v>
      </c>
      <c r="D19" s="352">
        <v>0</v>
      </c>
      <c r="E19" s="352">
        <v>107400</v>
      </c>
      <c r="F19" s="352">
        <f>SUM('- 53 -'!$G19,'- 55 -'!$F19,B19:E19)</f>
        <v>23918744</v>
      </c>
    </row>
    <row r="20" spans="1:6" ht="14.1" customHeight="1">
      <c r="A20" s="23" t="s">
        <v>232</v>
      </c>
      <c r="B20" s="24">
        <v>11750765</v>
      </c>
      <c r="C20" s="24">
        <v>0</v>
      </c>
      <c r="D20" s="24">
        <v>0</v>
      </c>
      <c r="E20" s="24">
        <v>235100</v>
      </c>
      <c r="F20" s="24">
        <f>SUM('- 53 -'!$G20,'- 55 -'!$F20,B20:E20)</f>
        <v>42186463</v>
      </c>
    </row>
    <row r="21" spans="1:6" ht="14.1" customHeight="1">
      <c r="A21" s="351" t="s">
        <v>233</v>
      </c>
      <c r="B21" s="352">
        <v>3243730</v>
      </c>
      <c r="C21" s="352">
        <v>0</v>
      </c>
      <c r="D21" s="352">
        <v>869349</v>
      </c>
      <c r="E21" s="352">
        <v>158520</v>
      </c>
      <c r="F21" s="352">
        <f>SUM('- 53 -'!$G21,'- 55 -'!$F21,B21:E21)</f>
        <v>17111580</v>
      </c>
    </row>
    <row r="22" spans="1:6" ht="14.1" customHeight="1">
      <c r="A22" s="23" t="s">
        <v>234</v>
      </c>
      <c r="B22" s="24">
        <v>4406742</v>
      </c>
      <c r="C22" s="24">
        <v>970692</v>
      </c>
      <c r="D22" s="24">
        <v>0</v>
      </c>
      <c r="E22" s="24">
        <v>79280</v>
      </c>
      <c r="F22" s="24">
        <f>SUM('- 53 -'!$G22,'- 55 -'!$F22,B22:E22)</f>
        <v>13491009</v>
      </c>
    </row>
    <row r="23" spans="1:6" ht="14.1" customHeight="1">
      <c r="A23" s="351" t="s">
        <v>235</v>
      </c>
      <c r="B23" s="352">
        <v>2493123</v>
      </c>
      <c r="C23" s="352">
        <v>419953</v>
      </c>
      <c r="D23" s="352">
        <v>0</v>
      </c>
      <c r="E23" s="352">
        <v>98100</v>
      </c>
      <c r="F23" s="352">
        <f>SUM('- 53 -'!$G23,'- 55 -'!$F23,B23:E23)</f>
        <v>9533364</v>
      </c>
    </row>
    <row r="24" spans="1:6" ht="14.1" customHeight="1">
      <c r="A24" s="23" t="s">
        <v>236</v>
      </c>
      <c r="B24" s="24">
        <v>2774179</v>
      </c>
      <c r="C24" s="24">
        <v>0</v>
      </c>
      <c r="D24" s="24">
        <v>1000170</v>
      </c>
      <c r="E24" s="24">
        <v>233840</v>
      </c>
      <c r="F24" s="24">
        <f>SUM('- 53 -'!$G24,'- 55 -'!$F24,B24:E24)</f>
        <v>23908365</v>
      </c>
    </row>
    <row r="25" spans="1:6" ht="14.1" customHeight="1">
      <c r="A25" s="351" t="s">
        <v>237</v>
      </c>
      <c r="B25" s="352">
        <v>7686727</v>
      </c>
      <c r="C25" s="352">
        <v>0</v>
      </c>
      <c r="D25" s="352">
        <v>7771425</v>
      </c>
      <c r="E25" s="352">
        <v>555760</v>
      </c>
      <c r="F25" s="352">
        <f>SUM('- 53 -'!$G25,'- 55 -'!$F25,B25:E25)</f>
        <v>71203727</v>
      </c>
    </row>
    <row r="26" spans="1:6" ht="14.1" customHeight="1">
      <c r="A26" s="23" t="s">
        <v>238</v>
      </c>
      <c r="B26" s="24">
        <v>5413883</v>
      </c>
      <c r="C26" s="24">
        <v>719357</v>
      </c>
      <c r="D26" s="24">
        <v>0</v>
      </c>
      <c r="E26" s="24">
        <v>277960</v>
      </c>
      <c r="F26" s="24">
        <f>SUM('- 53 -'!$G26,'- 55 -'!$F26,B26:E26)</f>
        <v>21390179</v>
      </c>
    </row>
    <row r="27" spans="1:6" ht="14.1" customHeight="1">
      <c r="A27" s="351" t="s">
        <v>239</v>
      </c>
      <c r="B27" s="352">
        <v>8233253</v>
      </c>
      <c r="C27" s="352">
        <v>3841201</v>
      </c>
      <c r="D27" s="352">
        <v>1597896</v>
      </c>
      <c r="E27" s="352">
        <v>116300</v>
      </c>
      <c r="F27" s="352">
        <f>SUM('- 53 -'!$G27,'- 55 -'!$F27,B27:E27)</f>
        <v>26551692</v>
      </c>
    </row>
    <row r="28" spans="1:6" ht="14.1" customHeight="1">
      <c r="A28" s="23" t="s">
        <v>240</v>
      </c>
      <c r="B28" s="24">
        <v>1645165</v>
      </c>
      <c r="C28" s="24">
        <v>0</v>
      </c>
      <c r="D28" s="24">
        <v>298389</v>
      </c>
      <c r="E28" s="24">
        <v>146580</v>
      </c>
      <c r="F28" s="24">
        <f>SUM('- 53 -'!$G28,'- 55 -'!$F28,B28:E28)</f>
        <v>10707321</v>
      </c>
    </row>
    <row r="29" spans="1:6" ht="14.1" customHeight="1">
      <c r="A29" s="351" t="s">
        <v>241</v>
      </c>
      <c r="B29" s="352">
        <v>0</v>
      </c>
      <c r="C29" s="352">
        <v>0</v>
      </c>
      <c r="D29" s="352">
        <v>5970579</v>
      </c>
      <c r="E29" s="352">
        <v>414220</v>
      </c>
      <c r="F29" s="352">
        <f>SUM('- 53 -'!$G29,'- 55 -'!$F29,B29:E29)</f>
        <v>53896620</v>
      </c>
    </row>
    <row r="30" spans="1:6" ht="14.1" customHeight="1">
      <c r="A30" s="23" t="s">
        <v>242</v>
      </c>
      <c r="B30" s="24">
        <v>1619096</v>
      </c>
      <c r="C30" s="24">
        <v>0</v>
      </c>
      <c r="D30" s="24">
        <v>0</v>
      </c>
      <c r="E30" s="24">
        <v>92020</v>
      </c>
      <c r="F30" s="24">
        <f>SUM('- 53 -'!$G30,'- 55 -'!$F30,B30:E30)</f>
        <v>7477856</v>
      </c>
    </row>
    <row r="31" spans="1:6" ht="14.1" customHeight="1">
      <c r="A31" s="351" t="s">
        <v>243</v>
      </c>
      <c r="B31" s="352">
        <v>3575325</v>
      </c>
      <c r="C31" s="352">
        <v>0</v>
      </c>
      <c r="D31" s="352">
        <v>0</v>
      </c>
      <c r="E31" s="352">
        <v>167940</v>
      </c>
      <c r="F31" s="352">
        <f>SUM('- 53 -'!$G31,'- 55 -'!$F31,B31:E31)</f>
        <v>17585158</v>
      </c>
    </row>
    <row r="32" spans="1:6" ht="14.1" customHeight="1">
      <c r="A32" s="23" t="s">
        <v>244</v>
      </c>
      <c r="B32" s="24">
        <v>1507390</v>
      </c>
      <c r="C32" s="24">
        <v>0</v>
      </c>
      <c r="D32" s="24">
        <v>246938</v>
      </c>
      <c r="E32" s="24">
        <v>154280</v>
      </c>
      <c r="F32" s="24">
        <f>SUM('- 53 -'!$G32,'- 55 -'!$F32,B32:E32)</f>
        <v>12211438</v>
      </c>
    </row>
    <row r="33" spans="1:6" ht="14.1" customHeight="1">
      <c r="A33" s="351" t="s">
        <v>245</v>
      </c>
      <c r="B33" s="352">
        <v>2066564</v>
      </c>
      <c r="C33" s="352">
        <v>0</v>
      </c>
      <c r="D33" s="352">
        <v>941220</v>
      </c>
      <c r="E33" s="352">
        <v>191900</v>
      </c>
      <c r="F33" s="352">
        <f>SUM('- 53 -'!$G33,'- 55 -'!$F33,B33:E33)</f>
        <v>14129927</v>
      </c>
    </row>
    <row r="34" spans="1:6" ht="14.1" customHeight="1">
      <c r="A34" s="23" t="s">
        <v>246</v>
      </c>
      <c r="B34" s="24">
        <v>1582446</v>
      </c>
      <c r="C34" s="24">
        <v>0</v>
      </c>
      <c r="D34" s="24">
        <v>0</v>
      </c>
      <c r="E34" s="24">
        <v>124280</v>
      </c>
      <c r="F34" s="24">
        <f>SUM('- 53 -'!$G34,'- 55 -'!$F34,B34:E34)</f>
        <v>11756279</v>
      </c>
    </row>
    <row r="35" spans="1:6" ht="14.1" customHeight="1">
      <c r="A35" s="351" t="s">
        <v>247</v>
      </c>
      <c r="B35" s="352">
        <v>16432526</v>
      </c>
      <c r="C35" s="352">
        <v>3036165</v>
      </c>
      <c r="D35" s="352">
        <v>6300558</v>
      </c>
      <c r="E35" s="352">
        <v>671300</v>
      </c>
      <c r="F35" s="352">
        <f>SUM('- 53 -'!$G35,'- 55 -'!$F35,B35:E35)</f>
        <v>89172009</v>
      </c>
    </row>
    <row r="36" spans="1:6" ht="14.1" customHeight="1">
      <c r="A36" s="23" t="s">
        <v>248</v>
      </c>
      <c r="B36" s="24">
        <v>1128112</v>
      </c>
      <c r="C36" s="24">
        <v>0</v>
      </c>
      <c r="D36" s="24">
        <v>804932</v>
      </c>
      <c r="E36" s="24">
        <v>131820</v>
      </c>
      <c r="F36" s="24">
        <f>SUM('- 53 -'!$G36,'- 55 -'!$F36,B36:E36)</f>
        <v>10152977</v>
      </c>
    </row>
    <row r="37" spans="1:6" ht="14.1" customHeight="1">
      <c r="A37" s="351" t="s">
        <v>249</v>
      </c>
      <c r="B37" s="352">
        <v>5892509</v>
      </c>
      <c r="C37" s="352">
        <v>0</v>
      </c>
      <c r="D37" s="352">
        <v>0</v>
      </c>
      <c r="E37" s="352">
        <v>147440</v>
      </c>
      <c r="F37" s="352">
        <f>SUM('- 53 -'!$G37,'- 55 -'!$F37,B37:E37)</f>
        <v>23240568</v>
      </c>
    </row>
    <row r="38" spans="1:6" ht="14.1" customHeight="1">
      <c r="A38" s="23" t="s">
        <v>250</v>
      </c>
      <c r="B38" s="24">
        <v>16623813</v>
      </c>
      <c r="C38" s="24">
        <v>4111702</v>
      </c>
      <c r="D38" s="24">
        <v>0</v>
      </c>
      <c r="E38" s="24">
        <v>308440</v>
      </c>
      <c r="F38" s="24">
        <f>SUM('- 53 -'!$G38,'- 55 -'!$F38,B38:E38)</f>
        <v>62313959</v>
      </c>
    </row>
    <row r="39" spans="1:6" ht="14.1" customHeight="1">
      <c r="A39" s="351" t="s">
        <v>251</v>
      </c>
      <c r="B39" s="352">
        <v>442018</v>
      </c>
      <c r="C39" s="352">
        <v>0</v>
      </c>
      <c r="D39" s="352">
        <v>582679</v>
      </c>
      <c r="E39" s="352">
        <v>111640</v>
      </c>
      <c r="F39" s="352">
        <f>SUM('- 53 -'!$G39,'- 55 -'!$F39,B39:E39)</f>
        <v>9154209</v>
      </c>
    </row>
    <row r="40" spans="1:6" ht="14.1" customHeight="1">
      <c r="A40" s="23" t="s">
        <v>252</v>
      </c>
      <c r="B40" s="24">
        <v>0</v>
      </c>
      <c r="C40" s="24">
        <v>0</v>
      </c>
      <c r="D40" s="24">
        <v>4766487</v>
      </c>
      <c r="E40" s="24">
        <v>463080</v>
      </c>
      <c r="F40" s="24">
        <f>SUM('- 53 -'!$G40,'- 55 -'!$F40,B40:E40)</f>
        <v>38666067</v>
      </c>
    </row>
    <row r="41" spans="1:6" ht="14.1" customHeight="1">
      <c r="A41" s="351" t="s">
        <v>253</v>
      </c>
      <c r="B41" s="352">
        <v>2802295</v>
      </c>
      <c r="C41" s="352">
        <v>0</v>
      </c>
      <c r="D41" s="352">
        <v>818320</v>
      </c>
      <c r="E41" s="352">
        <v>216620</v>
      </c>
      <c r="F41" s="352">
        <f>SUM('- 53 -'!$G41,'- 55 -'!$F41,B41:E41)</f>
        <v>25606940</v>
      </c>
    </row>
    <row r="42" spans="1:6" ht="14.1" customHeight="1">
      <c r="A42" s="23" t="s">
        <v>254</v>
      </c>
      <c r="B42" s="24">
        <v>3098731</v>
      </c>
      <c r="C42" s="24">
        <v>557431</v>
      </c>
      <c r="D42" s="24">
        <v>0</v>
      </c>
      <c r="E42" s="24">
        <v>134620</v>
      </c>
      <c r="F42" s="24">
        <f>SUM('- 53 -'!$G42,'- 55 -'!$F42,B42:E42)</f>
        <v>11722354</v>
      </c>
    </row>
    <row r="43" spans="1:6" ht="14.1" customHeight="1">
      <c r="A43" s="351" t="s">
        <v>255</v>
      </c>
      <c r="B43" s="352">
        <v>760324</v>
      </c>
      <c r="C43" s="352">
        <v>0</v>
      </c>
      <c r="D43" s="352">
        <v>412072</v>
      </c>
      <c r="E43" s="352">
        <v>60980</v>
      </c>
      <c r="F43" s="352">
        <f>SUM('- 53 -'!$G43,'- 55 -'!$F43,B43:E43)</f>
        <v>6030176</v>
      </c>
    </row>
    <row r="44" spans="1:6" ht="14.1" customHeight="1">
      <c r="A44" s="23" t="s">
        <v>256</v>
      </c>
      <c r="B44" s="24">
        <v>1925098</v>
      </c>
      <c r="C44" s="24">
        <v>434059</v>
      </c>
      <c r="D44" s="24">
        <v>0</v>
      </c>
      <c r="E44" s="24">
        <v>70840</v>
      </c>
      <c r="F44" s="24">
        <f>SUM('- 53 -'!$G44,'- 55 -'!$F44,B44:E44)</f>
        <v>7078634</v>
      </c>
    </row>
    <row r="45" spans="1:6" ht="14.1" customHeight="1">
      <c r="A45" s="351" t="s">
        <v>257</v>
      </c>
      <c r="B45" s="352">
        <v>2231697</v>
      </c>
      <c r="C45" s="352">
        <v>0</v>
      </c>
      <c r="D45" s="352">
        <v>0</v>
      </c>
      <c r="E45" s="352">
        <v>47100</v>
      </c>
      <c r="F45" s="352">
        <f>SUM('- 53 -'!$G45,'- 55 -'!$F45,B45:E45)</f>
        <v>8956425</v>
      </c>
    </row>
    <row r="46" spans="1:6" ht="14.1" customHeight="1">
      <c r="A46" s="23" t="s">
        <v>258</v>
      </c>
      <c r="B46" s="24">
        <v>34017867</v>
      </c>
      <c r="C46" s="24">
        <v>4863665</v>
      </c>
      <c r="D46" s="24">
        <v>4318583</v>
      </c>
      <c r="E46" s="24">
        <v>1327780</v>
      </c>
      <c r="F46" s="24">
        <f>SUM('- 53 -'!$G46,'- 55 -'!$F46,B46:E46)</f>
        <v>174115978</v>
      </c>
    </row>
    <row r="47" spans="1:6" ht="5.0999999999999996" customHeight="1">
      <c r="A47"/>
      <c r="B47"/>
      <c r="C47"/>
      <c r="D47"/>
      <c r="E47"/>
      <c r="F47"/>
    </row>
    <row r="48" spans="1:6" ht="14.1" customHeight="1">
      <c r="A48" s="354" t="s">
        <v>259</v>
      </c>
      <c r="B48" s="355">
        <f>SUM(B11:B46)</f>
        <v>186044967</v>
      </c>
      <c r="C48" s="355">
        <f>SUM(C11:C46)</f>
        <v>23922974</v>
      </c>
      <c r="D48" s="355">
        <f>SUM(D11:D46)</f>
        <v>38320795</v>
      </c>
      <c r="E48" s="355">
        <f>SUM(E11:E46)</f>
        <v>8200400</v>
      </c>
      <c r="F48" s="355">
        <f>SUM(F11:F46)</f>
        <v>995812529</v>
      </c>
    </row>
    <row r="49" spans="1:6" ht="5.0999999999999996" customHeight="1">
      <c r="A49" s="25" t="s">
        <v>3</v>
      </c>
      <c r="B49" s="26"/>
      <c r="C49" s="26"/>
      <c r="D49" s="26"/>
      <c r="E49" s="26"/>
      <c r="F49" s="26"/>
    </row>
    <row r="50" spans="1:6" ht="14.45" customHeight="1">
      <c r="A50" s="23" t="s">
        <v>260</v>
      </c>
      <c r="B50" s="24">
        <v>0</v>
      </c>
      <c r="C50" s="24">
        <v>0</v>
      </c>
      <c r="D50" s="24">
        <v>118158</v>
      </c>
      <c r="E50" s="24">
        <v>0</v>
      </c>
      <c r="F50" s="24">
        <f>SUM('- 53 -'!$G50,'- 55 -'!$F50,B50:E50)</f>
        <v>931141</v>
      </c>
    </row>
    <row r="51" spans="1:6" ht="14.1" customHeight="1">
      <c r="A51" s="351" t="s">
        <v>261</v>
      </c>
      <c r="B51" s="352">
        <v>0</v>
      </c>
      <c r="C51" s="352">
        <v>0</v>
      </c>
      <c r="D51" s="352">
        <v>0</v>
      </c>
      <c r="E51" s="352">
        <v>50000</v>
      </c>
      <c r="F51" s="352">
        <f>SUM('- 53 -'!$G51,'- 55 -'!$F51,B51:E51)</f>
        <v>50000</v>
      </c>
    </row>
    <row r="52" spans="1:6" ht="50.1" customHeight="1">
      <c r="A52" s="27"/>
      <c r="B52" s="27"/>
      <c r="C52" s="27"/>
      <c r="D52" s="27"/>
      <c r="E52" s="27"/>
      <c r="F52" s="27"/>
    </row>
    <row r="53" spans="1:6" ht="15" customHeight="1">
      <c r="A53" s="29" t="s">
        <v>529</v>
      </c>
      <c r="B53" s="39"/>
      <c r="C53" s="39"/>
      <c r="D53" s="39"/>
      <c r="E53" s="39"/>
      <c r="F53" s="39"/>
    </row>
    <row r="54" spans="1:6" ht="12" customHeight="1">
      <c r="A54" s="154" t="s">
        <v>597</v>
      </c>
      <c r="B54" s="39"/>
      <c r="C54" s="39"/>
      <c r="D54" s="39"/>
      <c r="E54" s="39"/>
      <c r="F54" s="39"/>
    </row>
    <row r="55" spans="1:6" ht="12" customHeight="1">
      <c r="A55" s="29" t="s">
        <v>530</v>
      </c>
      <c r="B55" s="39"/>
      <c r="C55" s="39"/>
      <c r="D55" s="39"/>
      <c r="E55" s="39"/>
      <c r="F55" s="39"/>
    </row>
    <row r="56" spans="1:6" ht="12" customHeight="1">
      <c r="A56" s="498" t="s">
        <v>621</v>
      </c>
      <c r="B56" s="39"/>
      <c r="C56" s="39"/>
      <c r="D56" s="39"/>
      <c r="E56" s="39"/>
      <c r="F56" s="39"/>
    </row>
    <row r="57" spans="1:6" ht="12" customHeight="1">
      <c r="A57" s="2" t="s">
        <v>625</v>
      </c>
    </row>
    <row r="58" spans="1:6" ht="12" customHeight="1">
      <c r="A58" s="2" t="s">
        <v>596</v>
      </c>
    </row>
    <row r="59" spans="1:6" ht="14.45" customHeight="1"/>
  </sheetData>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G59"/>
  <sheetViews>
    <sheetView showGridLines="0" showZeros="0" workbookViewId="0"/>
  </sheetViews>
  <sheetFormatPr defaultColWidth="15.83203125" defaultRowHeight="12"/>
  <cols>
    <col min="1" max="1" width="32.83203125" style="1" customWidth="1"/>
    <col min="2" max="3" width="19.83203125" style="1" customWidth="1"/>
    <col min="4" max="4" width="21.83203125" style="1" hidden="1" customWidth="1"/>
    <col min="5" max="5" width="1.83203125" style="1" customWidth="1"/>
    <col min="6" max="7" width="18.83203125" style="1" customWidth="1"/>
    <col min="8" max="16384" width="15.83203125" style="1"/>
  </cols>
  <sheetData>
    <row r="1" spans="1:7" ht="6.95" customHeight="1">
      <c r="A1" s="3"/>
      <c r="B1" s="3"/>
      <c r="C1" s="3"/>
      <c r="D1" s="3"/>
      <c r="E1" s="4"/>
      <c r="F1" s="4"/>
    </row>
    <row r="2" spans="1:7" ht="15.95" customHeight="1">
      <c r="A2" s="41"/>
      <c r="B2" s="5" t="s">
        <v>6</v>
      </c>
      <c r="C2" s="6"/>
      <c r="D2" s="6"/>
      <c r="E2" s="6"/>
      <c r="F2" s="105"/>
      <c r="G2" s="116" t="s">
        <v>8</v>
      </c>
    </row>
    <row r="3" spans="1:7" ht="15.95" customHeight="1">
      <c r="A3" s="45"/>
      <c r="B3" s="7" t="str">
        <f>STATDATE</f>
        <v>ESTIMATE SEPTEMBER 30, 2012</v>
      </c>
      <c r="C3" s="8"/>
      <c r="D3" s="8"/>
      <c r="E3" s="8"/>
      <c r="F3" s="107"/>
      <c r="G3" s="107"/>
    </row>
    <row r="4" spans="1:7" ht="15.95" customHeight="1">
      <c r="E4" s="4"/>
      <c r="F4" s="4"/>
    </row>
    <row r="5" spans="1:7" ht="15.95" customHeight="1"/>
    <row r="6" spans="1:7" ht="15.95" customHeight="1">
      <c r="B6" s="626" t="s">
        <v>570</v>
      </c>
      <c r="C6" s="627"/>
      <c r="D6" s="495" t="s">
        <v>411</v>
      </c>
      <c r="F6" s="624" t="s">
        <v>54</v>
      </c>
    </row>
    <row r="7" spans="1:7" ht="15.95" customHeight="1">
      <c r="B7" s="628"/>
      <c r="C7" s="629"/>
      <c r="D7" s="502" t="s">
        <v>135</v>
      </c>
      <c r="F7" s="625"/>
    </row>
    <row r="8" spans="1:7" ht="15.95" customHeight="1">
      <c r="A8" s="32"/>
      <c r="B8" s="14" t="s">
        <v>182</v>
      </c>
      <c r="C8" s="234"/>
      <c r="D8" s="11" t="s">
        <v>108</v>
      </c>
      <c r="E8" s="14"/>
      <c r="F8" s="110" t="s">
        <v>412</v>
      </c>
    </row>
    <row r="9" spans="1:7" ht="15.95" customHeight="1">
      <c r="A9" s="117" t="s">
        <v>79</v>
      </c>
      <c r="B9" s="113" t="s">
        <v>22</v>
      </c>
      <c r="C9" s="113" t="s">
        <v>54</v>
      </c>
      <c r="D9" s="501" t="s">
        <v>419</v>
      </c>
      <c r="E9" s="119"/>
      <c r="F9" s="113" t="s">
        <v>166</v>
      </c>
    </row>
    <row r="10" spans="1:7" ht="5.0999999999999996" customHeight="1">
      <c r="A10" s="37"/>
      <c r="B10" s="65"/>
      <c r="C10" s="37"/>
      <c r="E10" s="120"/>
    </row>
    <row r="11" spans="1:7" ht="14.1" customHeight="1">
      <c r="A11" s="351" t="s">
        <v>224</v>
      </c>
      <c r="B11" s="378">
        <v>0</v>
      </c>
      <c r="C11" s="378">
        <f>SUM('- 6 -'!$B11:H11,B11)</f>
        <v>1479</v>
      </c>
      <c r="D11" s="378"/>
      <c r="E11" s="121"/>
      <c r="F11" s="378">
        <f>C11+D11</f>
        <v>1479</v>
      </c>
    </row>
    <row r="12" spans="1:7" ht="14.1" customHeight="1">
      <c r="A12" s="23" t="s">
        <v>225</v>
      </c>
      <c r="B12" s="66">
        <v>141.28</v>
      </c>
      <c r="C12" s="66">
        <f>SUM('- 6 -'!$B12:H12,B12)</f>
        <v>2309.8200000000002</v>
      </c>
      <c r="D12" s="66"/>
      <c r="E12" s="121"/>
      <c r="F12" s="66">
        <f t="shared" ref="F12:F46" si="0">C12+D12</f>
        <v>2309.8200000000002</v>
      </c>
    </row>
    <row r="13" spans="1:7" ht="14.1" customHeight="1">
      <c r="A13" s="351" t="s">
        <v>226</v>
      </c>
      <c r="B13" s="378">
        <v>406</v>
      </c>
      <c r="C13" s="378">
        <f>SUM('- 6 -'!$B13:H13,B13)</f>
        <v>7728</v>
      </c>
      <c r="D13" s="378"/>
      <c r="E13" s="121"/>
      <c r="F13" s="378">
        <f t="shared" si="0"/>
        <v>7728</v>
      </c>
    </row>
    <row r="14" spans="1:7" ht="14.1" customHeight="1">
      <c r="A14" s="23" t="s">
        <v>524</v>
      </c>
      <c r="B14" s="66">
        <v>0</v>
      </c>
      <c r="C14" s="66">
        <f>SUM('- 6 -'!$B14:H14,B14)</f>
        <v>5040</v>
      </c>
      <c r="D14" s="66"/>
      <c r="E14" s="121"/>
      <c r="F14" s="66">
        <f t="shared" si="0"/>
        <v>5040</v>
      </c>
    </row>
    <row r="15" spans="1:7" ht="14.1" customHeight="1">
      <c r="A15" s="351" t="s">
        <v>227</v>
      </c>
      <c r="B15" s="378">
        <v>0</v>
      </c>
      <c r="C15" s="378">
        <f>SUM('- 6 -'!$B15:H15,B15)</f>
        <v>1494</v>
      </c>
      <c r="D15" s="378"/>
      <c r="E15" s="121"/>
      <c r="F15" s="378">
        <f t="shared" si="0"/>
        <v>1494</v>
      </c>
    </row>
    <row r="16" spans="1:7" ht="14.1" customHeight="1">
      <c r="A16" s="23" t="s">
        <v>228</v>
      </c>
      <c r="B16" s="66">
        <v>12</v>
      </c>
      <c r="C16" s="66">
        <f>SUM('- 6 -'!$B16:H16,B16)</f>
        <v>989.5</v>
      </c>
      <c r="D16" s="66"/>
      <c r="E16" s="121"/>
      <c r="F16" s="66">
        <f t="shared" si="0"/>
        <v>989.5</v>
      </c>
    </row>
    <row r="17" spans="1:6" ht="14.1" customHeight="1">
      <c r="A17" s="351" t="s">
        <v>229</v>
      </c>
      <c r="B17" s="378">
        <v>30</v>
      </c>
      <c r="C17" s="378">
        <f>SUM('- 6 -'!$B17:H17,B17)</f>
        <v>1285.5</v>
      </c>
      <c r="D17" s="378"/>
      <c r="E17" s="121"/>
      <c r="F17" s="378">
        <f t="shared" si="0"/>
        <v>1285.5</v>
      </c>
    </row>
    <row r="18" spans="1:6" ht="14.1" customHeight="1">
      <c r="A18" s="23" t="s">
        <v>230</v>
      </c>
      <c r="B18" s="66">
        <v>0</v>
      </c>
      <c r="C18" s="66">
        <f>SUM('- 6 -'!$B18:H18,B18)</f>
        <v>6323.5</v>
      </c>
      <c r="D18" s="66"/>
      <c r="E18" s="121"/>
      <c r="F18" s="66">
        <f t="shared" si="0"/>
        <v>6323.5</v>
      </c>
    </row>
    <row r="19" spans="1:6" ht="14.1" customHeight="1">
      <c r="A19" s="351" t="s">
        <v>231</v>
      </c>
      <c r="B19" s="378">
        <v>75</v>
      </c>
      <c r="C19" s="378">
        <f>SUM('- 6 -'!$B19:H19,B19)</f>
        <v>4213</v>
      </c>
      <c r="D19" s="378"/>
      <c r="E19" s="121"/>
      <c r="F19" s="378">
        <f t="shared" si="0"/>
        <v>4213</v>
      </c>
    </row>
    <row r="20" spans="1:6" ht="14.1" customHeight="1">
      <c r="A20" s="23" t="s">
        <v>232</v>
      </c>
      <c r="B20" s="66">
        <v>467.8</v>
      </c>
      <c r="C20" s="66">
        <f>SUM('- 6 -'!$B20:H20,B20)</f>
        <v>7425</v>
      </c>
      <c r="D20" s="66"/>
      <c r="E20" s="121"/>
      <c r="F20" s="66">
        <f t="shared" si="0"/>
        <v>7425</v>
      </c>
    </row>
    <row r="21" spans="1:6" ht="14.1" customHeight="1">
      <c r="A21" s="351" t="s">
        <v>233</v>
      </c>
      <c r="B21" s="378">
        <v>0</v>
      </c>
      <c r="C21" s="378">
        <f>SUM('- 6 -'!$B21:H21,B21)</f>
        <v>2790</v>
      </c>
      <c r="D21" s="378"/>
      <c r="E21" s="121"/>
      <c r="F21" s="378">
        <f t="shared" si="0"/>
        <v>2790</v>
      </c>
    </row>
    <row r="22" spans="1:6" ht="14.1" customHeight="1">
      <c r="A22" s="23" t="s">
        <v>234</v>
      </c>
      <c r="B22" s="66">
        <v>0</v>
      </c>
      <c r="C22" s="66">
        <f>SUM('- 6 -'!$B22:H22,B22)</f>
        <v>1614.5</v>
      </c>
      <c r="D22" s="66"/>
      <c r="E22" s="121"/>
      <c r="F22" s="66">
        <f t="shared" si="0"/>
        <v>1614.5</v>
      </c>
    </row>
    <row r="23" spans="1:6" ht="14.1" customHeight="1">
      <c r="A23" s="351" t="s">
        <v>235</v>
      </c>
      <c r="B23" s="378">
        <v>24</v>
      </c>
      <c r="C23" s="378">
        <f>SUM('- 6 -'!$B23:H23,B23)</f>
        <v>1195.5</v>
      </c>
      <c r="D23" s="378"/>
      <c r="E23" s="121"/>
      <c r="F23" s="378">
        <f t="shared" si="0"/>
        <v>1195.5</v>
      </c>
    </row>
    <row r="24" spans="1:6" ht="14.1" customHeight="1">
      <c r="A24" s="23" t="s">
        <v>236</v>
      </c>
      <c r="B24" s="66">
        <v>358</v>
      </c>
      <c r="C24" s="66">
        <f>SUM('- 6 -'!$B24:H24,B24)</f>
        <v>4272</v>
      </c>
      <c r="D24" s="66"/>
      <c r="E24" s="121"/>
      <c r="F24" s="66">
        <f t="shared" si="0"/>
        <v>4272</v>
      </c>
    </row>
    <row r="25" spans="1:6" ht="14.1" customHeight="1">
      <c r="A25" s="351" t="s">
        <v>237</v>
      </c>
      <c r="B25" s="378">
        <v>154</v>
      </c>
      <c r="C25" s="378">
        <f>SUM('- 6 -'!$B25:H25,B25)</f>
        <v>13592</v>
      </c>
      <c r="D25" s="378"/>
      <c r="E25" s="121"/>
      <c r="F25" s="378">
        <f t="shared" si="0"/>
        <v>13592</v>
      </c>
    </row>
    <row r="26" spans="1:6" ht="14.1" customHeight="1">
      <c r="A26" s="23" t="s">
        <v>238</v>
      </c>
      <c r="B26" s="66">
        <v>142.5</v>
      </c>
      <c r="C26" s="66">
        <f>SUM('- 6 -'!$B26:H26,B26)</f>
        <v>2989</v>
      </c>
      <c r="D26" s="66"/>
      <c r="E26" s="121"/>
      <c r="F26" s="66">
        <f t="shared" si="0"/>
        <v>2989</v>
      </c>
    </row>
    <row r="27" spans="1:6" ht="14.1" customHeight="1">
      <c r="A27" s="351" t="s">
        <v>239</v>
      </c>
      <c r="B27" s="378">
        <v>215</v>
      </c>
      <c r="C27" s="378">
        <f>SUM('- 6 -'!$B27:H27,B27)</f>
        <v>2798</v>
      </c>
      <c r="D27" s="378"/>
      <c r="E27" s="121"/>
      <c r="F27" s="378">
        <f t="shared" si="0"/>
        <v>2798</v>
      </c>
    </row>
    <row r="28" spans="1:6" ht="14.1" customHeight="1">
      <c r="A28" s="23" t="s">
        <v>240</v>
      </c>
      <c r="B28" s="66">
        <v>0</v>
      </c>
      <c r="C28" s="66">
        <f>SUM('- 6 -'!$B28:H28,B28)</f>
        <v>1955</v>
      </c>
      <c r="D28" s="66"/>
      <c r="E28" s="121"/>
      <c r="F28" s="66">
        <f t="shared" si="0"/>
        <v>1955</v>
      </c>
    </row>
    <row r="29" spans="1:6" ht="14.1" customHeight="1">
      <c r="A29" s="351" t="s">
        <v>241</v>
      </c>
      <c r="B29" s="378">
        <v>0</v>
      </c>
      <c r="C29" s="378">
        <f>SUM('- 6 -'!$B29:H29,B29)</f>
        <v>12144</v>
      </c>
      <c r="D29" s="378"/>
      <c r="E29" s="121"/>
      <c r="F29" s="378">
        <f t="shared" si="0"/>
        <v>12144</v>
      </c>
    </row>
    <row r="30" spans="1:6" ht="14.1" customHeight="1">
      <c r="A30" s="23" t="s">
        <v>242</v>
      </c>
      <c r="B30" s="66">
        <v>0</v>
      </c>
      <c r="C30" s="66">
        <f>SUM('- 6 -'!$B30:H30,B30)</f>
        <v>1073.5</v>
      </c>
      <c r="D30" s="66"/>
      <c r="E30" s="121"/>
      <c r="F30" s="66">
        <f t="shared" si="0"/>
        <v>1073.5</v>
      </c>
    </row>
    <row r="31" spans="1:6" ht="14.1" customHeight="1">
      <c r="A31" s="351" t="s">
        <v>243</v>
      </c>
      <c r="B31" s="378">
        <v>85</v>
      </c>
      <c r="C31" s="378">
        <f>SUM('- 6 -'!$B31:H31,B31)</f>
        <v>3170</v>
      </c>
      <c r="D31" s="378"/>
      <c r="E31" s="121"/>
      <c r="F31" s="378">
        <f t="shared" si="0"/>
        <v>3170</v>
      </c>
    </row>
    <row r="32" spans="1:6" ht="14.1" customHeight="1">
      <c r="A32" s="23" t="s">
        <v>244</v>
      </c>
      <c r="B32" s="66">
        <v>35.630000000000003</v>
      </c>
      <c r="C32" s="66">
        <f>SUM('- 6 -'!$B32:H32,B32)</f>
        <v>2051.0300000000002</v>
      </c>
      <c r="D32" s="66"/>
      <c r="E32" s="121"/>
      <c r="F32" s="66">
        <f t="shared" si="0"/>
        <v>2051.0300000000002</v>
      </c>
    </row>
    <row r="33" spans="1:7" ht="14.1" customHeight="1">
      <c r="A33" s="351" t="s">
        <v>245</v>
      </c>
      <c r="B33" s="378">
        <v>45</v>
      </c>
      <c r="C33" s="378">
        <f>SUM('- 6 -'!$B33:H33,B33)</f>
        <v>2004.5</v>
      </c>
      <c r="D33" s="378"/>
      <c r="E33" s="121"/>
      <c r="F33" s="378">
        <f t="shared" si="0"/>
        <v>2004.5</v>
      </c>
    </row>
    <row r="34" spans="1:7" ht="14.1" customHeight="1">
      <c r="A34" s="23" t="s">
        <v>246</v>
      </c>
      <c r="B34" s="66">
        <v>25.2</v>
      </c>
      <c r="C34" s="66">
        <f>SUM('- 6 -'!$B34:H34,B34)</f>
        <v>1999.3</v>
      </c>
      <c r="D34" s="66"/>
      <c r="E34" s="121"/>
      <c r="F34" s="66">
        <f t="shared" si="0"/>
        <v>1999.3</v>
      </c>
    </row>
    <row r="35" spans="1:7" ht="14.1" customHeight="1">
      <c r="A35" s="351" t="s">
        <v>247</v>
      </c>
      <c r="B35" s="378">
        <v>544.5</v>
      </c>
      <c r="C35" s="378">
        <f>SUM('- 6 -'!$B35:H35,B35)</f>
        <v>15594</v>
      </c>
      <c r="D35" s="378"/>
      <c r="E35" s="121"/>
      <c r="F35" s="378">
        <f t="shared" si="0"/>
        <v>15594</v>
      </c>
    </row>
    <row r="36" spans="1:7" ht="14.1" customHeight="1">
      <c r="A36" s="23" t="s">
        <v>248</v>
      </c>
      <c r="B36" s="66">
        <v>9.1</v>
      </c>
      <c r="C36" s="66">
        <f>SUM('- 6 -'!$B36:H36,B36)</f>
        <v>1638</v>
      </c>
      <c r="D36" s="66"/>
      <c r="E36" s="121"/>
      <c r="F36" s="66">
        <f t="shared" si="0"/>
        <v>1638</v>
      </c>
    </row>
    <row r="37" spans="1:7" ht="14.1" customHeight="1">
      <c r="A37" s="351" t="s">
        <v>249</v>
      </c>
      <c r="B37" s="378">
        <v>0</v>
      </c>
      <c r="C37" s="378">
        <f>SUM('- 6 -'!$B37:H37,B37)</f>
        <v>3677.5</v>
      </c>
      <c r="D37" s="378"/>
      <c r="E37" s="121"/>
      <c r="F37" s="378">
        <f t="shared" si="0"/>
        <v>3677.5</v>
      </c>
    </row>
    <row r="38" spans="1:7" ht="14.1" customHeight="1">
      <c r="A38" s="23" t="s">
        <v>250</v>
      </c>
      <c r="B38" s="66">
        <v>171</v>
      </c>
      <c r="C38" s="66">
        <f>SUM('- 6 -'!$B38:H38,B38)</f>
        <v>10533</v>
      </c>
      <c r="D38" s="66"/>
      <c r="E38" s="121"/>
      <c r="F38" s="66">
        <f t="shared" si="0"/>
        <v>10533</v>
      </c>
    </row>
    <row r="39" spans="1:7" ht="14.1" customHeight="1">
      <c r="A39" s="351" t="s">
        <v>251</v>
      </c>
      <c r="B39" s="378">
        <v>43</v>
      </c>
      <c r="C39" s="378">
        <f>SUM('- 6 -'!$B39:H39,B39)</f>
        <v>1561</v>
      </c>
      <c r="D39" s="378"/>
      <c r="E39" s="121"/>
      <c r="F39" s="378">
        <f t="shared" si="0"/>
        <v>1561</v>
      </c>
    </row>
    <row r="40" spans="1:7" ht="14.1" customHeight="1">
      <c r="A40" s="23" t="s">
        <v>252</v>
      </c>
      <c r="B40" s="66">
        <v>378.7</v>
      </c>
      <c r="C40" s="66">
        <f>SUM('- 6 -'!$B40:H40,B40)</f>
        <v>8130.3999999999987</v>
      </c>
      <c r="D40" s="66"/>
      <c r="E40" s="121"/>
      <c r="F40" s="66">
        <f t="shared" si="0"/>
        <v>8130.3999999999987</v>
      </c>
    </row>
    <row r="41" spans="1:7" ht="14.1" customHeight="1">
      <c r="A41" s="351" t="s">
        <v>253</v>
      </c>
      <c r="B41" s="378">
        <v>0</v>
      </c>
      <c r="C41" s="378">
        <f>SUM('- 6 -'!$B41:H41,B41)</f>
        <v>4503.5</v>
      </c>
      <c r="D41" s="378"/>
      <c r="E41" s="121"/>
      <c r="F41" s="378">
        <f t="shared" si="0"/>
        <v>4503.5</v>
      </c>
    </row>
    <row r="42" spans="1:7" ht="14.1" customHeight="1">
      <c r="A42" s="23" t="s">
        <v>254</v>
      </c>
      <c r="B42" s="66">
        <v>127</v>
      </c>
      <c r="C42" s="66">
        <f>SUM('- 6 -'!$B42:H42,B42)</f>
        <v>1458</v>
      </c>
      <c r="D42" s="66"/>
      <c r="E42" s="121"/>
      <c r="F42" s="66">
        <f t="shared" si="0"/>
        <v>1458</v>
      </c>
    </row>
    <row r="43" spans="1:7" ht="14.1" customHeight="1">
      <c r="A43" s="351" t="s">
        <v>255</v>
      </c>
      <c r="B43" s="378">
        <v>0</v>
      </c>
      <c r="C43" s="378">
        <f>SUM('- 6 -'!$B43:H43,B43)</f>
        <v>949.125</v>
      </c>
      <c r="D43" s="378"/>
      <c r="E43" s="121"/>
      <c r="F43" s="378">
        <f t="shared" si="0"/>
        <v>949.125</v>
      </c>
    </row>
    <row r="44" spans="1:7" ht="14.1" customHeight="1">
      <c r="A44" s="23" t="s">
        <v>256</v>
      </c>
      <c r="B44" s="66">
        <v>0</v>
      </c>
      <c r="C44" s="66">
        <f>SUM('- 6 -'!$B44:H44,B44)</f>
        <v>748</v>
      </c>
      <c r="D44" s="66"/>
      <c r="E44" s="121"/>
      <c r="F44" s="66">
        <f t="shared" si="0"/>
        <v>748</v>
      </c>
    </row>
    <row r="45" spans="1:7" ht="14.1" customHeight="1">
      <c r="A45" s="351" t="s">
        <v>257</v>
      </c>
      <c r="B45" s="378">
        <v>40</v>
      </c>
      <c r="C45" s="378">
        <f>SUM('- 6 -'!$B45:H45,B45)</f>
        <v>1661.5</v>
      </c>
      <c r="D45" s="378"/>
      <c r="E45" s="121"/>
      <c r="F45" s="378">
        <f t="shared" si="0"/>
        <v>1661.5</v>
      </c>
    </row>
    <row r="46" spans="1:7" ht="14.1" customHeight="1">
      <c r="A46" s="23" t="s">
        <v>258</v>
      </c>
      <c r="B46" s="66">
        <v>599.79999999999995</v>
      </c>
      <c r="C46" s="66">
        <f>SUM('- 6 -'!$B46:H46,B46)</f>
        <v>30472</v>
      </c>
      <c r="D46" s="66"/>
      <c r="E46" s="121"/>
      <c r="F46" s="66">
        <f t="shared" si="0"/>
        <v>30472</v>
      </c>
    </row>
    <row r="47" spans="1:7" ht="5.0999999999999996" customHeight="1">
      <c r="A47"/>
      <c r="B47"/>
      <c r="C47"/>
      <c r="D47"/>
      <c r="E47"/>
      <c r="F47"/>
      <c r="G47"/>
    </row>
    <row r="48" spans="1:7" ht="14.1" customHeight="1">
      <c r="A48" s="354" t="s">
        <v>259</v>
      </c>
      <c r="B48" s="379">
        <f>SUM(B11:B46)</f>
        <v>4129.5099999999993</v>
      </c>
      <c r="C48" s="379">
        <f>SUM(C11:C46)</f>
        <v>172861.67500000002</v>
      </c>
      <c r="D48" s="379"/>
      <c r="E48" s="122"/>
      <c r="F48" s="379">
        <f>SUM(F11:F46)</f>
        <v>172861.67500000002</v>
      </c>
    </row>
    <row r="49" spans="1:7" ht="5.0999999999999996" customHeight="1">
      <c r="A49" s="25" t="s">
        <v>3</v>
      </c>
      <c r="B49" s="69"/>
      <c r="C49" s="69"/>
      <c r="D49" s="69"/>
      <c r="E49" s="120"/>
      <c r="F49" s="69"/>
    </row>
    <row r="50" spans="1:7" ht="14.1" customHeight="1">
      <c r="A50" s="23" t="s">
        <v>260</v>
      </c>
      <c r="B50" s="66">
        <v>0</v>
      </c>
      <c r="C50" s="66">
        <f>SUM('- 6 -'!$B50:H50,B50)</f>
        <v>181</v>
      </c>
      <c r="D50" s="66"/>
      <c r="E50" s="121"/>
      <c r="F50" s="66">
        <f>C50+D50</f>
        <v>181</v>
      </c>
    </row>
    <row r="51" spans="1:7" ht="14.1" customHeight="1">
      <c r="A51" s="351" t="s">
        <v>261</v>
      </c>
      <c r="B51" s="378">
        <v>565</v>
      </c>
      <c r="C51" s="378">
        <f>SUM('- 6 -'!$B51:H51,B51)</f>
        <v>621</v>
      </c>
      <c r="D51" s="378"/>
      <c r="E51" s="121"/>
      <c r="F51" s="378">
        <f>C51+D51</f>
        <v>621</v>
      </c>
    </row>
    <row r="52" spans="1:7" ht="50.1" customHeight="1">
      <c r="A52" s="520"/>
      <c r="B52" s="520"/>
      <c r="C52" s="520"/>
      <c r="D52" s="520"/>
      <c r="E52" s="520"/>
      <c r="F52" s="520"/>
      <c r="G52" s="520"/>
    </row>
    <row r="53" spans="1:7" ht="15" customHeight="1">
      <c r="A53" s="28" t="s">
        <v>600</v>
      </c>
      <c r="B53" s="595"/>
      <c r="C53" s="595"/>
      <c r="D53" s="595"/>
      <c r="E53" s="595"/>
      <c r="F53" s="595"/>
      <c r="G53" s="595"/>
    </row>
    <row r="54" spans="1:7" ht="12" customHeight="1">
      <c r="A54" s="28" t="s">
        <v>602</v>
      </c>
      <c r="B54" s="595"/>
      <c r="C54" s="595"/>
      <c r="D54" s="595"/>
      <c r="E54" s="595"/>
      <c r="F54" s="595"/>
      <c r="G54" s="595"/>
    </row>
    <row r="55" spans="1:7">
      <c r="A55" s="28" t="s">
        <v>601</v>
      </c>
    </row>
    <row r="56" spans="1:7" ht="14.45" customHeight="1"/>
    <row r="57" spans="1:7" ht="14.45" customHeight="1"/>
    <row r="58" spans="1:7" ht="14.45" customHeight="1"/>
    <row r="59" spans="1:7" ht="14.45" customHeight="1"/>
  </sheetData>
  <mergeCells count="2">
    <mergeCell ref="F6:F7"/>
    <mergeCell ref="B6:C7"/>
  </mergeCells>
  <phoneticPr fontId="0" type="noConversion"/>
  <printOptions horizontalCentered="1"/>
  <pageMargins left="0.5" right="0.5" top="0.6" bottom="0" header="0.3" footer="0"/>
  <pageSetup scale="91" orientation="portrait" r:id="rId1"/>
  <headerFooter alignWithMargins="0">
    <oddHeader>&amp;C&amp;"Arial,Bold"&amp;10&amp;A</oddHeader>
  </headerFooter>
</worksheet>
</file>

<file path=xl/worksheets/sheet50.xml><?xml version="1.0" encoding="utf-8"?>
<worksheet xmlns="http://schemas.openxmlformats.org/spreadsheetml/2006/main" xmlns:r="http://schemas.openxmlformats.org/officeDocument/2006/relationships">
  <sheetPr codeName="Sheet611">
    <pageSetUpPr fitToPage="1"/>
  </sheetPr>
  <dimension ref="A1:I64"/>
  <sheetViews>
    <sheetView showGridLines="0" showZeros="0" workbookViewId="0"/>
  </sheetViews>
  <sheetFormatPr defaultColWidth="14.83203125" defaultRowHeight="12"/>
  <cols>
    <col min="1" max="1" width="26.83203125" style="1" customWidth="1"/>
    <col min="2" max="2" width="15.83203125" style="1" customWidth="1"/>
    <col min="3" max="3" width="17.83203125" style="1" customWidth="1"/>
    <col min="4" max="4" width="19.83203125" style="1" customWidth="1"/>
    <col min="5" max="6" width="18.83203125" style="1" customWidth="1"/>
    <col min="7" max="7" width="16.83203125" style="1" customWidth="1"/>
    <col min="8" max="8" width="0" style="1" hidden="1" customWidth="1"/>
    <col min="9" max="16384" width="14.83203125" style="1"/>
  </cols>
  <sheetData>
    <row r="1" spans="1:9" ht="6.95" customHeight="1">
      <c r="A1" s="3"/>
      <c r="B1" s="4"/>
      <c r="C1" s="4"/>
      <c r="D1" s="4"/>
    </row>
    <row r="2" spans="1:9" ht="18" customHeight="1">
      <c r="A2" s="280"/>
      <c r="B2" s="280" t="s">
        <v>606</v>
      </c>
      <c r="C2" s="507"/>
      <c r="D2" s="507"/>
      <c r="E2" s="507"/>
      <c r="F2" s="507"/>
      <c r="G2" s="508" t="s">
        <v>322</v>
      </c>
    </row>
    <row r="3" spans="1:9" ht="3.95" customHeight="1">
      <c r="A3" s="281"/>
      <c r="B3" s="282"/>
      <c r="C3" s="282"/>
      <c r="D3" s="282"/>
      <c r="E3" s="282"/>
      <c r="F3" s="282"/>
      <c r="G3" s="295"/>
    </row>
    <row r="4" spans="1:9" ht="15" customHeight="1">
      <c r="A4" s="296"/>
      <c r="B4" s="470" t="s">
        <v>449</v>
      </c>
      <c r="C4" s="471"/>
      <c r="D4" s="471"/>
      <c r="E4" s="471"/>
      <c r="F4" s="471"/>
      <c r="G4" s="472"/>
    </row>
    <row r="5" spans="1:9" ht="14.1" customHeight="1">
      <c r="A5" s="288"/>
      <c r="B5" s="290"/>
      <c r="C5" s="290"/>
      <c r="D5" s="290"/>
      <c r="E5" s="290"/>
      <c r="F5" s="290" t="s">
        <v>407</v>
      </c>
      <c r="G5" s="290"/>
    </row>
    <row r="6" spans="1:9" ht="14.1" customHeight="1">
      <c r="A6" s="288"/>
      <c r="B6" s="290"/>
      <c r="C6" s="290" t="s">
        <v>269</v>
      </c>
      <c r="D6" s="290"/>
      <c r="E6" s="290"/>
      <c r="F6" s="290" t="s">
        <v>169</v>
      </c>
      <c r="G6" s="290"/>
    </row>
    <row r="7" spans="1:9" ht="14.1" customHeight="1">
      <c r="A7" s="288"/>
      <c r="B7" s="290"/>
      <c r="C7" s="290" t="s">
        <v>274</v>
      </c>
      <c r="D7" s="290"/>
      <c r="E7" s="290" t="s">
        <v>268</v>
      </c>
      <c r="F7" s="290" t="s">
        <v>278</v>
      </c>
      <c r="G7" s="290"/>
    </row>
    <row r="8" spans="1:9" ht="14.1" customHeight="1">
      <c r="A8" s="288"/>
      <c r="B8" s="290" t="s">
        <v>175</v>
      </c>
      <c r="C8" s="290" t="s">
        <v>136</v>
      </c>
      <c r="D8" s="290" t="s">
        <v>23</v>
      </c>
      <c r="E8" s="290" t="s">
        <v>52</v>
      </c>
      <c r="F8" s="290" t="s">
        <v>275</v>
      </c>
      <c r="G8" s="290" t="s">
        <v>54</v>
      </c>
    </row>
    <row r="9" spans="1:9" ht="14.1" customHeight="1">
      <c r="A9" s="17"/>
      <c r="B9" s="290" t="s">
        <v>270</v>
      </c>
      <c r="C9" s="290" t="s">
        <v>271</v>
      </c>
      <c r="D9" s="290" t="s">
        <v>272</v>
      </c>
      <c r="E9" s="290" t="s">
        <v>273</v>
      </c>
      <c r="F9" s="290" t="s">
        <v>276</v>
      </c>
      <c r="G9" s="290" t="s">
        <v>277</v>
      </c>
    </row>
    <row r="10" spans="1:9" ht="14.1" customHeight="1">
      <c r="A10" s="19" t="s">
        <v>79</v>
      </c>
      <c r="B10" s="473" t="s">
        <v>331</v>
      </c>
      <c r="C10" s="473" t="s">
        <v>334</v>
      </c>
      <c r="D10" s="473" t="s">
        <v>335</v>
      </c>
      <c r="E10" s="473" t="s">
        <v>501</v>
      </c>
      <c r="F10" s="297" t="s">
        <v>267</v>
      </c>
      <c r="G10" s="297" t="s">
        <v>267</v>
      </c>
      <c r="I10" s="156"/>
    </row>
    <row r="11" spans="1:9" ht="5.0999999999999996" customHeight="1">
      <c r="A11" s="22"/>
      <c r="C11" s="270"/>
      <c r="D11" s="246"/>
      <c r="E11" s="3"/>
    </row>
    <row r="12" spans="1:9" ht="13.5" customHeight="1">
      <c r="A12" s="351" t="s">
        <v>224</v>
      </c>
      <c r="B12" s="352">
        <v>580950</v>
      </c>
      <c r="C12" s="352">
        <v>0</v>
      </c>
      <c r="D12" s="352">
        <v>56334</v>
      </c>
      <c r="E12" s="352">
        <v>57940</v>
      </c>
      <c r="F12" s="352">
        <v>-20700</v>
      </c>
      <c r="G12" s="352">
        <f>SUM(B12:F12)</f>
        <v>674524</v>
      </c>
      <c r="H12" s="465">
        <v>674524</v>
      </c>
      <c r="I12" s="1">
        <f>G12-H12</f>
        <v>0</v>
      </c>
    </row>
    <row r="13" spans="1:9" ht="13.5" customHeight="1">
      <c r="A13" s="23" t="s">
        <v>225</v>
      </c>
      <c r="B13" s="24">
        <v>974222</v>
      </c>
      <c r="C13" s="24">
        <v>0</v>
      </c>
      <c r="D13" s="24">
        <v>81234</v>
      </c>
      <c r="E13" s="24">
        <v>79350</v>
      </c>
      <c r="F13" s="24">
        <v>-29444</v>
      </c>
      <c r="G13" s="24">
        <f t="shared" ref="G13:G47" si="0">SUM(B13:F13)</f>
        <v>1105362</v>
      </c>
      <c r="H13" s="466">
        <v>1105362</v>
      </c>
      <c r="I13" s="1">
        <f t="shared" ref="I13:I49" si="1">G13-H13</f>
        <v>0</v>
      </c>
    </row>
    <row r="14" spans="1:9" ht="13.5" customHeight="1">
      <c r="A14" s="351" t="s">
        <v>226</v>
      </c>
      <c r="B14" s="352">
        <v>2386700</v>
      </c>
      <c r="C14" s="352">
        <v>0</v>
      </c>
      <c r="D14" s="352">
        <v>179300</v>
      </c>
      <c r="E14" s="352">
        <v>203400</v>
      </c>
      <c r="F14" s="352">
        <v>-63800</v>
      </c>
      <c r="G14" s="352">
        <f t="shared" si="0"/>
        <v>2705600</v>
      </c>
      <c r="H14" s="465">
        <v>2705600</v>
      </c>
      <c r="I14" s="1">
        <f t="shared" si="1"/>
        <v>0</v>
      </c>
    </row>
    <row r="15" spans="1:9" ht="13.5" customHeight="1">
      <c r="A15" s="23" t="s">
        <v>524</v>
      </c>
      <c r="B15" s="24"/>
      <c r="C15" s="24"/>
      <c r="D15" s="24"/>
      <c r="E15" s="24"/>
      <c r="F15" s="24"/>
      <c r="G15" s="24"/>
      <c r="H15" s="466"/>
      <c r="I15" s="1">
        <f t="shared" si="1"/>
        <v>0</v>
      </c>
    </row>
    <row r="16" spans="1:9" ht="13.5" customHeight="1">
      <c r="A16" s="351" t="s">
        <v>227</v>
      </c>
      <c r="B16" s="352">
        <v>748650</v>
      </c>
      <c r="C16" s="352">
        <v>0</v>
      </c>
      <c r="D16" s="352">
        <v>71030</v>
      </c>
      <c r="E16" s="352">
        <v>71030</v>
      </c>
      <c r="F16" s="352">
        <v>-23000</v>
      </c>
      <c r="G16" s="352">
        <f t="shared" si="0"/>
        <v>867710</v>
      </c>
      <c r="H16" s="465">
        <v>867710</v>
      </c>
      <c r="I16" s="1">
        <f t="shared" si="1"/>
        <v>0</v>
      </c>
    </row>
    <row r="17" spans="1:9" ht="13.5" customHeight="1">
      <c r="A17" s="23" t="s">
        <v>228</v>
      </c>
      <c r="B17" s="24">
        <v>651772</v>
      </c>
      <c r="C17" s="24">
        <v>0</v>
      </c>
      <c r="D17" s="24">
        <v>0</v>
      </c>
      <c r="E17" s="24">
        <v>66172</v>
      </c>
      <c r="F17" s="24">
        <v>-18000</v>
      </c>
      <c r="G17" s="24">
        <f t="shared" si="0"/>
        <v>699944</v>
      </c>
      <c r="H17" s="466">
        <v>699944</v>
      </c>
      <c r="I17" s="1">
        <f t="shared" si="1"/>
        <v>0</v>
      </c>
    </row>
    <row r="18" spans="1:9" ht="13.5" customHeight="1">
      <c r="A18" s="351" t="s">
        <v>229</v>
      </c>
      <c r="B18" s="352">
        <v>704340</v>
      </c>
      <c r="C18" s="352">
        <v>0</v>
      </c>
      <c r="D18" s="352">
        <v>51380</v>
      </c>
      <c r="E18" s="352">
        <v>69730</v>
      </c>
      <c r="F18" s="352">
        <v>-23100</v>
      </c>
      <c r="G18" s="352">
        <f t="shared" si="0"/>
        <v>802350</v>
      </c>
      <c r="H18" s="465">
        <v>802350</v>
      </c>
      <c r="I18" s="1">
        <f t="shared" si="1"/>
        <v>0</v>
      </c>
    </row>
    <row r="19" spans="1:9" ht="13.5" customHeight="1">
      <c r="A19" s="23" t="s">
        <v>230</v>
      </c>
      <c r="B19" s="24"/>
      <c r="C19" s="24"/>
      <c r="D19" s="24"/>
      <c r="E19" s="24"/>
      <c r="F19" s="24"/>
      <c r="G19" s="24"/>
      <c r="H19" s="466"/>
      <c r="I19" s="1">
        <f t="shared" si="1"/>
        <v>0</v>
      </c>
    </row>
    <row r="20" spans="1:9" ht="13.5" customHeight="1">
      <c r="A20" s="351" t="s">
        <v>231</v>
      </c>
      <c r="B20" s="352">
        <v>1340020</v>
      </c>
      <c r="C20" s="352">
        <v>0</v>
      </c>
      <c r="D20" s="352">
        <v>56100</v>
      </c>
      <c r="E20" s="352">
        <v>121425</v>
      </c>
      <c r="F20" s="352">
        <v>-32000</v>
      </c>
      <c r="G20" s="352">
        <f t="shared" si="0"/>
        <v>1485545</v>
      </c>
      <c r="H20" s="465">
        <v>1485545</v>
      </c>
      <c r="I20" s="1">
        <f t="shared" si="1"/>
        <v>0</v>
      </c>
    </row>
    <row r="21" spans="1:9" ht="13.5" customHeight="1">
      <c r="A21" s="23" t="s">
        <v>232</v>
      </c>
      <c r="B21" s="24">
        <v>1973300</v>
      </c>
      <c r="C21" s="24">
        <v>29900</v>
      </c>
      <c r="D21" s="24">
        <v>223500</v>
      </c>
      <c r="E21" s="24">
        <v>166700</v>
      </c>
      <c r="F21" s="24">
        <v>-55700</v>
      </c>
      <c r="G21" s="24">
        <f t="shared" si="0"/>
        <v>2337700</v>
      </c>
      <c r="H21" s="466">
        <v>2337700</v>
      </c>
      <c r="I21" s="1">
        <f t="shared" si="1"/>
        <v>0</v>
      </c>
    </row>
    <row r="22" spans="1:9" ht="13.5" customHeight="1">
      <c r="A22" s="351" t="s">
        <v>233</v>
      </c>
      <c r="B22" s="352">
        <v>1238000</v>
      </c>
      <c r="C22" s="352">
        <v>0</v>
      </c>
      <c r="D22" s="352">
        <v>147000</v>
      </c>
      <c r="E22" s="352">
        <v>167000</v>
      </c>
      <c r="F22" s="352">
        <v>-33000</v>
      </c>
      <c r="G22" s="352">
        <f t="shared" si="0"/>
        <v>1519000</v>
      </c>
      <c r="H22" s="465">
        <v>1519000</v>
      </c>
      <c r="I22" s="1">
        <f t="shared" si="1"/>
        <v>0</v>
      </c>
    </row>
    <row r="23" spans="1:9" ht="13.5" customHeight="1">
      <c r="A23" s="23" t="s">
        <v>234</v>
      </c>
      <c r="B23" s="24">
        <v>732560</v>
      </c>
      <c r="C23" s="24">
        <v>20100</v>
      </c>
      <c r="D23" s="24">
        <v>107090</v>
      </c>
      <c r="E23" s="24">
        <v>89225</v>
      </c>
      <c r="F23" s="24">
        <v>-26000</v>
      </c>
      <c r="G23" s="24">
        <f t="shared" si="0"/>
        <v>922975</v>
      </c>
      <c r="H23" s="466">
        <v>922975</v>
      </c>
      <c r="I23" s="1">
        <f t="shared" si="1"/>
        <v>0</v>
      </c>
    </row>
    <row r="24" spans="1:9" ht="13.5" customHeight="1">
      <c r="A24" s="351" t="s">
        <v>235</v>
      </c>
      <c r="B24" s="352">
        <v>552600</v>
      </c>
      <c r="C24" s="352">
        <v>0</v>
      </c>
      <c r="D24" s="352">
        <v>60825</v>
      </c>
      <c r="E24" s="352">
        <v>57325</v>
      </c>
      <c r="F24" s="352">
        <v>-22000</v>
      </c>
      <c r="G24" s="352">
        <f t="shared" si="0"/>
        <v>648750</v>
      </c>
      <c r="H24" s="465">
        <v>648750</v>
      </c>
      <c r="I24" s="1">
        <f t="shared" si="1"/>
        <v>0</v>
      </c>
    </row>
    <row r="25" spans="1:9" ht="13.5" customHeight="1">
      <c r="A25" s="23" t="s">
        <v>236</v>
      </c>
      <c r="B25" s="24">
        <v>1758115</v>
      </c>
      <c r="C25" s="24">
        <v>0</v>
      </c>
      <c r="D25" s="24">
        <v>161155</v>
      </c>
      <c r="E25" s="24">
        <v>217595</v>
      </c>
      <c r="F25" s="24">
        <v>-48700</v>
      </c>
      <c r="G25" s="24">
        <f t="shared" si="0"/>
        <v>2088165</v>
      </c>
      <c r="H25" s="466">
        <v>2088165</v>
      </c>
      <c r="I25" s="1">
        <f t="shared" si="1"/>
        <v>0</v>
      </c>
    </row>
    <row r="26" spans="1:9" ht="13.5" customHeight="1">
      <c r="A26" s="351" t="s">
        <v>237</v>
      </c>
      <c r="B26" s="352">
        <v>5015692</v>
      </c>
      <c r="C26" s="352">
        <v>142866</v>
      </c>
      <c r="D26" s="352">
        <v>234376</v>
      </c>
      <c r="E26" s="352">
        <v>578465</v>
      </c>
      <c r="F26" s="352">
        <v>-373479</v>
      </c>
      <c r="G26" s="352">
        <f t="shared" si="0"/>
        <v>5597920</v>
      </c>
      <c r="H26" s="465">
        <v>5597920</v>
      </c>
      <c r="I26" s="1">
        <f t="shared" si="1"/>
        <v>0</v>
      </c>
    </row>
    <row r="27" spans="1:9" ht="13.5" customHeight="1">
      <c r="A27" s="23" t="s">
        <v>238</v>
      </c>
      <c r="B27" s="24">
        <v>1173632</v>
      </c>
      <c r="C27" s="24">
        <v>14429</v>
      </c>
      <c r="D27" s="24">
        <v>160271</v>
      </c>
      <c r="E27" s="24">
        <v>152584</v>
      </c>
      <c r="F27" s="24">
        <v>-40000</v>
      </c>
      <c r="G27" s="24">
        <f t="shared" si="0"/>
        <v>1460916</v>
      </c>
      <c r="H27" s="466">
        <v>1460916</v>
      </c>
      <c r="I27" s="1">
        <f t="shared" si="1"/>
        <v>0</v>
      </c>
    </row>
    <row r="28" spans="1:9" ht="13.5" customHeight="1">
      <c r="A28" s="351" t="s">
        <v>239</v>
      </c>
      <c r="B28" s="352">
        <v>1977692</v>
      </c>
      <c r="C28" s="352">
        <v>103870</v>
      </c>
      <c r="D28" s="352">
        <v>0</v>
      </c>
      <c r="E28" s="352">
        <v>219602</v>
      </c>
      <c r="F28" s="352">
        <v>-70000</v>
      </c>
      <c r="G28" s="352">
        <f t="shared" si="0"/>
        <v>2231164</v>
      </c>
      <c r="H28" s="465">
        <v>2231164</v>
      </c>
      <c r="I28" s="1">
        <f t="shared" si="1"/>
        <v>0</v>
      </c>
    </row>
    <row r="29" spans="1:9" ht="13.5" customHeight="1">
      <c r="A29" s="23" t="s">
        <v>240</v>
      </c>
      <c r="B29" s="24">
        <v>1029543</v>
      </c>
      <c r="C29" s="24">
        <v>0</v>
      </c>
      <c r="D29" s="24">
        <v>69161</v>
      </c>
      <c r="E29" s="24">
        <v>50475</v>
      </c>
      <c r="F29" s="24">
        <v>-28000</v>
      </c>
      <c r="G29" s="24">
        <f t="shared" si="0"/>
        <v>1121179</v>
      </c>
      <c r="H29" s="466">
        <v>1121179</v>
      </c>
      <c r="I29" s="1">
        <f t="shared" si="1"/>
        <v>0</v>
      </c>
    </row>
    <row r="30" spans="1:9" ht="13.5" customHeight="1">
      <c r="A30" s="351" t="s">
        <v>241</v>
      </c>
      <c r="B30" s="352">
        <v>4773042</v>
      </c>
      <c r="C30" s="352">
        <v>366392</v>
      </c>
      <c r="D30" s="352">
        <v>165940</v>
      </c>
      <c r="E30" s="352">
        <v>797771</v>
      </c>
      <c r="F30" s="352">
        <v>-855616</v>
      </c>
      <c r="G30" s="352">
        <f t="shared" si="0"/>
        <v>5247529</v>
      </c>
      <c r="H30" s="465">
        <v>5247529</v>
      </c>
      <c r="I30" s="1">
        <f t="shared" si="1"/>
        <v>0</v>
      </c>
    </row>
    <row r="31" spans="1:9" ht="13.5" customHeight="1">
      <c r="A31" s="23" t="s">
        <v>242</v>
      </c>
      <c r="B31" s="24">
        <v>521531</v>
      </c>
      <c r="C31" s="24">
        <v>0</v>
      </c>
      <c r="D31" s="24">
        <v>57425</v>
      </c>
      <c r="E31" s="24">
        <v>57045</v>
      </c>
      <c r="F31" s="24">
        <v>-20000</v>
      </c>
      <c r="G31" s="24">
        <f t="shared" si="0"/>
        <v>616001</v>
      </c>
      <c r="H31" s="466">
        <v>616001</v>
      </c>
      <c r="I31" s="1">
        <f t="shared" si="1"/>
        <v>0</v>
      </c>
    </row>
    <row r="32" spans="1:9" ht="13.5" customHeight="1">
      <c r="A32" s="351" t="s">
        <v>243</v>
      </c>
      <c r="B32" s="352">
        <v>1105851</v>
      </c>
      <c r="C32" s="352">
        <v>0</v>
      </c>
      <c r="D32" s="352">
        <v>82274</v>
      </c>
      <c r="E32" s="352">
        <v>100511</v>
      </c>
      <c r="F32" s="352">
        <v>-40000</v>
      </c>
      <c r="G32" s="352">
        <f t="shared" si="0"/>
        <v>1248636</v>
      </c>
      <c r="H32" s="465">
        <v>1248636</v>
      </c>
      <c r="I32" s="1">
        <f t="shared" si="1"/>
        <v>0</v>
      </c>
    </row>
    <row r="33" spans="1:9" ht="13.5" customHeight="1">
      <c r="A33" s="23" t="s">
        <v>244</v>
      </c>
      <c r="B33" s="24">
        <v>985100</v>
      </c>
      <c r="C33" s="24">
        <v>0</v>
      </c>
      <c r="D33" s="24">
        <v>107650</v>
      </c>
      <c r="E33" s="24">
        <v>86250</v>
      </c>
      <c r="F33" s="24">
        <v>-27000</v>
      </c>
      <c r="G33" s="24">
        <f t="shared" si="0"/>
        <v>1152000</v>
      </c>
      <c r="H33" s="466">
        <v>1152000</v>
      </c>
      <c r="I33" s="1">
        <f t="shared" si="1"/>
        <v>0</v>
      </c>
    </row>
    <row r="34" spans="1:9" ht="13.5" customHeight="1">
      <c r="A34" s="351" t="s">
        <v>245</v>
      </c>
      <c r="B34" s="352">
        <v>845400</v>
      </c>
      <c r="C34" s="352">
        <v>0</v>
      </c>
      <c r="D34" s="352">
        <v>53500</v>
      </c>
      <c r="E34" s="352">
        <v>75000</v>
      </c>
      <c r="F34" s="352">
        <v>-32000</v>
      </c>
      <c r="G34" s="352">
        <f t="shared" si="0"/>
        <v>941900</v>
      </c>
      <c r="H34" s="465">
        <v>941900</v>
      </c>
      <c r="I34" s="1">
        <f t="shared" si="1"/>
        <v>0</v>
      </c>
    </row>
    <row r="35" spans="1:9" ht="13.5" customHeight="1">
      <c r="A35" s="23" t="s">
        <v>246</v>
      </c>
      <c r="B35" s="24">
        <v>969046</v>
      </c>
      <c r="C35" s="24">
        <v>6645</v>
      </c>
      <c r="D35" s="24">
        <v>87094</v>
      </c>
      <c r="E35" s="24">
        <v>62705</v>
      </c>
      <c r="F35" s="24">
        <v>-39000</v>
      </c>
      <c r="G35" s="24">
        <f t="shared" si="0"/>
        <v>1086490</v>
      </c>
      <c r="H35" s="466">
        <v>1086490</v>
      </c>
      <c r="I35" s="1">
        <f t="shared" si="1"/>
        <v>0</v>
      </c>
    </row>
    <row r="36" spans="1:9" ht="13.5" customHeight="1">
      <c r="A36" s="351" t="s">
        <v>247</v>
      </c>
      <c r="B36" s="352">
        <v>4718393</v>
      </c>
      <c r="C36" s="352">
        <v>359200</v>
      </c>
      <c r="D36" s="352">
        <v>342000</v>
      </c>
      <c r="E36" s="352">
        <v>767850</v>
      </c>
      <c r="F36" s="352">
        <v>-60000</v>
      </c>
      <c r="G36" s="352">
        <f t="shared" si="0"/>
        <v>6127443</v>
      </c>
      <c r="H36" s="465">
        <v>6127443</v>
      </c>
      <c r="I36" s="1">
        <f t="shared" si="1"/>
        <v>0</v>
      </c>
    </row>
    <row r="37" spans="1:9" ht="13.5" customHeight="1">
      <c r="A37" s="23" t="s">
        <v>248</v>
      </c>
      <c r="B37" s="24">
        <v>907715</v>
      </c>
      <c r="C37" s="24">
        <v>31065</v>
      </c>
      <c r="D37" s="24">
        <v>57530</v>
      </c>
      <c r="E37" s="24">
        <v>59475</v>
      </c>
      <c r="F37" s="24">
        <v>-27000</v>
      </c>
      <c r="G37" s="24">
        <f t="shared" si="0"/>
        <v>1028785</v>
      </c>
      <c r="H37" s="466">
        <v>1028785</v>
      </c>
      <c r="I37" s="1">
        <f t="shared" si="1"/>
        <v>0</v>
      </c>
    </row>
    <row r="38" spans="1:9" ht="13.5" customHeight="1">
      <c r="A38" s="351" t="s">
        <v>249</v>
      </c>
      <c r="B38" s="352">
        <v>1418480</v>
      </c>
      <c r="C38" s="352">
        <v>44606</v>
      </c>
      <c r="D38" s="352">
        <v>154182</v>
      </c>
      <c r="E38" s="352">
        <v>107995</v>
      </c>
      <c r="F38" s="352">
        <v>-37000</v>
      </c>
      <c r="G38" s="352">
        <f t="shared" si="0"/>
        <v>1688263</v>
      </c>
      <c r="H38" s="465">
        <v>1688263</v>
      </c>
      <c r="I38" s="1">
        <f t="shared" si="1"/>
        <v>0</v>
      </c>
    </row>
    <row r="39" spans="1:9" ht="13.5" customHeight="1">
      <c r="A39" s="23" t="s">
        <v>250</v>
      </c>
      <c r="B39" s="24">
        <v>3351655</v>
      </c>
      <c r="C39" s="24">
        <v>76280</v>
      </c>
      <c r="D39" s="24">
        <v>270880</v>
      </c>
      <c r="E39" s="24">
        <v>514840</v>
      </c>
      <c r="F39" s="24">
        <v>-62000</v>
      </c>
      <c r="G39" s="24">
        <f t="shared" si="0"/>
        <v>4151655</v>
      </c>
      <c r="H39" s="466">
        <v>4151655</v>
      </c>
      <c r="I39" s="1">
        <f t="shared" si="1"/>
        <v>0</v>
      </c>
    </row>
    <row r="40" spans="1:9" ht="13.5" customHeight="1">
      <c r="A40" s="351" t="s">
        <v>251</v>
      </c>
      <c r="B40" s="352">
        <v>807852</v>
      </c>
      <c r="C40" s="352">
        <v>0</v>
      </c>
      <c r="D40" s="352">
        <v>61638</v>
      </c>
      <c r="E40" s="352">
        <v>66539</v>
      </c>
      <c r="F40" s="352">
        <v>-11000</v>
      </c>
      <c r="G40" s="352">
        <f t="shared" si="0"/>
        <v>925029</v>
      </c>
      <c r="H40" s="465">
        <v>925029</v>
      </c>
      <c r="I40" s="1">
        <f t="shared" si="1"/>
        <v>0</v>
      </c>
    </row>
    <row r="41" spans="1:9" ht="13.5" customHeight="1">
      <c r="A41" s="23" t="s">
        <v>252</v>
      </c>
      <c r="B41" s="24">
        <v>3233005</v>
      </c>
      <c r="C41" s="24">
        <v>0</v>
      </c>
      <c r="D41" s="24">
        <v>110410</v>
      </c>
      <c r="E41" s="24">
        <v>468227</v>
      </c>
      <c r="F41" s="24">
        <v>-217492</v>
      </c>
      <c r="G41" s="24">
        <f t="shared" si="0"/>
        <v>3594150</v>
      </c>
      <c r="H41" s="466">
        <v>3594150</v>
      </c>
      <c r="I41" s="1">
        <f t="shared" si="1"/>
        <v>0</v>
      </c>
    </row>
    <row r="42" spans="1:9" ht="13.5" customHeight="1">
      <c r="A42" s="351" t="s">
        <v>253</v>
      </c>
      <c r="B42" s="352">
        <v>2085435</v>
      </c>
      <c r="C42" s="352">
        <v>37960</v>
      </c>
      <c r="D42" s="352">
        <v>261834</v>
      </c>
      <c r="E42" s="352">
        <v>176011</v>
      </c>
      <c r="F42" s="352">
        <v>-45000</v>
      </c>
      <c r="G42" s="352">
        <f t="shared" si="0"/>
        <v>2516240</v>
      </c>
      <c r="H42" s="465">
        <v>2516240</v>
      </c>
      <c r="I42" s="1">
        <f t="shared" si="1"/>
        <v>0</v>
      </c>
    </row>
    <row r="43" spans="1:9" ht="13.5" customHeight="1">
      <c r="A43" s="23" t="s">
        <v>254</v>
      </c>
      <c r="B43" s="24">
        <v>812623</v>
      </c>
      <c r="C43" s="24">
        <v>0</v>
      </c>
      <c r="D43" s="24">
        <v>94190</v>
      </c>
      <c r="E43" s="24">
        <v>51010</v>
      </c>
      <c r="F43" s="24">
        <v>-30260</v>
      </c>
      <c r="G43" s="24">
        <f t="shared" si="0"/>
        <v>927563</v>
      </c>
      <c r="H43" s="466">
        <v>927563</v>
      </c>
      <c r="I43" s="1">
        <f t="shared" si="1"/>
        <v>0</v>
      </c>
    </row>
    <row r="44" spans="1:9" ht="13.5" customHeight="1">
      <c r="A44" s="351" t="s">
        <v>255</v>
      </c>
      <c r="B44" s="352">
        <v>612719</v>
      </c>
      <c r="C44" s="352">
        <v>0</v>
      </c>
      <c r="D44" s="352">
        <v>10620</v>
      </c>
      <c r="E44" s="352">
        <v>21920</v>
      </c>
      <c r="F44" s="352">
        <v>-17600</v>
      </c>
      <c r="G44" s="352">
        <f t="shared" si="0"/>
        <v>627659</v>
      </c>
      <c r="H44" s="465">
        <v>627659</v>
      </c>
      <c r="I44" s="1">
        <f t="shared" si="1"/>
        <v>0</v>
      </c>
    </row>
    <row r="45" spans="1:9" ht="13.5" customHeight="1">
      <c r="A45" s="23" t="s">
        <v>256</v>
      </c>
      <c r="B45" s="24">
        <v>386535</v>
      </c>
      <c r="C45" s="24">
        <v>0</v>
      </c>
      <c r="D45" s="24">
        <v>26478</v>
      </c>
      <c r="E45" s="24">
        <v>26478</v>
      </c>
      <c r="F45" s="24">
        <v>-14000</v>
      </c>
      <c r="G45" s="24">
        <f t="shared" si="0"/>
        <v>425491</v>
      </c>
      <c r="H45" s="466">
        <v>425491</v>
      </c>
      <c r="I45" s="1">
        <f t="shared" si="1"/>
        <v>0</v>
      </c>
    </row>
    <row r="46" spans="1:9" ht="13.5" customHeight="1">
      <c r="A46" s="351" t="s">
        <v>257</v>
      </c>
      <c r="B46" s="352">
        <v>613393</v>
      </c>
      <c r="C46" s="352">
        <v>0</v>
      </c>
      <c r="D46" s="352">
        <v>44428</v>
      </c>
      <c r="E46" s="352">
        <v>70239</v>
      </c>
      <c r="F46" s="352">
        <v>-12000</v>
      </c>
      <c r="G46" s="352">
        <f t="shared" si="0"/>
        <v>716060</v>
      </c>
      <c r="H46" s="465">
        <v>716060</v>
      </c>
      <c r="I46" s="1">
        <f t="shared" si="1"/>
        <v>0</v>
      </c>
    </row>
    <row r="47" spans="1:9" ht="13.5" customHeight="1">
      <c r="A47" s="23" t="s">
        <v>258</v>
      </c>
      <c r="B47" s="24">
        <v>9983600</v>
      </c>
      <c r="C47" s="24">
        <v>226600</v>
      </c>
      <c r="D47" s="24">
        <v>259600</v>
      </c>
      <c r="E47" s="24">
        <v>1091800</v>
      </c>
      <c r="F47" s="24">
        <v>0</v>
      </c>
      <c r="G47" s="24">
        <f t="shared" si="0"/>
        <v>11561600</v>
      </c>
      <c r="H47" s="466">
        <v>11561600</v>
      </c>
      <c r="I47" s="1">
        <f t="shared" si="1"/>
        <v>0</v>
      </c>
    </row>
    <row r="48" spans="1:9" ht="5.0999999999999996" customHeight="1">
      <c r="A48"/>
      <c r="B48"/>
      <c r="C48"/>
      <c r="D48"/>
      <c r="E48"/>
      <c r="F48"/>
      <c r="G48"/>
      <c r="H48" s="467"/>
    </row>
    <row r="49" spans="1:9" ht="13.5" customHeight="1">
      <c r="A49" s="354" t="s">
        <v>259</v>
      </c>
      <c r="B49" s="355">
        <f t="shared" ref="B49:H49" si="2">SUM(B12:B47)</f>
        <v>60969163</v>
      </c>
      <c r="C49" s="355">
        <f t="shared" si="2"/>
        <v>1459913</v>
      </c>
      <c r="D49" s="355">
        <f t="shared" si="2"/>
        <v>3906429</v>
      </c>
      <c r="E49" s="355">
        <f t="shared" si="2"/>
        <v>6969684</v>
      </c>
      <c r="F49" s="355">
        <f t="shared" si="2"/>
        <v>-2453891</v>
      </c>
      <c r="G49" s="355">
        <f t="shared" si="2"/>
        <v>70851298</v>
      </c>
      <c r="H49" s="468">
        <f t="shared" si="2"/>
        <v>70851298</v>
      </c>
      <c r="I49" s="1">
        <f t="shared" si="1"/>
        <v>0</v>
      </c>
    </row>
    <row r="50" spans="1:9" ht="5.0999999999999996" customHeight="1">
      <c r="A50" s="25" t="s">
        <v>3</v>
      </c>
      <c r="B50" s="26"/>
      <c r="C50" s="26"/>
      <c r="D50" s="26"/>
      <c r="E50" s="26"/>
      <c r="F50" s="26"/>
      <c r="G50" s="26"/>
      <c r="H50" s="469"/>
    </row>
    <row r="51" spans="1:9" ht="13.5" customHeight="1">
      <c r="A51" s="23" t="s">
        <v>260</v>
      </c>
      <c r="B51" s="24">
        <v>248100</v>
      </c>
      <c r="C51" s="24">
        <v>0</v>
      </c>
      <c r="D51" s="24">
        <v>0</v>
      </c>
      <c r="E51" s="24">
        <v>12600</v>
      </c>
      <c r="F51" s="24">
        <v>-33000</v>
      </c>
      <c r="G51" s="24">
        <f>SUM(B51:F51)</f>
        <v>227700</v>
      </c>
      <c r="H51" s="466">
        <v>227700</v>
      </c>
    </row>
    <row r="52" spans="1:9" ht="13.5" customHeight="1">
      <c r="A52" s="351" t="s">
        <v>327</v>
      </c>
      <c r="B52" s="352"/>
      <c r="C52" s="352"/>
      <c r="D52" s="352"/>
      <c r="E52" s="352"/>
      <c r="F52" s="352"/>
      <c r="G52" s="352"/>
      <c r="H52" s="465"/>
      <c r="I52" s="1">
        <f>G52-H52</f>
        <v>0</v>
      </c>
    </row>
    <row r="53" spans="1:9" ht="12" customHeight="1">
      <c r="A53" s="27"/>
      <c r="B53" s="27"/>
      <c r="C53" s="27"/>
      <c r="D53" s="27"/>
      <c r="E53" s="27"/>
      <c r="F53" s="27"/>
      <c r="G53" s="27"/>
    </row>
    <row r="54" spans="1:9" ht="14.45" customHeight="1">
      <c r="A54" s="293" t="s">
        <v>535</v>
      </c>
      <c r="B54" s="298"/>
      <c r="C54" s="298"/>
      <c r="D54" s="298"/>
      <c r="E54" s="298"/>
      <c r="F54" s="298"/>
      <c r="G54" s="298"/>
    </row>
    <row r="55" spans="1:9" ht="12" customHeight="1">
      <c r="A55" s="293" t="s">
        <v>375</v>
      </c>
      <c r="B55" s="298"/>
      <c r="C55" s="298"/>
      <c r="D55" s="298"/>
      <c r="E55" s="298"/>
      <c r="F55" s="298"/>
      <c r="G55" s="298"/>
    </row>
    <row r="56" spans="1:9" ht="12" customHeight="1">
      <c r="A56" s="28" t="s">
        <v>562</v>
      </c>
      <c r="B56" s="39"/>
      <c r="C56" s="39"/>
      <c r="D56" s="39"/>
    </row>
    <row r="57" spans="1:9" ht="12" customHeight="1">
      <c r="A57" s="28" t="s">
        <v>366</v>
      </c>
      <c r="B57" s="39"/>
      <c r="C57" s="39"/>
      <c r="D57" s="39"/>
    </row>
    <row r="58" spans="1:9" ht="12" customHeight="1">
      <c r="A58" s="159" t="s">
        <v>448</v>
      </c>
      <c r="B58" s="39"/>
      <c r="C58" s="39"/>
      <c r="D58" s="39"/>
    </row>
    <row r="59" spans="1:9" ht="12" customHeight="1">
      <c r="A59" s="159" t="s">
        <v>507</v>
      </c>
      <c r="B59" s="39"/>
      <c r="C59" s="39"/>
      <c r="D59" s="39"/>
    </row>
    <row r="60" spans="1:9" ht="12" customHeight="1">
      <c r="A60" s="159" t="s">
        <v>421</v>
      </c>
      <c r="B60" s="39"/>
      <c r="C60" s="39"/>
      <c r="D60" s="39"/>
    </row>
    <row r="61" spans="1:9" ht="12" customHeight="1">
      <c r="A61" s="293" t="s">
        <v>531</v>
      </c>
      <c r="B61" s="39"/>
      <c r="C61" s="39"/>
      <c r="D61" s="39"/>
    </row>
    <row r="62" spans="1:9" ht="12" customHeight="1">
      <c r="A62" s="293" t="s">
        <v>532</v>
      </c>
    </row>
    <row r="63" spans="1:9" ht="12" customHeight="1">
      <c r="A63" s="293" t="s">
        <v>533</v>
      </c>
    </row>
    <row r="64" spans="1:9" ht="12" customHeight="1">
      <c r="A64" s="293" t="s">
        <v>534</v>
      </c>
    </row>
  </sheetData>
  <phoneticPr fontId="0" type="noConversion"/>
  <printOptions horizontalCentered="1"/>
  <pageMargins left="0.51181102362204722" right="0.51181102362204722" top="0.59055118110236227" bottom="0" header="0.31496062992125984" footer="0"/>
  <pageSetup scale="87" orientation="portrait" r:id="rId1"/>
  <headerFooter alignWithMargins="0">
    <oddHeader>&amp;C&amp;"Arial,Bold"&amp;10&amp;A</oddHeader>
  </headerFooter>
</worksheet>
</file>

<file path=xl/worksheets/sheet51.xml><?xml version="1.0" encoding="utf-8"?>
<worksheet xmlns="http://schemas.openxmlformats.org/spreadsheetml/2006/main" xmlns:r="http://schemas.openxmlformats.org/officeDocument/2006/relationships">
  <sheetPr codeName="Sheet6111">
    <pageSetUpPr fitToPage="1"/>
  </sheetPr>
  <dimension ref="A1:J60"/>
  <sheetViews>
    <sheetView showGridLines="0" showZeros="0" workbookViewId="0"/>
  </sheetViews>
  <sheetFormatPr defaultColWidth="14.83203125" defaultRowHeight="12"/>
  <cols>
    <col min="1" max="1" width="26.83203125" style="1" customWidth="1"/>
    <col min="2" max="2" width="16.83203125" style="1" customWidth="1"/>
    <col min="3" max="3" width="17.83203125" style="1" customWidth="1"/>
    <col min="4" max="4" width="18.83203125" style="1" customWidth="1"/>
    <col min="5" max="5" width="16.83203125" style="1" customWidth="1"/>
    <col min="6" max="7" width="18.83203125" style="1" customWidth="1"/>
    <col min="8" max="9" width="0" style="1" hidden="1" customWidth="1"/>
    <col min="10" max="16384" width="14.83203125" style="1"/>
  </cols>
  <sheetData>
    <row r="1" spans="1:10" ht="6.95" customHeight="1">
      <c r="A1" s="3"/>
      <c r="B1" s="4"/>
      <c r="C1" s="4"/>
      <c r="D1" s="4"/>
    </row>
    <row r="2" spans="1:10" ht="20.100000000000001" customHeight="1">
      <c r="A2" s="280"/>
      <c r="B2" s="280" t="s">
        <v>637</v>
      </c>
      <c r="C2" s="507"/>
      <c r="D2" s="507"/>
      <c r="E2" s="507"/>
      <c r="F2" s="507"/>
      <c r="G2" s="509" t="s">
        <v>323</v>
      </c>
    </row>
    <row r="3" spans="1:10" ht="20.100000000000001" customHeight="1">
      <c r="A3" s="5"/>
      <c r="B3" s="281"/>
      <c r="C3" s="282"/>
      <c r="D3" s="282"/>
      <c r="E3" s="282"/>
      <c r="F3" s="282"/>
      <c r="G3" s="283"/>
    </row>
    <row r="4" spans="1:10" ht="15.95" customHeight="1">
      <c r="A4" s="284"/>
      <c r="B4" s="285" t="s">
        <v>326</v>
      </c>
      <c r="C4" s="286"/>
      <c r="D4" s="286"/>
      <c r="E4" s="286"/>
      <c r="F4" s="286"/>
      <c r="G4" s="287"/>
    </row>
    <row r="5" spans="1:10" ht="14.1" customHeight="1">
      <c r="A5" s="288"/>
      <c r="B5" s="289"/>
      <c r="C5" s="289"/>
      <c r="D5" s="289"/>
      <c r="E5" s="289"/>
      <c r="F5" s="289"/>
      <c r="G5" s="289"/>
    </row>
    <row r="6" spans="1:10" ht="14.1" customHeight="1">
      <c r="A6" s="288"/>
      <c r="B6" s="271"/>
      <c r="C6" s="271"/>
      <c r="D6" s="271"/>
      <c r="E6" s="271"/>
      <c r="F6" s="271"/>
      <c r="G6" s="271" t="s">
        <v>54</v>
      </c>
    </row>
    <row r="7" spans="1:10" ht="14.1" customHeight="1">
      <c r="A7" s="288"/>
      <c r="B7" s="290"/>
      <c r="C7" s="141"/>
      <c r="D7" s="290"/>
      <c r="E7" s="290"/>
      <c r="F7" s="290"/>
      <c r="G7" s="290" t="s">
        <v>277</v>
      </c>
    </row>
    <row r="8" spans="1:10" ht="14.1" customHeight="1">
      <c r="A8" s="288"/>
      <c r="B8" s="290" t="s">
        <v>54</v>
      </c>
      <c r="C8" s="290" t="s">
        <v>280</v>
      </c>
      <c r="D8" s="290" t="s">
        <v>283</v>
      </c>
      <c r="E8" s="290"/>
      <c r="F8" s="290" t="s">
        <v>54</v>
      </c>
      <c r="G8" s="291" t="s">
        <v>267</v>
      </c>
    </row>
    <row r="9" spans="1:10" ht="14.1" customHeight="1">
      <c r="A9" s="288"/>
      <c r="B9" s="290" t="s">
        <v>104</v>
      </c>
      <c r="C9" s="290" t="s">
        <v>92</v>
      </c>
      <c r="D9" s="290" t="s">
        <v>284</v>
      </c>
      <c r="E9" s="290" t="s">
        <v>324</v>
      </c>
      <c r="F9" s="290" t="s">
        <v>277</v>
      </c>
      <c r="G9" s="290" t="s">
        <v>282</v>
      </c>
    </row>
    <row r="10" spans="1:10" ht="14.1" customHeight="1">
      <c r="A10" s="17"/>
      <c r="B10" s="291" t="s">
        <v>267</v>
      </c>
      <c r="C10" s="290" t="s">
        <v>281</v>
      </c>
      <c r="D10" s="291" t="s">
        <v>279</v>
      </c>
      <c r="E10" s="291" t="s">
        <v>183</v>
      </c>
      <c r="F10" s="291" t="s">
        <v>267</v>
      </c>
      <c r="G10" s="291" t="s">
        <v>183</v>
      </c>
    </row>
    <row r="11" spans="1:10" ht="14.1" customHeight="1">
      <c r="A11" s="19" t="s">
        <v>79</v>
      </c>
      <c r="B11" s="292" t="s">
        <v>325</v>
      </c>
      <c r="C11" s="292" t="s">
        <v>127</v>
      </c>
      <c r="D11" s="292" t="s">
        <v>359</v>
      </c>
      <c r="E11" s="292" t="s">
        <v>113</v>
      </c>
      <c r="F11" s="292" t="s">
        <v>495</v>
      </c>
      <c r="G11" s="292" t="s">
        <v>113</v>
      </c>
    </row>
    <row r="12" spans="1:10" ht="5.0999999999999996" customHeight="1">
      <c r="A12" s="22"/>
      <c r="C12" s="270"/>
      <c r="D12" s="246"/>
      <c r="E12" s="3"/>
    </row>
    <row r="13" spans="1:10" ht="14.1" customHeight="1">
      <c r="A13" s="351" t="s">
        <v>224</v>
      </c>
      <c r="B13" s="352">
        <f>'- 3 -'!B11</f>
        <v>15910060</v>
      </c>
      <c r="C13" s="352">
        <v>145000</v>
      </c>
      <c r="D13" s="352">
        <v>0</v>
      </c>
      <c r="E13" s="352">
        <f>SUM(B13:D13)</f>
        <v>16055060</v>
      </c>
      <c r="F13" s="352">
        <f>'- 57 -'!G12</f>
        <v>674524</v>
      </c>
      <c r="G13" s="353">
        <f>F13/E13*100</f>
        <v>4.2013172171265634</v>
      </c>
      <c r="H13" s="477">
        <v>4.2013172171265635E-2</v>
      </c>
      <c r="I13" s="465">
        <v>16055060</v>
      </c>
      <c r="J13" s="1">
        <f>I13-E13</f>
        <v>0</v>
      </c>
    </row>
    <row r="14" spans="1:10" ht="14.1" customHeight="1">
      <c r="A14" s="23" t="s">
        <v>225</v>
      </c>
      <c r="B14" s="24">
        <f>'- 3 -'!B12</f>
        <v>30271164</v>
      </c>
      <c r="C14" s="24">
        <v>350000</v>
      </c>
      <c r="D14" s="24">
        <v>-539979</v>
      </c>
      <c r="E14" s="24">
        <f t="shared" ref="E14:E48" si="0">SUM(B14:D14)</f>
        <v>30081185</v>
      </c>
      <c r="F14" s="24">
        <f>'- 57 -'!G13</f>
        <v>1105362</v>
      </c>
      <c r="G14" s="344">
        <f>F14/E14*100</f>
        <v>3.6745959309781182</v>
      </c>
      <c r="H14" s="478">
        <v>3.6745959309781182E-2</v>
      </c>
      <c r="I14" s="466">
        <v>30081185</v>
      </c>
      <c r="J14" s="1">
        <f t="shared" ref="J14:J52" si="1">I14-E14</f>
        <v>0</v>
      </c>
    </row>
    <row r="15" spans="1:10" ht="14.1" customHeight="1">
      <c r="A15" s="351" t="s">
        <v>226</v>
      </c>
      <c r="B15" s="352">
        <f>'- 3 -'!B13</f>
        <v>78529500</v>
      </c>
      <c r="C15" s="352">
        <v>354500</v>
      </c>
      <c r="D15" s="352">
        <v>0</v>
      </c>
      <c r="E15" s="352">
        <f t="shared" si="0"/>
        <v>78884000</v>
      </c>
      <c r="F15" s="352">
        <f>'- 57 -'!G14</f>
        <v>2705600</v>
      </c>
      <c r="G15" s="353">
        <f>F15/E15*100</f>
        <v>3.4298463566756245</v>
      </c>
      <c r="H15" s="477">
        <v>3.4298463566756247E-2</v>
      </c>
      <c r="I15" s="465">
        <v>78884000</v>
      </c>
      <c r="J15" s="1">
        <f t="shared" si="1"/>
        <v>0</v>
      </c>
    </row>
    <row r="16" spans="1:10" ht="14.1" customHeight="1">
      <c r="A16" s="23" t="s">
        <v>524</v>
      </c>
      <c r="B16" s="24"/>
      <c r="C16" s="24"/>
      <c r="D16" s="24"/>
      <c r="E16" s="24"/>
      <c r="F16" s="24"/>
      <c r="G16" s="474" t="s">
        <v>179</v>
      </c>
      <c r="H16" s="479"/>
      <c r="I16" s="466"/>
      <c r="J16" s="1">
        <f t="shared" si="1"/>
        <v>0</v>
      </c>
    </row>
    <row r="17" spans="1:10" ht="14.1" customHeight="1">
      <c r="A17" s="351" t="s">
        <v>227</v>
      </c>
      <c r="B17" s="352">
        <f>'- 3 -'!B15</f>
        <v>18746783</v>
      </c>
      <c r="C17" s="352">
        <v>331151</v>
      </c>
      <c r="D17" s="352">
        <v>0</v>
      </c>
      <c r="E17" s="352">
        <f t="shared" si="0"/>
        <v>19077934</v>
      </c>
      <c r="F17" s="352">
        <f>'- 57 -'!G16</f>
        <v>867710</v>
      </c>
      <c r="G17" s="353">
        <f>F17/E17*100</f>
        <v>4.5482388187316296</v>
      </c>
      <c r="H17" s="477">
        <v>4.54823881873163E-2</v>
      </c>
      <c r="I17" s="465">
        <v>19077934</v>
      </c>
      <c r="J17" s="1">
        <f t="shared" si="1"/>
        <v>0</v>
      </c>
    </row>
    <row r="18" spans="1:10" ht="14.1" customHeight="1">
      <c r="A18" s="23" t="s">
        <v>228</v>
      </c>
      <c r="B18" s="24">
        <f>'- 3 -'!B16</f>
        <v>12656792</v>
      </c>
      <c r="C18" s="24">
        <v>240000</v>
      </c>
      <c r="D18" s="24">
        <v>-92300</v>
      </c>
      <c r="E18" s="24">
        <f t="shared" si="0"/>
        <v>12804492</v>
      </c>
      <c r="F18" s="24">
        <f>'- 57 -'!G17</f>
        <v>699944</v>
      </c>
      <c r="G18" s="344">
        <f>F18/E18*100</f>
        <v>5.4663941373074385</v>
      </c>
      <c r="H18" s="478">
        <v>5.4663941373074384E-2</v>
      </c>
      <c r="I18" s="466">
        <v>12804492</v>
      </c>
      <c r="J18" s="1">
        <f t="shared" si="1"/>
        <v>0</v>
      </c>
    </row>
    <row r="19" spans="1:10" ht="14.1" customHeight="1">
      <c r="A19" s="351" t="s">
        <v>229</v>
      </c>
      <c r="B19" s="352">
        <f>'- 3 -'!B17</f>
        <v>16505562</v>
      </c>
      <c r="C19" s="352">
        <v>180000</v>
      </c>
      <c r="D19" s="352">
        <v>0</v>
      </c>
      <c r="E19" s="352">
        <f t="shared" si="0"/>
        <v>16685562</v>
      </c>
      <c r="F19" s="352">
        <f>'- 57 -'!G18</f>
        <v>802350</v>
      </c>
      <c r="G19" s="353">
        <f>F19/E19*100</f>
        <v>4.8086483392048764</v>
      </c>
      <c r="H19" s="477">
        <v>4.8086483392048768E-2</v>
      </c>
      <c r="I19" s="465">
        <v>16685562</v>
      </c>
      <c r="J19" s="1">
        <f t="shared" si="1"/>
        <v>0</v>
      </c>
    </row>
    <row r="20" spans="1:10" ht="14.1" customHeight="1">
      <c r="A20" s="23" t="s">
        <v>230</v>
      </c>
      <c r="B20" s="24"/>
      <c r="C20" s="24"/>
      <c r="D20" s="24"/>
      <c r="E20" s="24"/>
      <c r="F20" s="24"/>
      <c r="G20" s="474" t="s">
        <v>179</v>
      </c>
      <c r="H20" s="479"/>
      <c r="I20" s="466"/>
      <c r="J20" s="1">
        <f t="shared" si="1"/>
        <v>0</v>
      </c>
    </row>
    <row r="21" spans="1:10" ht="14.1" customHeight="1">
      <c r="A21" s="351" t="s">
        <v>231</v>
      </c>
      <c r="B21" s="352">
        <f>'- 3 -'!B19</f>
        <v>39362135</v>
      </c>
      <c r="C21" s="352">
        <v>1948000</v>
      </c>
      <c r="D21" s="352">
        <v>0</v>
      </c>
      <c r="E21" s="352">
        <f t="shared" si="0"/>
        <v>41310135</v>
      </c>
      <c r="F21" s="352">
        <f>'- 57 -'!G20</f>
        <v>1485545</v>
      </c>
      <c r="G21" s="353">
        <f t="shared" ref="G21:G48" si="2">F21/E21*100</f>
        <v>3.5960787830879761</v>
      </c>
      <c r="H21" s="477">
        <v>3.5960787830879762E-2</v>
      </c>
      <c r="I21" s="465">
        <v>41310135</v>
      </c>
      <c r="J21" s="1">
        <f t="shared" si="1"/>
        <v>0</v>
      </c>
    </row>
    <row r="22" spans="1:10" ht="14.1" customHeight="1">
      <c r="A22" s="23" t="s">
        <v>232</v>
      </c>
      <c r="B22" s="24">
        <f>'- 3 -'!B20</f>
        <v>68698000</v>
      </c>
      <c r="C22" s="24">
        <v>1653300</v>
      </c>
      <c r="D22" s="24">
        <v>0</v>
      </c>
      <c r="E22" s="24">
        <f t="shared" si="0"/>
        <v>70351300</v>
      </c>
      <c r="F22" s="24">
        <f>'- 57 -'!G21</f>
        <v>2337700</v>
      </c>
      <c r="G22" s="344">
        <f t="shared" si="2"/>
        <v>3.3228952414525392</v>
      </c>
      <c r="H22" s="478">
        <v>3.3228952414525392E-2</v>
      </c>
      <c r="I22" s="466">
        <v>70351300</v>
      </c>
      <c r="J22" s="1">
        <f t="shared" si="1"/>
        <v>0</v>
      </c>
    </row>
    <row r="23" spans="1:10" ht="14.1" customHeight="1">
      <c r="A23" s="351" t="s">
        <v>233</v>
      </c>
      <c r="B23" s="352">
        <f>'- 3 -'!B21</f>
        <v>32925000</v>
      </c>
      <c r="C23" s="352">
        <v>50000</v>
      </c>
      <c r="D23" s="352">
        <v>0</v>
      </c>
      <c r="E23" s="352">
        <f t="shared" si="0"/>
        <v>32975000</v>
      </c>
      <c r="F23" s="352">
        <f>'- 57 -'!G22</f>
        <v>1519000</v>
      </c>
      <c r="G23" s="353">
        <f t="shared" si="2"/>
        <v>4.6065200909780133</v>
      </c>
      <c r="H23" s="477">
        <v>4.6065200909780134E-2</v>
      </c>
      <c r="I23" s="465">
        <v>32975000</v>
      </c>
      <c r="J23" s="1">
        <f t="shared" si="1"/>
        <v>0</v>
      </c>
    </row>
    <row r="24" spans="1:10" ht="14.1" customHeight="1">
      <c r="A24" s="23" t="s">
        <v>234</v>
      </c>
      <c r="B24" s="24">
        <f>'- 3 -'!B22</f>
        <v>19049685</v>
      </c>
      <c r="C24" s="24">
        <v>110000</v>
      </c>
      <c r="D24" s="24">
        <v>-664360</v>
      </c>
      <c r="E24" s="24">
        <f t="shared" si="0"/>
        <v>18495325</v>
      </c>
      <c r="F24" s="24">
        <f>'- 57 -'!G23</f>
        <v>922975</v>
      </c>
      <c r="G24" s="344">
        <f t="shared" si="2"/>
        <v>4.9903151201722595</v>
      </c>
      <c r="H24" s="478">
        <v>4.9903151201722597E-2</v>
      </c>
      <c r="I24" s="466">
        <v>18495325</v>
      </c>
      <c r="J24" s="1">
        <f t="shared" si="1"/>
        <v>0</v>
      </c>
    </row>
    <row r="25" spans="1:10" ht="14.1" customHeight="1">
      <c r="A25" s="351" t="s">
        <v>235</v>
      </c>
      <c r="B25" s="352">
        <f>'- 3 -'!B23</f>
        <v>15603080</v>
      </c>
      <c r="C25" s="352">
        <v>200000</v>
      </c>
      <c r="D25" s="352">
        <v>-240000</v>
      </c>
      <c r="E25" s="352">
        <f t="shared" si="0"/>
        <v>15563080</v>
      </c>
      <c r="F25" s="352">
        <f>'- 57 -'!G24</f>
        <v>648750</v>
      </c>
      <c r="G25" s="353">
        <f t="shared" si="2"/>
        <v>4.1685193419297466</v>
      </c>
      <c r="H25" s="477">
        <v>4.1685193419297467E-2</v>
      </c>
      <c r="I25" s="465">
        <v>15563080</v>
      </c>
      <c r="J25" s="1">
        <f t="shared" si="1"/>
        <v>0</v>
      </c>
    </row>
    <row r="26" spans="1:10" ht="14.1" customHeight="1">
      <c r="A26" s="23" t="s">
        <v>236</v>
      </c>
      <c r="B26" s="24">
        <f>'- 3 -'!B24</f>
        <v>51237855</v>
      </c>
      <c r="C26" s="24">
        <v>390239</v>
      </c>
      <c r="D26" s="24">
        <v>-356510</v>
      </c>
      <c r="E26" s="24">
        <f t="shared" si="0"/>
        <v>51271584</v>
      </c>
      <c r="F26" s="24">
        <f>'- 57 -'!G25</f>
        <v>2088165</v>
      </c>
      <c r="G26" s="344">
        <f t="shared" si="2"/>
        <v>4.0727530477700862</v>
      </c>
      <c r="H26" s="478">
        <v>4.0727530477700863E-2</v>
      </c>
      <c r="I26" s="466">
        <v>51271584</v>
      </c>
      <c r="J26" s="1">
        <f t="shared" si="1"/>
        <v>0</v>
      </c>
    </row>
    <row r="27" spans="1:10" ht="14.1" customHeight="1">
      <c r="A27" s="351" t="s">
        <v>237</v>
      </c>
      <c r="B27" s="352">
        <f>'- 3 -'!B25</f>
        <v>151365362</v>
      </c>
      <c r="C27" s="352">
        <v>509030</v>
      </c>
      <c r="D27" s="352">
        <v>0</v>
      </c>
      <c r="E27" s="352">
        <f t="shared" si="0"/>
        <v>151874392</v>
      </c>
      <c r="F27" s="352">
        <f>'- 57 -'!G26</f>
        <v>5597920</v>
      </c>
      <c r="G27" s="353">
        <f t="shared" si="2"/>
        <v>3.685888006715444</v>
      </c>
      <c r="H27" s="477">
        <v>3.6858880067154438E-2</v>
      </c>
      <c r="I27" s="465">
        <v>151874392</v>
      </c>
      <c r="J27" s="1">
        <f t="shared" si="1"/>
        <v>0</v>
      </c>
    </row>
    <row r="28" spans="1:10" ht="14.1" customHeight="1">
      <c r="A28" s="23" t="s">
        <v>238</v>
      </c>
      <c r="B28" s="24">
        <f>'- 3 -'!B26</f>
        <v>36786409</v>
      </c>
      <c r="C28" s="24">
        <v>657897</v>
      </c>
      <c r="D28" s="24">
        <v>0</v>
      </c>
      <c r="E28" s="24">
        <f t="shared" si="0"/>
        <v>37444306</v>
      </c>
      <c r="F28" s="24">
        <f>'- 57 -'!G27</f>
        <v>1460916</v>
      </c>
      <c r="G28" s="344">
        <f t="shared" si="2"/>
        <v>3.9015705084773105</v>
      </c>
      <c r="H28" s="478">
        <v>3.9015705084773103E-2</v>
      </c>
      <c r="I28" s="466">
        <v>37444306</v>
      </c>
      <c r="J28" s="1">
        <f t="shared" si="1"/>
        <v>0</v>
      </c>
    </row>
    <row r="29" spans="1:10" ht="14.1" customHeight="1">
      <c r="A29" s="351" t="s">
        <v>239</v>
      </c>
      <c r="B29" s="352">
        <f>'- 3 -'!B27</f>
        <v>38318524</v>
      </c>
      <c r="C29" s="352">
        <v>90000</v>
      </c>
      <c r="D29" s="352">
        <v>0</v>
      </c>
      <c r="E29" s="352">
        <f t="shared" si="0"/>
        <v>38408524</v>
      </c>
      <c r="F29" s="352">
        <f>'- 57 -'!G28</f>
        <v>2231164</v>
      </c>
      <c r="G29" s="353">
        <f t="shared" si="2"/>
        <v>5.8090334322662338</v>
      </c>
      <c r="H29" s="477">
        <v>5.8090334322662335E-2</v>
      </c>
      <c r="I29" s="465">
        <v>38408524</v>
      </c>
      <c r="J29" s="1">
        <f t="shared" si="1"/>
        <v>0</v>
      </c>
    </row>
    <row r="30" spans="1:10" ht="14.1" customHeight="1">
      <c r="A30" s="23" t="s">
        <v>240</v>
      </c>
      <c r="B30" s="24">
        <f>'- 3 -'!B28</f>
        <v>25754529</v>
      </c>
      <c r="C30" s="24">
        <v>187500</v>
      </c>
      <c r="D30" s="24">
        <v>-140856</v>
      </c>
      <c r="E30" s="24">
        <f t="shared" si="0"/>
        <v>25801173</v>
      </c>
      <c r="F30" s="24">
        <f>'- 57 -'!G29</f>
        <v>1121179</v>
      </c>
      <c r="G30" s="344">
        <f t="shared" si="2"/>
        <v>4.3454574720304384</v>
      </c>
      <c r="H30" s="478">
        <v>4.3454574720304381E-2</v>
      </c>
      <c r="I30" s="466">
        <v>25801173</v>
      </c>
      <c r="J30" s="1">
        <f t="shared" si="1"/>
        <v>0</v>
      </c>
    </row>
    <row r="31" spans="1:10" ht="14.1" customHeight="1">
      <c r="A31" s="351" t="s">
        <v>241</v>
      </c>
      <c r="B31" s="352">
        <f>'- 3 -'!B29</f>
        <v>139169841</v>
      </c>
      <c r="C31" s="352">
        <v>100000</v>
      </c>
      <c r="D31" s="352">
        <v>0</v>
      </c>
      <c r="E31" s="352">
        <f t="shared" si="0"/>
        <v>139269841</v>
      </c>
      <c r="F31" s="352">
        <f>'- 57 -'!G30</f>
        <v>5247529</v>
      </c>
      <c r="G31" s="353">
        <f t="shared" si="2"/>
        <v>3.7678861139792645</v>
      </c>
      <c r="H31" s="477">
        <v>3.7678861139792644E-2</v>
      </c>
      <c r="I31" s="465">
        <v>139269841</v>
      </c>
      <c r="J31" s="1">
        <f t="shared" si="1"/>
        <v>0</v>
      </c>
    </row>
    <row r="32" spans="1:10" ht="14.1" customHeight="1">
      <c r="A32" s="23" t="s">
        <v>242</v>
      </c>
      <c r="B32" s="24">
        <f>'- 3 -'!B30</f>
        <v>13286608</v>
      </c>
      <c r="C32" s="24">
        <v>190000</v>
      </c>
      <c r="D32" s="24">
        <v>0</v>
      </c>
      <c r="E32" s="24">
        <f t="shared" si="0"/>
        <v>13476608</v>
      </c>
      <c r="F32" s="24">
        <f>'- 57 -'!G31</f>
        <v>616001</v>
      </c>
      <c r="G32" s="344">
        <f t="shared" si="2"/>
        <v>4.5708905386281176</v>
      </c>
      <c r="H32" s="478">
        <v>4.5708905386281175E-2</v>
      </c>
      <c r="I32" s="466">
        <v>13476608</v>
      </c>
      <c r="J32" s="1">
        <f t="shared" si="1"/>
        <v>0</v>
      </c>
    </row>
    <row r="33" spans="1:10" ht="14.1" customHeight="1">
      <c r="A33" s="351" t="s">
        <v>243</v>
      </c>
      <c r="B33" s="352">
        <f>'- 3 -'!B31</f>
        <v>32143998</v>
      </c>
      <c r="C33" s="352">
        <v>1067000</v>
      </c>
      <c r="D33" s="352">
        <v>0</v>
      </c>
      <c r="E33" s="352">
        <f t="shared" si="0"/>
        <v>33210998</v>
      </c>
      <c r="F33" s="352">
        <f>'- 57 -'!G32</f>
        <v>1248636</v>
      </c>
      <c r="G33" s="353">
        <f t="shared" si="2"/>
        <v>3.7597063478790971</v>
      </c>
      <c r="H33" s="477">
        <v>3.7597063478790972E-2</v>
      </c>
      <c r="I33" s="465">
        <v>33210998</v>
      </c>
      <c r="J33" s="1">
        <f t="shared" si="1"/>
        <v>0</v>
      </c>
    </row>
    <row r="34" spans="1:10" ht="14.1" customHeight="1">
      <c r="A34" s="23" t="s">
        <v>244</v>
      </c>
      <c r="B34" s="24">
        <f>'- 3 -'!B32</f>
        <v>24898531</v>
      </c>
      <c r="C34" s="24">
        <v>375100</v>
      </c>
      <c r="D34" s="24">
        <v>-251600</v>
      </c>
      <c r="E34" s="24">
        <f t="shared" si="0"/>
        <v>25022031</v>
      </c>
      <c r="F34" s="24">
        <f>'- 57 -'!G33</f>
        <v>1152000</v>
      </c>
      <c r="G34" s="344">
        <f t="shared" si="2"/>
        <v>4.6039428214280447</v>
      </c>
      <c r="H34" s="478">
        <v>4.6039428214280448E-2</v>
      </c>
      <c r="I34" s="466">
        <v>25022031</v>
      </c>
      <c r="J34" s="1">
        <f t="shared" si="1"/>
        <v>0</v>
      </c>
    </row>
    <row r="35" spans="1:10" ht="14.1" customHeight="1">
      <c r="A35" s="351" t="s">
        <v>245</v>
      </c>
      <c r="B35" s="352">
        <f>'- 3 -'!B33</f>
        <v>26052400</v>
      </c>
      <c r="C35" s="352">
        <v>374868</v>
      </c>
      <c r="D35" s="352">
        <v>0</v>
      </c>
      <c r="E35" s="352">
        <f t="shared" si="0"/>
        <v>26427268</v>
      </c>
      <c r="F35" s="352">
        <f>'- 57 -'!G34</f>
        <v>941900</v>
      </c>
      <c r="G35" s="353">
        <f t="shared" si="2"/>
        <v>3.5641217245762977</v>
      </c>
      <c r="H35" s="477">
        <v>3.5641217245762975E-2</v>
      </c>
      <c r="I35" s="465">
        <v>26427268</v>
      </c>
      <c r="J35" s="1">
        <f t="shared" si="1"/>
        <v>0</v>
      </c>
    </row>
    <row r="36" spans="1:10" ht="14.1" customHeight="1">
      <c r="A36" s="23" t="s">
        <v>246</v>
      </c>
      <c r="B36" s="24">
        <f>'- 3 -'!B34</f>
        <v>24272016</v>
      </c>
      <c r="C36" s="24">
        <v>492392</v>
      </c>
      <c r="D36" s="24">
        <v>0</v>
      </c>
      <c r="E36" s="24">
        <f t="shared" si="0"/>
        <v>24764408</v>
      </c>
      <c r="F36" s="24">
        <f>'- 57 -'!G35</f>
        <v>1086490</v>
      </c>
      <c r="G36" s="344">
        <f t="shared" si="2"/>
        <v>4.3873045541811457</v>
      </c>
      <c r="H36" s="478">
        <v>4.3873045541811456E-2</v>
      </c>
      <c r="I36" s="466">
        <v>24764408</v>
      </c>
      <c r="J36" s="1">
        <f t="shared" si="1"/>
        <v>0</v>
      </c>
    </row>
    <row r="37" spans="1:10" ht="14.1" customHeight="1">
      <c r="A37" s="351" t="s">
        <v>247</v>
      </c>
      <c r="B37" s="352">
        <f>'- 3 -'!B35</f>
        <v>163646376</v>
      </c>
      <c r="C37" s="352">
        <v>2614292</v>
      </c>
      <c r="D37" s="352">
        <v>0</v>
      </c>
      <c r="E37" s="352">
        <f t="shared" si="0"/>
        <v>166260668</v>
      </c>
      <c r="F37" s="352">
        <f>'- 57 -'!G36</f>
        <v>6127443</v>
      </c>
      <c r="G37" s="353">
        <f t="shared" si="2"/>
        <v>3.6854435109090264</v>
      </c>
      <c r="H37" s="477">
        <v>3.6854435109090262E-2</v>
      </c>
      <c r="I37" s="465">
        <v>166260668</v>
      </c>
      <c r="J37" s="1">
        <f t="shared" si="1"/>
        <v>0</v>
      </c>
    </row>
    <row r="38" spans="1:10" ht="14.1" customHeight="1">
      <c r="A38" s="23" t="s">
        <v>248</v>
      </c>
      <c r="B38" s="24">
        <f>'- 3 -'!B36</f>
        <v>21328060</v>
      </c>
      <c r="C38" s="24">
        <v>387500</v>
      </c>
      <c r="D38" s="24">
        <v>0</v>
      </c>
      <c r="E38" s="24">
        <f t="shared" si="0"/>
        <v>21715560</v>
      </c>
      <c r="F38" s="24">
        <f>'- 57 -'!G37</f>
        <v>1028785</v>
      </c>
      <c r="G38" s="344">
        <f t="shared" si="2"/>
        <v>4.7375476386517317</v>
      </c>
      <c r="H38" s="478">
        <v>4.7375476386517318E-2</v>
      </c>
      <c r="I38" s="466">
        <v>21715560</v>
      </c>
      <c r="J38" s="1">
        <f t="shared" si="1"/>
        <v>0</v>
      </c>
    </row>
    <row r="39" spans="1:10" ht="14.1" customHeight="1">
      <c r="A39" s="351" t="s">
        <v>249</v>
      </c>
      <c r="B39" s="352">
        <f>'- 3 -'!B37</f>
        <v>40409748</v>
      </c>
      <c r="C39" s="352">
        <v>433252</v>
      </c>
      <c r="D39" s="352">
        <v>0</v>
      </c>
      <c r="E39" s="352">
        <f t="shared" si="0"/>
        <v>40843000</v>
      </c>
      <c r="F39" s="352">
        <f>'- 57 -'!G38</f>
        <v>1688263</v>
      </c>
      <c r="G39" s="353">
        <f t="shared" si="2"/>
        <v>4.1335430795974828</v>
      </c>
      <c r="H39" s="477">
        <v>4.1335430795974827E-2</v>
      </c>
      <c r="I39" s="465">
        <v>40843000</v>
      </c>
      <c r="J39" s="1">
        <f t="shared" si="1"/>
        <v>0</v>
      </c>
    </row>
    <row r="40" spans="1:10" ht="14.1" customHeight="1">
      <c r="A40" s="23" t="s">
        <v>250</v>
      </c>
      <c r="B40" s="24">
        <f>'- 3 -'!B38</f>
        <v>113231800</v>
      </c>
      <c r="C40" s="24">
        <v>1961000</v>
      </c>
      <c r="D40" s="24">
        <v>-495100</v>
      </c>
      <c r="E40" s="24">
        <f t="shared" si="0"/>
        <v>114697700</v>
      </c>
      <c r="F40" s="24">
        <f>'- 57 -'!G39</f>
        <v>4151655</v>
      </c>
      <c r="G40" s="344">
        <f t="shared" si="2"/>
        <v>3.6196497401430023</v>
      </c>
      <c r="H40" s="478">
        <v>3.6196497401430022E-2</v>
      </c>
      <c r="I40" s="466">
        <v>114697700</v>
      </c>
      <c r="J40" s="1">
        <f t="shared" si="1"/>
        <v>0</v>
      </c>
    </row>
    <row r="41" spans="1:10" ht="14.1" customHeight="1">
      <c r="A41" s="351" t="s">
        <v>251</v>
      </c>
      <c r="B41" s="352">
        <f>'- 3 -'!B39</f>
        <v>20011188</v>
      </c>
      <c r="C41" s="352">
        <v>429000</v>
      </c>
      <c r="D41" s="352">
        <v>0</v>
      </c>
      <c r="E41" s="352">
        <f t="shared" si="0"/>
        <v>20440188</v>
      </c>
      <c r="F41" s="352">
        <f>'- 57 -'!G40</f>
        <v>925029</v>
      </c>
      <c r="G41" s="353">
        <f t="shared" si="2"/>
        <v>4.5255405674350939</v>
      </c>
      <c r="H41" s="477">
        <v>4.5255405674350942E-2</v>
      </c>
      <c r="I41" s="465">
        <v>20440188</v>
      </c>
      <c r="J41" s="1">
        <f t="shared" si="1"/>
        <v>0</v>
      </c>
    </row>
    <row r="42" spans="1:10" ht="14.1" customHeight="1">
      <c r="A42" s="23" t="s">
        <v>252</v>
      </c>
      <c r="B42" s="24">
        <f>'- 3 -'!B40</f>
        <v>94356721</v>
      </c>
      <c r="C42" s="24">
        <v>1304172</v>
      </c>
      <c r="D42" s="24">
        <v>0</v>
      </c>
      <c r="E42" s="24">
        <f t="shared" si="0"/>
        <v>95660893</v>
      </c>
      <c r="F42" s="24">
        <f>'- 57 -'!G41</f>
        <v>3594150</v>
      </c>
      <c r="G42" s="344">
        <f t="shared" si="2"/>
        <v>3.7571779724029968</v>
      </c>
      <c r="H42" s="478">
        <v>3.7571779724029968E-2</v>
      </c>
      <c r="I42" s="466">
        <v>95660893</v>
      </c>
      <c r="J42" s="1">
        <f t="shared" si="1"/>
        <v>0</v>
      </c>
    </row>
    <row r="43" spans="1:10" ht="14.1" customHeight="1">
      <c r="A43" s="351" t="s">
        <v>253</v>
      </c>
      <c r="B43" s="352">
        <f>'- 3 -'!B41</f>
        <v>57433571</v>
      </c>
      <c r="C43" s="352">
        <v>1419841</v>
      </c>
      <c r="D43" s="352">
        <v>-975869</v>
      </c>
      <c r="E43" s="352">
        <f t="shared" si="0"/>
        <v>57877543</v>
      </c>
      <c r="F43" s="352">
        <f>'- 57 -'!G42</f>
        <v>2516240</v>
      </c>
      <c r="G43" s="353">
        <f t="shared" si="2"/>
        <v>4.3475238746745006</v>
      </c>
      <c r="H43" s="477">
        <v>4.3475238746745005E-2</v>
      </c>
      <c r="I43" s="465">
        <v>57877543</v>
      </c>
      <c r="J43" s="1">
        <f t="shared" si="1"/>
        <v>0</v>
      </c>
    </row>
    <row r="44" spans="1:10" ht="14.1" customHeight="1">
      <c r="A44" s="23" t="s">
        <v>254</v>
      </c>
      <c r="B44" s="24">
        <f>'- 3 -'!B42</f>
        <v>19894348</v>
      </c>
      <c r="C44" s="24">
        <v>198000</v>
      </c>
      <c r="D44" s="24">
        <v>0</v>
      </c>
      <c r="E44" s="24">
        <f t="shared" si="0"/>
        <v>20092348</v>
      </c>
      <c r="F44" s="24">
        <f>'- 57 -'!G43</f>
        <v>927563</v>
      </c>
      <c r="G44" s="344">
        <f t="shared" si="2"/>
        <v>4.6164987785399694</v>
      </c>
      <c r="H44" s="478">
        <v>4.6164987785399694E-2</v>
      </c>
      <c r="I44" s="466">
        <v>20092348</v>
      </c>
      <c r="J44" s="1">
        <f t="shared" si="1"/>
        <v>0</v>
      </c>
    </row>
    <row r="45" spans="1:10" ht="14.1" customHeight="1">
      <c r="A45" s="351" t="s">
        <v>255</v>
      </c>
      <c r="B45" s="352">
        <f>'- 3 -'!B43</f>
        <v>11842345</v>
      </c>
      <c r="C45" s="352">
        <v>204000</v>
      </c>
      <c r="D45" s="352">
        <v>-239947</v>
      </c>
      <c r="E45" s="352">
        <f t="shared" si="0"/>
        <v>11806398</v>
      </c>
      <c r="F45" s="352">
        <f>'- 57 -'!G44</f>
        <v>627659</v>
      </c>
      <c r="G45" s="353">
        <f t="shared" si="2"/>
        <v>5.3162615727506388</v>
      </c>
      <c r="H45" s="477">
        <v>5.3162615727506392E-2</v>
      </c>
      <c r="I45" s="465">
        <v>11806398</v>
      </c>
      <c r="J45" s="1">
        <f t="shared" si="1"/>
        <v>0</v>
      </c>
    </row>
    <row r="46" spans="1:10" ht="14.1" customHeight="1">
      <c r="A46" s="23" t="s">
        <v>256</v>
      </c>
      <c r="B46" s="24">
        <f>'- 3 -'!B44</f>
        <v>10186303</v>
      </c>
      <c r="C46" s="24">
        <v>140000</v>
      </c>
      <c r="D46" s="24">
        <v>0</v>
      </c>
      <c r="E46" s="24">
        <f t="shared" si="0"/>
        <v>10326303</v>
      </c>
      <c r="F46" s="24">
        <f>'- 57 -'!G45</f>
        <v>425491</v>
      </c>
      <c r="G46" s="344">
        <f t="shared" si="2"/>
        <v>4.1204582123921796</v>
      </c>
      <c r="H46" s="478">
        <v>4.1204582123921793E-2</v>
      </c>
      <c r="I46" s="466">
        <v>10326303</v>
      </c>
      <c r="J46" s="1">
        <f t="shared" si="1"/>
        <v>0</v>
      </c>
    </row>
    <row r="47" spans="1:10" ht="14.1" customHeight="1">
      <c r="A47" s="351" t="s">
        <v>257</v>
      </c>
      <c r="B47" s="352">
        <f>'- 3 -'!B45</f>
        <v>16538054</v>
      </c>
      <c r="C47" s="352">
        <v>446100</v>
      </c>
      <c r="D47" s="352">
        <v>-368300</v>
      </c>
      <c r="E47" s="352">
        <f>SUM(B47:D47)</f>
        <v>16615854</v>
      </c>
      <c r="F47" s="352">
        <f>'- 57 -'!G46</f>
        <v>716060</v>
      </c>
      <c r="G47" s="353">
        <f>F47/E47*100</f>
        <v>4.3094986270341566</v>
      </c>
      <c r="H47" s="477">
        <v>4.3094986270341563E-2</v>
      </c>
      <c r="I47" s="465">
        <v>16615854</v>
      </c>
      <c r="J47" s="1">
        <f>I47-E47</f>
        <v>0</v>
      </c>
    </row>
    <row r="48" spans="1:10" ht="14.1" customHeight="1">
      <c r="A48" s="23" t="s">
        <v>258</v>
      </c>
      <c r="B48" s="24">
        <f>'- 3 -'!B46</f>
        <v>354802100</v>
      </c>
      <c r="C48" s="24">
        <v>1476500</v>
      </c>
      <c r="D48" s="24">
        <v>-761100</v>
      </c>
      <c r="E48" s="24">
        <f t="shared" si="0"/>
        <v>355517500</v>
      </c>
      <c r="F48" s="24">
        <f>'- 57 -'!G47</f>
        <v>11561600</v>
      </c>
      <c r="G48" s="344">
        <f t="shared" si="2"/>
        <v>3.2520480707700741</v>
      </c>
      <c r="H48" s="478">
        <v>3.2520480707700743E-2</v>
      </c>
      <c r="I48" s="466">
        <v>355517500</v>
      </c>
      <c r="J48" s="1">
        <f t="shared" si="1"/>
        <v>0</v>
      </c>
    </row>
    <row r="49" spans="1:10" ht="5.0999999999999996" customHeight="1">
      <c r="A49"/>
      <c r="B49"/>
      <c r="C49"/>
      <c r="D49"/>
      <c r="E49"/>
      <c r="F49"/>
      <c r="G49"/>
      <c r="H49" s="480"/>
      <c r="I49" s="467"/>
    </row>
    <row r="50" spans="1:10" ht="14.45" customHeight="1">
      <c r="A50" s="354" t="s">
        <v>259</v>
      </c>
      <c r="B50" s="355">
        <f>SUM(B13:B48)</f>
        <v>1835224448</v>
      </c>
      <c r="C50" s="355">
        <f>SUM(C13:C48)</f>
        <v>21009634</v>
      </c>
      <c r="D50" s="355">
        <f>SUM(D13:D48)</f>
        <v>-5125921</v>
      </c>
      <c r="E50" s="355">
        <f>SUM(E13:E48)</f>
        <v>1851108161</v>
      </c>
      <c r="F50" s="355">
        <f>SUM(F13:F48)</f>
        <v>70851298</v>
      </c>
      <c r="G50" s="356">
        <f>F50/E50*100</f>
        <v>3.8275071923255384</v>
      </c>
      <c r="H50" s="481"/>
      <c r="I50" s="482">
        <f>SUM(I13:I48)</f>
        <v>1851108161</v>
      </c>
      <c r="J50" s="1">
        <f t="shared" si="1"/>
        <v>0</v>
      </c>
    </row>
    <row r="51" spans="1:10" ht="5.0999999999999996" customHeight="1">
      <c r="A51" s="25" t="s">
        <v>3</v>
      </c>
      <c r="B51" s="26"/>
      <c r="C51" s="26"/>
      <c r="D51" s="26"/>
      <c r="E51" s="26"/>
      <c r="F51" s="26"/>
      <c r="G51" s="343"/>
      <c r="H51" s="480"/>
      <c r="I51" s="469"/>
    </row>
    <row r="52" spans="1:10" ht="14.45" customHeight="1">
      <c r="A52" s="23" t="s">
        <v>260</v>
      </c>
      <c r="B52" s="24">
        <f>'- 3 -'!B50</f>
        <v>3229025</v>
      </c>
      <c r="C52" s="24">
        <v>0</v>
      </c>
      <c r="D52" s="24">
        <v>0</v>
      </c>
      <c r="E52" s="24">
        <f>SUM(B52:D52)</f>
        <v>3229025</v>
      </c>
      <c r="F52" s="24">
        <f>'- 57 -'!G51</f>
        <v>227700</v>
      </c>
      <c r="G52" s="344">
        <f>F52/E52*100</f>
        <v>7.0516642020424127</v>
      </c>
      <c r="H52" s="478">
        <v>7.0516642020424125E-2</v>
      </c>
      <c r="I52" s="466">
        <v>3229025</v>
      </c>
      <c r="J52" s="1">
        <f t="shared" si="1"/>
        <v>0</v>
      </c>
    </row>
    <row r="53" spans="1:10" ht="14.45" customHeight="1">
      <c r="A53" s="351" t="s">
        <v>327</v>
      </c>
      <c r="B53" s="352"/>
      <c r="C53" s="352"/>
      <c r="D53" s="352"/>
      <c r="E53" s="352"/>
      <c r="F53" s="352"/>
      <c r="G53" s="475" t="s">
        <v>179</v>
      </c>
      <c r="H53" s="321"/>
      <c r="I53" s="315"/>
    </row>
    <row r="54" spans="1:10" ht="25.5" customHeight="1">
      <c r="A54" s="27"/>
      <c r="B54" s="27"/>
      <c r="C54" s="27"/>
      <c r="D54" s="27"/>
      <c r="E54" s="27"/>
      <c r="F54" s="27"/>
      <c r="G54" s="27"/>
    </row>
    <row r="55" spans="1:10" ht="14.45" customHeight="1">
      <c r="A55" s="293" t="s">
        <v>581</v>
      </c>
      <c r="B55" s="294"/>
      <c r="C55" s="294"/>
      <c r="D55" s="294"/>
      <c r="E55" s="206"/>
      <c r="F55" s="206"/>
      <c r="G55" s="206"/>
    </row>
    <row r="56" spans="1:10" ht="12" customHeight="1">
      <c r="A56" s="39" t="s">
        <v>377</v>
      </c>
      <c r="B56" s="39"/>
      <c r="C56" s="39"/>
      <c r="D56" s="39"/>
    </row>
    <row r="57" spans="1:10" ht="14.45" customHeight="1">
      <c r="A57" s="39"/>
      <c r="B57" s="39"/>
      <c r="C57" s="39"/>
      <c r="D57" s="39"/>
    </row>
    <row r="58" spans="1:10" ht="14.45" customHeight="1">
      <c r="A58" s="39"/>
      <c r="B58" s="39"/>
      <c r="C58" s="39"/>
      <c r="D58" s="39"/>
    </row>
    <row r="59" spans="1:10" ht="14.45" customHeight="1">
      <c r="A59" s="39"/>
      <c r="B59" s="39"/>
      <c r="C59" s="39"/>
      <c r="D59" s="39"/>
    </row>
    <row r="60" spans="1:10">
      <c r="A60" s="39"/>
    </row>
  </sheetData>
  <phoneticPr fontId="0" type="noConversion"/>
  <printOptions horizontalCentered="1"/>
  <pageMargins left="0.51181102362204722" right="0.51181102362204722" top="0.59055118110236227" bottom="0" header="0.31496062992125984" footer="0"/>
  <pageSetup scale="87" orientation="portrait" r:id="rId1"/>
  <headerFooter alignWithMargins="0">
    <oddHeader>&amp;C&amp;"Arial,Bold"&amp;10&amp;A</oddHeader>
  </headerFooter>
</worksheet>
</file>

<file path=xl/worksheets/sheet52.xml><?xml version="1.0" encoding="utf-8"?>
<worksheet xmlns="http://schemas.openxmlformats.org/spreadsheetml/2006/main" xmlns:r="http://schemas.openxmlformats.org/officeDocument/2006/relationships">
  <sheetPr transitionEvaluation="1" transitionEntry="1" codeName="Sheet39">
    <pageSetUpPr autoPageBreaks="0" fitToPage="1"/>
  </sheetPr>
  <dimension ref="A1:I55"/>
  <sheetViews>
    <sheetView showGridLines="0" showZeros="0" defaultGridColor="0" colorId="22" workbookViewId="0"/>
  </sheetViews>
  <sheetFormatPr defaultColWidth="15.83203125" defaultRowHeight="12"/>
  <cols>
    <col min="1" max="1" width="26.1640625" style="534" bestFit="1" customWidth="1"/>
    <col min="2" max="2" width="15.83203125" style="551" customWidth="1"/>
    <col min="3" max="3" width="13.33203125" style="534" customWidth="1"/>
    <col min="4" max="4" width="13.1640625" style="534" customWidth="1"/>
    <col min="5" max="5" width="16" style="534" customWidth="1"/>
    <col min="6" max="6" width="15.33203125" style="534" customWidth="1"/>
    <col min="7" max="7" width="14.83203125" style="534" customWidth="1"/>
    <col min="8" max="8" width="10.5" style="534" customWidth="1"/>
    <col min="9" max="9" width="13" style="534" customWidth="1"/>
    <col min="10" max="16384" width="15.83203125" style="534"/>
  </cols>
  <sheetData>
    <row r="1" spans="1:9" ht="20.25">
      <c r="A1" s="532"/>
      <c r="B1" s="533"/>
    </row>
    <row r="2" spans="1:9" s="536" customFormat="1" ht="15.95" customHeight="1">
      <c r="A2" s="646" t="s">
        <v>511</v>
      </c>
      <c r="B2" s="646"/>
      <c r="C2" s="646"/>
      <c r="D2" s="646"/>
      <c r="E2" s="646"/>
      <c r="F2" s="646"/>
      <c r="G2" s="646"/>
      <c r="H2" s="646"/>
      <c r="I2" s="535"/>
    </row>
    <row r="3" spans="1:9" s="536" customFormat="1" ht="15.95" customHeight="1">
      <c r="A3" s="647" t="s">
        <v>604</v>
      </c>
      <c r="B3" s="648"/>
      <c r="C3" s="648"/>
      <c r="D3" s="648"/>
      <c r="E3" s="648"/>
      <c r="F3" s="648"/>
      <c r="G3" s="648"/>
      <c r="H3" s="648"/>
      <c r="I3" s="537"/>
    </row>
    <row r="4" spans="1:9">
      <c r="B4" s="538"/>
    </row>
    <row r="5" spans="1:9">
      <c r="B5" s="538"/>
    </row>
    <row r="6" spans="1:9">
      <c r="B6" s="534"/>
    </row>
    <row r="7" spans="1:9">
      <c r="B7" s="645"/>
      <c r="C7" s="645"/>
      <c r="D7" s="645"/>
      <c r="E7" s="645"/>
      <c r="F7" s="645"/>
      <c r="G7" s="645"/>
      <c r="H7" s="645"/>
    </row>
    <row r="8" spans="1:9" ht="36" customHeight="1">
      <c r="A8" s="539"/>
      <c r="B8" s="649" t="s">
        <v>508</v>
      </c>
      <c r="C8" s="597" t="s">
        <v>212</v>
      </c>
      <c r="D8" s="598"/>
      <c r="E8" s="650" t="s">
        <v>509</v>
      </c>
      <c r="F8" s="643" t="s">
        <v>510</v>
      </c>
      <c r="G8" s="643" t="s">
        <v>563</v>
      </c>
      <c r="H8" s="643" t="s">
        <v>512</v>
      </c>
      <c r="I8" s="643" t="s">
        <v>29</v>
      </c>
    </row>
    <row r="9" spans="1:9" ht="18.75" customHeight="1">
      <c r="A9" s="540" t="s">
        <v>458</v>
      </c>
      <c r="B9" s="644"/>
      <c r="C9" s="593" t="s">
        <v>564</v>
      </c>
      <c r="D9" s="593" t="s">
        <v>44</v>
      </c>
      <c r="E9" s="644"/>
      <c r="F9" s="644"/>
      <c r="G9" s="644"/>
      <c r="H9" s="644"/>
      <c r="I9" s="644"/>
    </row>
    <row r="10" spans="1:9" ht="3.95" customHeight="1">
      <c r="A10" s="541"/>
      <c r="B10" s="538"/>
    </row>
    <row r="11" spans="1:9">
      <c r="A11" s="542" t="s">
        <v>224</v>
      </c>
      <c r="B11" s="543">
        <v>9.9700000000000006</v>
      </c>
      <c r="C11" s="543">
        <v>103.01</v>
      </c>
      <c r="D11" s="543">
        <v>48.499999999999993</v>
      </c>
      <c r="E11" s="543">
        <v>40</v>
      </c>
      <c r="F11" s="543">
        <v>8.5</v>
      </c>
      <c r="G11" s="543">
        <v>1.2</v>
      </c>
      <c r="H11" s="543">
        <v>2.25</v>
      </c>
      <c r="I11" s="543">
        <f t="shared" ref="I11:I46" si="0">SUM(B11:H11)</f>
        <v>213.42999999999998</v>
      </c>
    </row>
    <row r="12" spans="1:9">
      <c r="A12" s="544" t="s">
        <v>225</v>
      </c>
      <c r="B12" s="545">
        <v>21.099999999999998</v>
      </c>
      <c r="C12" s="545">
        <v>177.29499999999999</v>
      </c>
      <c r="D12" s="545">
        <v>107.25000000000001</v>
      </c>
      <c r="E12" s="545">
        <v>72.14</v>
      </c>
      <c r="F12" s="545">
        <v>22.625</v>
      </c>
      <c r="G12" s="545">
        <v>4.8</v>
      </c>
      <c r="H12" s="545">
        <v>4.6100000000000003</v>
      </c>
      <c r="I12" s="545">
        <f t="shared" si="0"/>
        <v>409.82</v>
      </c>
    </row>
    <row r="13" spans="1:9">
      <c r="A13" s="542" t="s">
        <v>226</v>
      </c>
      <c r="B13" s="543">
        <v>41.25</v>
      </c>
      <c r="C13" s="543">
        <v>573.74</v>
      </c>
      <c r="D13" s="543">
        <v>286.54000000000002</v>
      </c>
      <c r="E13" s="543">
        <v>119.86</v>
      </c>
      <c r="F13" s="543">
        <v>43.85</v>
      </c>
      <c r="G13" s="543">
        <v>13.25</v>
      </c>
      <c r="H13" s="543">
        <v>6</v>
      </c>
      <c r="I13" s="543">
        <f t="shared" si="0"/>
        <v>1084.49</v>
      </c>
    </row>
    <row r="14" spans="1:9">
      <c r="A14" s="544" t="s">
        <v>524</v>
      </c>
      <c r="B14" s="545">
        <v>49.94</v>
      </c>
      <c r="C14" s="545">
        <v>367.43</v>
      </c>
      <c r="D14" s="545">
        <v>232.5</v>
      </c>
      <c r="E14" s="545">
        <v>71.02</v>
      </c>
      <c r="F14" s="545">
        <v>52.32</v>
      </c>
      <c r="G14" s="545">
        <v>13.799999999999999</v>
      </c>
      <c r="H14" s="545">
        <v>7</v>
      </c>
      <c r="I14" s="545">
        <f t="shared" si="0"/>
        <v>794.01</v>
      </c>
    </row>
    <row r="15" spans="1:9">
      <c r="A15" s="542" t="s">
        <v>227</v>
      </c>
      <c r="B15" s="543">
        <v>13.5</v>
      </c>
      <c r="C15" s="543">
        <v>102.16</v>
      </c>
      <c r="D15" s="543">
        <v>60.010000000000005</v>
      </c>
      <c r="E15" s="543">
        <v>36.06</v>
      </c>
      <c r="F15" s="543">
        <v>13.5</v>
      </c>
      <c r="G15" s="543">
        <v>2.1</v>
      </c>
      <c r="H15" s="543">
        <v>1</v>
      </c>
      <c r="I15" s="543">
        <f t="shared" si="0"/>
        <v>228.33</v>
      </c>
    </row>
    <row r="16" spans="1:9">
      <c r="A16" s="544" t="s">
        <v>228</v>
      </c>
      <c r="B16" s="545">
        <v>10.32</v>
      </c>
      <c r="C16" s="545">
        <v>68.150000000000006</v>
      </c>
      <c r="D16" s="545">
        <v>35.75</v>
      </c>
      <c r="E16" s="545">
        <v>24.33</v>
      </c>
      <c r="F16" s="545">
        <v>9.6999999999999993</v>
      </c>
      <c r="G16" s="545">
        <v>1.8</v>
      </c>
      <c r="H16" s="545">
        <v>2</v>
      </c>
      <c r="I16" s="545">
        <f t="shared" si="0"/>
        <v>152.05000000000001</v>
      </c>
    </row>
    <row r="17" spans="1:9">
      <c r="A17" s="542" t="s">
        <v>459</v>
      </c>
      <c r="B17" s="543">
        <v>11.25</v>
      </c>
      <c r="C17" s="543">
        <v>93.67</v>
      </c>
      <c r="D17" s="543">
        <v>59.85</v>
      </c>
      <c r="E17" s="543">
        <v>52.24</v>
      </c>
      <c r="F17" s="543">
        <v>12.17</v>
      </c>
      <c r="G17" s="543">
        <v>2.7</v>
      </c>
      <c r="H17" s="543">
        <v>3</v>
      </c>
      <c r="I17" s="543">
        <f t="shared" si="0"/>
        <v>234.88</v>
      </c>
    </row>
    <row r="18" spans="1:9">
      <c r="A18" s="544" t="s">
        <v>460</v>
      </c>
      <c r="B18" s="545">
        <v>71.09</v>
      </c>
      <c r="C18" s="545">
        <v>503.73999999999995</v>
      </c>
      <c r="D18" s="545">
        <v>450.58000000000004</v>
      </c>
      <c r="E18" s="545">
        <v>276.17</v>
      </c>
      <c r="F18" s="545">
        <v>62.33</v>
      </c>
      <c r="G18" s="545">
        <v>10.98</v>
      </c>
      <c r="H18" s="545">
        <v>8</v>
      </c>
      <c r="I18" s="545">
        <f t="shared" si="0"/>
        <v>1382.8899999999999</v>
      </c>
    </row>
    <row r="19" spans="1:9">
      <c r="A19" s="542" t="s">
        <v>461</v>
      </c>
      <c r="B19" s="543">
        <v>20.25</v>
      </c>
      <c r="C19" s="543">
        <v>260.5</v>
      </c>
      <c r="D19" s="543">
        <v>151.97</v>
      </c>
      <c r="E19" s="543">
        <v>92.68</v>
      </c>
      <c r="F19" s="543">
        <v>18.8</v>
      </c>
      <c r="G19" s="543">
        <v>7.4</v>
      </c>
      <c r="H19" s="543">
        <v>7</v>
      </c>
      <c r="I19" s="543">
        <f t="shared" si="0"/>
        <v>558.6</v>
      </c>
    </row>
    <row r="20" spans="1:9">
      <c r="A20" s="544" t="s">
        <v>462</v>
      </c>
      <c r="B20" s="545">
        <v>41.103000000000009</v>
      </c>
      <c r="C20" s="545">
        <v>440.79290000000003</v>
      </c>
      <c r="D20" s="545">
        <v>214.05500000000001</v>
      </c>
      <c r="E20" s="545">
        <v>188.625</v>
      </c>
      <c r="F20" s="545">
        <v>63.224999999999994</v>
      </c>
      <c r="G20" s="545">
        <v>13.3</v>
      </c>
      <c r="H20" s="545">
        <v>10.33</v>
      </c>
      <c r="I20" s="545">
        <f t="shared" si="0"/>
        <v>971.43090000000007</v>
      </c>
    </row>
    <row r="21" spans="1:9">
      <c r="A21" s="542" t="s">
        <v>463</v>
      </c>
      <c r="B21" s="543">
        <v>24.9</v>
      </c>
      <c r="C21" s="543">
        <v>228.09999999999997</v>
      </c>
      <c r="D21" s="543">
        <v>96.84</v>
      </c>
      <c r="E21" s="543">
        <v>79.5</v>
      </c>
      <c r="F21" s="543">
        <v>23.75</v>
      </c>
      <c r="G21" s="543">
        <v>6.5</v>
      </c>
      <c r="H21" s="543">
        <v>7</v>
      </c>
      <c r="I21" s="543">
        <f t="shared" si="0"/>
        <v>466.59</v>
      </c>
    </row>
    <row r="22" spans="1:9">
      <c r="A22" s="544" t="s">
        <v>464</v>
      </c>
      <c r="B22" s="545">
        <v>12.1</v>
      </c>
      <c r="C22" s="545">
        <v>117.5</v>
      </c>
      <c r="D22" s="545">
        <v>60.5</v>
      </c>
      <c r="E22" s="545">
        <v>30</v>
      </c>
      <c r="F22" s="545">
        <v>18.5</v>
      </c>
      <c r="G22" s="545">
        <v>2</v>
      </c>
      <c r="H22" s="545">
        <v>2</v>
      </c>
      <c r="I22" s="545">
        <f t="shared" si="0"/>
        <v>242.6</v>
      </c>
    </row>
    <row r="23" spans="1:9">
      <c r="A23" s="542" t="s">
        <v>465</v>
      </c>
      <c r="B23" s="543">
        <v>11.85</v>
      </c>
      <c r="C23" s="543">
        <v>90.9</v>
      </c>
      <c r="D23" s="543">
        <v>83.7</v>
      </c>
      <c r="E23" s="543">
        <v>36.700000000000003</v>
      </c>
      <c r="F23" s="543">
        <v>11.350000000000001</v>
      </c>
      <c r="G23" s="543">
        <v>3</v>
      </c>
      <c r="H23" s="543">
        <v>2</v>
      </c>
      <c r="I23" s="543">
        <f t="shared" si="0"/>
        <v>239.49999999999997</v>
      </c>
    </row>
    <row r="24" spans="1:9">
      <c r="A24" s="544" t="s">
        <v>466</v>
      </c>
      <c r="B24" s="545">
        <v>30.7</v>
      </c>
      <c r="C24" s="545">
        <v>310.11</v>
      </c>
      <c r="D24" s="545">
        <v>194.06</v>
      </c>
      <c r="E24" s="545">
        <v>122.49</v>
      </c>
      <c r="F24" s="545">
        <v>32.5</v>
      </c>
      <c r="G24" s="545">
        <v>9.75</v>
      </c>
      <c r="H24" s="545">
        <v>9</v>
      </c>
      <c r="I24" s="545">
        <f t="shared" si="0"/>
        <v>708.61</v>
      </c>
    </row>
    <row r="25" spans="1:9">
      <c r="A25" s="542" t="s">
        <v>467</v>
      </c>
      <c r="B25" s="543">
        <v>83</v>
      </c>
      <c r="C25" s="543">
        <v>893.29</v>
      </c>
      <c r="D25" s="543">
        <v>520.29999999999995</v>
      </c>
      <c r="E25" s="543">
        <v>170.79</v>
      </c>
      <c r="F25" s="543">
        <v>122.60000000000001</v>
      </c>
      <c r="G25" s="543">
        <v>33.590000000000003</v>
      </c>
      <c r="H25" s="543">
        <v>16</v>
      </c>
      <c r="I25" s="543">
        <f t="shared" si="0"/>
        <v>1839.5699999999997</v>
      </c>
    </row>
    <row r="26" spans="1:9">
      <c r="A26" s="544" t="s">
        <v>468</v>
      </c>
      <c r="B26" s="545">
        <v>26.02</v>
      </c>
      <c r="C26" s="545">
        <v>214.18</v>
      </c>
      <c r="D26" s="545">
        <v>162.517</v>
      </c>
      <c r="E26" s="545">
        <v>116.125</v>
      </c>
      <c r="F26" s="545">
        <v>24.11</v>
      </c>
      <c r="G26" s="545">
        <v>6.3</v>
      </c>
      <c r="H26" s="545">
        <v>6</v>
      </c>
      <c r="I26" s="545">
        <f t="shared" si="0"/>
        <v>555.25199999999995</v>
      </c>
    </row>
    <row r="27" spans="1:9">
      <c r="A27" s="542" t="s">
        <v>469</v>
      </c>
      <c r="B27" s="543">
        <v>19.399999999999999</v>
      </c>
      <c r="C27" s="543">
        <v>227.93</v>
      </c>
      <c r="D27" s="543">
        <v>65</v>
      </c>
      <c r="E27" s="543">
        <v>38.375</v>
      </c>
      <c r="F27" s="543">
        <v>25</v>
      </c>
      <c r="G27" s="543">
        <v>9.8800000000000008</v>
      </c>
      <c r="H27" s="543">
        <v>6</v>
      </c>
      <c r="I27" s="543">
        <f t="shared" si="0"/>
        <v>391.58500000000004</v>
      </c>
    </row>
    <row r="28" spans="1:9">
      <c r="A28" s="544" t="s">
        <v>470</v>
      </c>
      <c r="B28" s="545">
        <v>14.250000000000002</v>
      </c>
      <c r="C28" s="545">
        <v>153.35</v>
      </c>
      <c r="D28" s="545">
        <v>92.394999999999996</v>
      </c>
      <c r="E28" s="545">
        <v>50.629999999999995</v>
      </c>
      <c r="F28" s="545">
        <v>16.190000000000001</v>
      </c>
      <c r="G28" s="545">
        <v>4.9000000000000004</v>
      </c>
      <c r="H28" s="545">
        <v>3.3</v>
      </c>
      <c r="I28" s="545">
        <f t="shared" si="0"/>
        <v>335.01499999999999</v>
      </c>
    </row>
    <row r="29" spans="1:9">
      <c r="A29" s="542" t="s">
        <v>471</v>
      </c>
      <c r="B29" s="543">
        <v>72.05</v>
      </c>
      <c r="C29" s="543">
        <v>816.26</v>
      </c>
      <c r="D29" s="543">
        <v>516.18000000000006</v>
      </c>
      <c r="E29" s="543">
        <v>173.57</v>
      </c>
      <c r="F29" s="543">
        <v>109.24</v>
      </c>
      <c r="G29" s="543">
        <v>28.35</v>
      </c>
      <c r="H29" s="543">
        <v>19</v>
      </c>
      <c r="I29" s="543">
        <f t="shared" si="0"/>
        <v>1734.6499999999999</v>
      </c>
    </row>
    <row r="30" spans="1:9">
      <c r="A30" s="544" t="s">
        <v>472</v>
      </c>
      <c r="B30" s="545">
        <v>10.33</v>
      </c>
      <c r="C30" s="545">
        <v>76.09</v>
      </c>
      <c r="D30" s="545">
        <v>43.07</v>
      </c>
      <c r="E30" s="545">
        <v>41</v>
      </c>
      <c r="F30" s="545">
        <v>8.9499999999999993</v>
      </c>
      <c r="G30" s="545">
        <v>2.2999999999999998</v>
      </c>
      <c r="H30" s="545">
        <v>2</v>
      </c>
      <c r="I30" s="545">
        <f t="shared" si="0"/>
        <v>183.74</v>
      </c>
    </row>
    <row r="31" spans="1:9">
      <c r="A31" s="542" t="s">
        <v>473</v>
      </c>
      <c r="B31" s="543">
        <v>19.34</v>
      </c>
      <c r="C31" s="543">
        <v>223.08</v>
      </c>
      <c r="D31" s="543">
        <v>144.28</v>
      </c>
      <c r="E31" s="543">
        <v>68.91</v>
      </c>
      <c r="F31" s="543">
        <v>21.259999999999998</v>
      </c>
      <c r="G31" s="543">
        <v>8.02</v>
      </c>
      <c r="H31" s="543">
        <v>6</v>
      </c>
      <c r="I31" s="543">
        <f t="shared" si="0"/>
        <v>490.89</v>
      </c>
    </row>
    <row r="32" spans="1:9">
      <c r="A32" s="544" t="s">
        <v>474</v>
      </c>
      <c r="B32" s="545">
        <v>15.175000000000001</v>
      </c>
      <c r="C32" s="545">
        <v>152.25</v>
      </c>
      <c r="D32" s="545">
        <v>103.50000000000001</v>
      </c>
      <c r="E32" s="545">
        <v>62.07</v>
      </c>
      <c r="F32" s="545">
        <v>19.040000000000003</v>
      </c>
      <c r="G32" s="545">
        <v>3.2</v>
      </c>
      <c r="H32" s="545">
        <v>5</v>
      </c>
      <c r="I32" s="545">
        <f t="shared" si="0"/>
        <v>360.23500000000001</v>
      </c>
    </row>
    <row r="33" spans="1:9">
      <c r="A33" s="542" t="s">
        <v>475</v>
      </c>
      <c r="B33" s="543">
        <v>17.98</v>
      </c>
      <c r="C33" s="543">
        <v>137.04</v>
      </c>
      <c r="D33" s="543">
        <v>89.72999999999999</v>
      </c>
      <c r="E33" s="543">
        <v>100.94799999999999</v>
      </c>
      <c r="F33" s="543">
        <v>19.11</v>
      </c>
      <c r="G33" s="543">
        <v>5.0999999999999996</v>
      </c>
      <c r="H33" s="543">
        <v>4</v>
      </c>
      <c r="I33" s="543">
        <f t="shared" si="0"/>
        <v>373.90800000000002</v>
      </c>
    </row>
    <row r="34" spans="1:9">
      <c r="A34" s="544" t="s">
        <v>476</v>
      </c>
      <c r="B34" s="545">
        <v>16.350000000000001</v>
      </c>
      <c r="C34" s="545">
        <v>133.22999999999999</v>
      </c>
      <c r="D34" s="545">
        <v>72.44</v>
      </c>
      <c r="E34" s="545">
        <v>79.42</v>
      </c>
      <c r="F34" s="545">
        <v>19.5</v>
      </c>
      <c r="G34" s="545">
        <v>4.6000000000000005</v>
      </c>
      <c r="H34" s="545">
        <v>3</v>
      </c>
      <c r="I34" s="545">
        <f t="shared" si="0"/>
        <v>328.54</v>
      </c>
    </row>
    <row r="35" spans="1:9">
      <c r="A35" s="542" t="s">
        <v>477</v>
      </c>
      <c r="B35" s="543">
        <v>93.46</v>
      </c>
      <c r="C35" s="543">
        <v>1039.1399999999999</v>
      </c>
      <c r="D35" s="543">
        <v>464.29999999999995</v>
      </c>
      <c r="E35" s="543">
        <v>267</v>
      </c>
      <c r="F35" s="543">
        <v>121.57</v>
      </c>
      <c r="G35" s="543">
        <v>28.12</v>
      </c>
      <c r="H35" s="543">
        <v>17</v>
      </c>
      <c r="I35" s="543">
        <f t="shared" si="0"/>
        <v>2030.5899999999997</v>
      </c>
    </row>
    <row r="36" spans="1:9">
      <c r="A36" s="544" t="s">
        <v>478</v>
      </c>
      <c r="B36" s="545">
        <v>13.23</v>
      </c>
      <c r="C36" s="545">
        <v>121.08</v>
      </c>
      <c r="D36" s="545">
        <v>79.3</v>
      </c>
      <c r="E36" s="545">
        <v>64.8</v>
      </c>
      <c r="F36" s="545">
        <v>14.81</v>
      </c>
      <c r="G36" s="545">
        <v>2.5</v>
      </c>
      <c r="H36" s="545">
        <v>2.4</v>
      </c>
      <c r="I36" s="545">
        <f t="shared" si="0"/>
        <v>298.12</v>
      </c>
    </row>
    <row r="37" spans="1:9">
      <c r="A37" s="542" t="s">
        <v>479</v>
      </c>
      <c r="B37" s="543">
        <v>27.75</v>
      </c>
      <c r="C37" s="543">
        <v>238.58</v>
      </c>
      <c r="D37" s="543">
        <v>146.65</v>
      </c>
      <c r="E37" s="543">
        <v>106</v>
      </c>
      <c r="F37" s="543">
        <v>28.25</v>
      </c>
      <c r="G37" s="543">
        <v>8</v>
      </c>
      <c r="H37" s="543">
        <v>4</v>
      </c>
      <c r="I37" s="543">
        <f t="shared" si="0"/>
        <v>559.23</v>
      </c>
    </row>
    <row r="38" spans="1:9">
      <c r="A38" s="544" t="s">
        <v>480</v>
      </c>
      <c r="B38" s="545">
        <v>67.5</v>
      </c>
      <c r="C38" s="545">
        <v>672.58</v>
      </c>
      <c r="D38" s="545">
        <v>314.93000000000006</v>
      </c>
      <c r="E38" s="545">
        <v>131.21</v>
      </c>
      <c r="F38" s="545">
        <v>69.87</v>
      </c>
      <c r="G38" s="545">
        <v>18.7</v>
      </c>
      <c r="H38" s="545">
        <v>8</v>
      </c>
      <c r="I38" s="545">
        <f t="shared" si="0"/>
        <v>1282.7900000000002</v>
      </c>
    </row>
    <row r="39" spans="1:9">
      <c r="A39" s="542" t="s">
        <v>481</v>
      </c>
      <c r="B39" s="543">
        <v>11.41</v>
      </c>
      <c r="C39" s="543">
        <v>113.34</v>
      </c>
      <c r="D39" s="543">
        <v>68.75</v>
      </c>
      <c r="E39" s="543">
        <v>57.57</v>
      </c>
      <c r="F39" s="543">
        <v>13.3</v>
      </c>
      <c r="G39" s="543">
        <v>3</v>
      </c>
      <c r="H39" s="543">
        <v>5</v>
      </c>
      <c r="I39" s="543">
        <f t="shared" si="0"/>
        <v>272.37</v>
      </c>
    </row>
    <row r="40" spans="1:9">
      <c r="A40" s="544" t="s">
        <v>482</v>
      </c>
      <c r="B40" s="545">
        <v>59.8</v>
      </c>
      <c r="C40" s="545">
        <v>542.73</v>
      </c>
      <c r="D40" s="545">
        <v>300.2</v>
      </c>
      <c r="E40" s="545">
        <v>102.14</v>
      </c>
      <c r="F40" s="545">
        <v>93.16</v>
      </c>
      <c r="G40" s="545">
        <v>21.17</v>
      </c>
      <c r="H40" s="545">
        <v>11</v>
      </c>
      <c r="I40" s="545">
        <f t="shared" si="0"/>
        <v>1130.2</v>
      </c>
    </row>
    <row r="41" spans="1:9">
      <c r="A41" s="542" t="s">
        <v>483</v>
      </c>
      <c r="B41" s="543">
        <v>29.88</v>
      </c>
      <c r="C41" s="543">
        <v>336.29999999999995</v>
      </c>
      <c r="D41" s="543">
        <v>175.32666666666668</v>
      </c>
      <c r="E41" s="543">
        <v>145.63</v>
      </c>
      <c r="F41" s="543">
        <v>42.55</v>
      </c>
      <c r="G41" s="543">
        <v>13.379999999999999</v>
      </c>
      <c r="H41" s="543">
        <v>8.5</v>
      </c>
      <c r="I41" s="543">
        <f t="shared" si="0"/>
        <v>751.56666666666661</v>
      </c>
    </row>
    <row r="42" spans="1:9">
      <c r="A42" s="544" t="s">
        <v>484</v>
      </c>
      <c r="B42" s="545">
        <v>11.31</v>
      </c>
      <c r="C42" s="545">
        <v>111.85000000000001</v>
      </c>
      <c r="D42" s="545">
        <v>90.06</v>
      </c>
      <c r="E42" s="545">
        <v>60.910000000000011</v>
      </c>
      <c r="F42" s="545">
        <v>19.490000000000002</v>
      </c>
      <c r="G42" s="545">
        <v>3.4</v>
      </c>
      <c r="H42" s="545">
        <v>3</v>
      </c>
      <c r="I42" s="545">
        <f t="shared" si="0"/>
        <v>300.02000000000004</v>
      </c>
    </row>
    <row r="43" spans="1:9">
      <c r="A43" s="542" t="s">
        <v>485</v>
      </c>
      <c r="B43" s="543">
        <v>6.81</v>
      </c>
      <c r="C43" s="543">
        <v>71.738000000000014</v>
      </c>
      <c r="D43" s="543">
        <v>42.87</v>
      </c>
      <c r="E43" s="543">
        <v>34.97</v>
      </c>
      <c r="F43" s="543">
        <v>6.82</v>
      </c>
      <c r="G43" s="543">
        <v>3</v>
      </c>
      <c r="H43" s="543">
        <v>1</v>
      </c>
      <c r="I43" s="543">
        <f t="shared" si="0"/>
        <v>167.208</v>
      </c>
    </row>
    <row r="44" spans="1:9">
      <c r="A44" s="544" t="s">
        <v>486</v>
      </c>
      <c r="B44" s="545">
        <v>5.15</v>
      </c>
      <c r="C44" s="545">
        <v>56.870000000000005</v>
      </c>
      <c r="D44" s="545">
        <v>56</v>
      </c>
      <c r="E44" s="545">
        <v>34.130000000000003</v>
      </c>
      <c r="F44" s="545">
        <v>7.01</v>
      </c>
      <c r="G44" s="545">
        <v>3</v>
      </c>
      <c r="H44" s="545">
        <v>2</v>
      </c>
      <c r="I44" s="545">
        <f t="shared" si="0"/>
        <v>164.16</v>
      </c>
    </row>
    <row r="45" spans="1:9">
      <c r="A45" s="542" t="s">
        <v>487</v>
      </c>
      <c r="B45" s="543">
        <v>10.7</v>
      </c>
      <c r="C45" s="543">
        <v>105.11</v>
      </c>
      <c r="D45" s="543">
        <v>85.05</v>
      </c>
      <c r="E45" s="543">
        <v>35.230000000000004</v>
      </c>
      <c r="F45" s="543">
        <v>10.15</v>
      </c>
      <c r="G45" s="543">
        <v>2.2000000000000002</v>
      </c>
      <c r="H45" s="543">
        <v>3</v>
      </c>
      <c r="I45" s="543">
        <f t="shared" si="0"/>
        <v>251.44000000000003</v>
      </c>
    </row>
    <row r="46" spans="1:9">
      <c r="A46" s="544" t="s">
        <v>488</v>
      </c>
      <c r="B46" s="545">
        <v>138.30000000000001</v>
      </c>
      <c r="C46" s="545">
        <v>2127.46</v>
      </c>
      <c r="D46" s="545">
        <v>1134.7499999999998</v>
      </c>
      <c r="E46" s="545">
        <v>577.57999999999993</v>
      </c>
      <c r="F46" s="545">
        <v>280</v>
      </c>
      <c r="G46" s="545">
        <v>85.49</v>
      </c>
      <c r="H46" s="545">
        <v>17</v>
      </c>
      <c r="I46" s="545">
        <f t="shared" si="0"/>
        <v>4360.58</v>
      </c>
    </row>
    <row r="47" spans="1:9" ht="6" customHeight="1">
      <c r="A47" s="544"/>
      <c r="B47" s="545"/>
      <c r="C47" s="545"/>
      <c r="D47" s="545"/>
      <c r="E47" s="545"/>
      <c r="F47" s="545"/>
      <c r="G47" s="545"/>
      <c r="H47" s="545"/>
      <c r="I47" s="545"/>
    </row>
    <row r="48" spans="1:9">
      <c r="A48" s="546" t="s">
        <v>320</v>
      </c>
      <c r="B48" s="547">
        <f t="shared" ref="B48:I48" si="1">SUM(B11:B46)</f>
        <v>1138.518</v>
      </c>
      <c r="C48" s="547">
        <f t="shared" si="1"/>
        <v>12000.5759</v>
      </c>
      <c r="D48" s="547">
        <f t="shared" si="1"/>
        <v>6849.7036666666672</v>
      </c>
      <c r="E48" s="547">
        <f t="shared" si="1"/>
        <v>3760.8230000000003</v>
      </c>
      <c r="F48" s="547">
        <f t="shared" si="1"/>
        <v>1485.1000000000001</v>
      </c>
      <c r="G48" s="547">
        <f t="shared" si="1"/>
        <v>390.78</v>
      </c>
      <c r="H48" s="547">
        <f t="shared" si="1"/>
        <v>223.39000000000001</v>
      </c>
      <c r="I48" s="547">
        <f t="shared" si="1"/>
        <v>25848.890566666661</v>
      </c>
    </row>
    <row r="49" spans="1:9" ht="6" customHeight="1">
      <c r="B49" s="548"/>
      <c r="C49" s="548"/>
      <c r="D49" s="548"/>
      <c r="E49" s="548"/>
      <c r="F49" s="548"/>
      <c r="G49" s="548"/>
      <c r="H49" s="548"/>
      <c r="I49" s="548"/>
    </row>
    <row r="50" spans="1:9">
      <c r="A50" s="544" t="s">
        <v>489</v>
      </c>
      <c r="B50" s="545">
        <v>2.25</v>
      </c>
      <c r="C50" s="545">
        <v>19.55</v>
      </c>
      <c r="D50" s="545">
        <v>7.5</v>
      </c>
      <c r="E50" s="545">
        <v>3.75</v>
      </c>
      <c r="F50" s="545">
        <v>3.5</v>
      </c>
      <c r="G50" s="545">
        <v>0.5</v>
      </c>
      <c r="H50" s="545">
        <v>0</v>
      </c>
      <c r="I50" s="545">
        <f>SUM(B50:H50)</f>
        <v>37.049999999999997</v>
      </c>
    </row>
    <row r="51" spans="1:9">
      <c r="A51" s="542" t="s">
        <v>490</v>
      </c>
      <c r="B51" s="543">
        <v>11.2</v>
      </c>
      <c r="C51" s="543">
        <v>94.35</v>
      </c>
      <c r="D51" s="543">
        <v>5.5</v>
      </c>
      <c r="E51" s="543">
        <v>27.25</v>
      </c>
      <c r="F51" s="543">
        <v>19.2</v>
      </c>
      <c r="G51" s="543">
        <v>0</v>
      </c>
      <c r="H51" s="543">
        <v>4.4000000000000004</v>
      </c>
      <c r="I51" s="543">
        <f>SUM(B51:H51)</f>
        <v>161.9</v>
      </c>
    </row>
    <row r="52" spans="1:9" ht="49.5" customHeight="1">
      <c r="A52" s="549"/>
      <c r="B52" s="549"/>
      <c r="C52" s="550">
        <v>0</v>
      </c>
      <c r="D52" s="549"/>
      <c r="E52" s="549"/>
      <c r="F52" s="549"/>
      <c r="G52" s="549"/>
      <c r="H52" s="549"/>
      <c r="I52" s="549"/>
    </row>
    <row r="53" spans="1:9">
      <c r="A53" s="308" t="s">
        <v>565</v>
      </c>
      <c r="B53" s="534"/>
      <c r="C53" s="551"/>
    </row>
    <row r="54" spans="1:9">
      <c r="A54" s="308" t="s">
        <v>599</v>
      </c>
      <c r="B54" s="534"/>
      <c r="C54" s="551"/>
    </row>
    <row r="55" spans="1:9">
      <c r="A55" s="308" t="s">
        <v>536</v>
      </c>
      <c r="B55" s="534"/>
      <c r="C55" s="551"/>
    </row>
  </sheetData>
  <mergeCells count="9">
    <mergeCell ref="I8:I9"/>
    <mergeCell ref="B7:H7"/>
    <mergeCell ref="A2:H2"/>
    <mergeCell ref="A3:H3"/>
    <mergeCell ref="B8:B9"/>
    <mergeCell ref="E8:E9"/>
    <mergeCell ref="F8:F9"/>
    <mergeCell ref="G8:G9"/>
    <mergeCell ref="H8:H9"/>
  </mergeCells>
  <phoneticPr fontId="20" type="noConversion"/>
  <printOptions horizontalCentered="1"/>
  <pageMargins left="0.51180000000000003" right="0.51180000000000003" top="0.59055118110236204" bottom="0" header="0.31496062992126" footer="0"/>
  <pageSetup scale="85" orientation="portrait" r:id="rId1"/>
  <headerFooter alignWithMargins="0">
    <oddHeader>&amp;C&amp;"Arial,Bold"&amp;10&amp;A</oddHeader>
  </headerFooter>
</worksheet>
</file>

<file path=xl/worksheets/sheet53.xml><?xml version="1.0" encoding="utf-8"?>
<worksheet xmlns="http://schemas.openxmlformats.org/spreadsheetml/2006/main" xmlns:r="http://schemas.openxmlformats.org/officeDocument/2006/relationships">
  <sheetPr codeName="Sheet26"/>
  <dimension ref="A1:I57"/>
  <sheetViews>
    <sheetView showGridLines="0" workbookViewId="0"/>
  </sheetViews>
  <sheetFormatPr defaultColWidth="19.83203125" defaultRowHeight="12"/>
  <cols>
    <col min="1" max="1" width="30.83203125" style="557" customWidth="1"/>
    <col min="2" max="2" width="17" style="557" customWidth="1"/>
    <col min="3" max="3" width="12" style="557" customWidth="1"/>
    <col min="4" max="4" width="16.83203125" style="557" customWidth="1"/>
    <col min="5" max="5" width="11.5" style="557" customWidth="1"/>
    <col min="6" max="6" width="13.33203125" style="557" customWidth="1"/>
    <col min="7" max="7" width="12.5" style="557" customWidth="1"/>
    <col min="8" max="8" width="19.83203125" style="557"/>
    <col min="9" max="9" width="19.83203125" style="590"/>
    <col min="10" max="16384" width="19.83203125" style="557"/>
  </cols>
  <sheetData>
    <row r="1" spans="1:9" ht="6.95" customHeight="1">
      <c r="A1" s="555"/>
      <c r="B1" s="556"/>
      <c r="C1" s="556"/>
    </row>
    <row r="2" spans="1:9" ht="15.95" customHeight="1">
      <c r="A2" s="558" t="s">
        <v>517</v>
      </c>
      <c r="B2" s="559"/>
      <c r="C2" s="559"/>
      <c r="D2" s="559"/>
      <c r="E2" s="559"/>
      <c r="F2" s="559"/>
      <c r="G2" s="559"/>
    </row>
    <row r="3" spans="1:9" ht="15.95" customHeight="1">
      <c r="A3" s="586" t="str">
        <f>+'- 61 -'!A3</f>
        <v>2011/12 AND 2012/13 BUDGET</v>
      </c>
      <c r="B3" s="560"/>
      <c r="C3" s="560"/>
      <c r="D3" s="560"/>
      <c r="E3" s="560"/>
      <c r="F3" s="560"/>
      <c r="G3" s="560"/>
    </row>
    <row r="4" spans="1:9" ht="15.95" customHeight="1">
      <c r="B4" s="556"/>
      <c r="C4" s="556"/>
    </row>
    <row r="5" spans="1:9" ht="12" customHeight="1">
      <c r="B5" s="556"/>
      <c r="C5" s="556"/>
    </row>
    <row r="6" spans="1:9" ht="15.75" customHeight="1">
      <c r="B6" s="561" t="s">
        <v>518</v>
      </c>
      <c r="C6" s="562"/>
      <c r="D6" s="563"/>
      <c r="E6" s="562"/>
      <c r="F6" s="561" t="s">
        <v>518</v>
      </c>
      <c r="G6" s="563"/>
    </row>
    <row r="7" spans="1:9">
      <c r="B7" s="564" t="s">
        <v>519</v>
      </c>
      <c r="C7" s="565"/>
      <c r="D7" s="566"/>
      <c r="E7" s="565"/>
      <c r="F7" s="564" t="s">
        <v>519</v>
      </c>
      <c r="G7" s="566"/>
    </row>
    <row r="8" spans="1:9" ht="13.5">
      <c r="A8" s="567"/>
      <c r="B8" s="568" t="s">
        <v>566</v>
      </c>
      <c r="C8" s="569"/>
      <c r="D8" s="570"/>
      <c r="E8" s="569"/>
      <c r="F8" s="568" t="s">
        <v>520</v>
      </c>
      <c r="G8" s="570"/>
    </row>
    <row r="9" spans="1:9" ht="25.5" customHeight="1">
      <c r="A9" s="571" t="s">
        <v>79</v>
      </c>
      <c r="B9" s="572" t="str">
        <f>+'- 61 -'!B9</f>
        <v>2011/12</v>
      </c>
      <c r="C9" s="587" t="s">
        <v>521</v>
      </c>
      <c r="D9" s="572" t="str">
        <f>+'- 61 -'!C9</f>
        <v>2012/13</v>
      </c>
      <c r="E9" s="587" t="s">
        <v>521</v>
      </c>
      <c r="F9" s="572" t="str">
        <f>+B9</f>
        <v>2011/12</v>
      </c>
      <c r="G9" s="572" t="str">
        <f>+D9</f>
        <v>2012/13</v>
      </c>
    </row>
    <row r="10" spans="1:9" ht="5.0999999999999996" customHeight="1">
      <c r="A10" s="573"/>
      <c r="B10" s="574"/>
      <c r="C10" s="574"/>
      <c r="D10" s="555"/>
      <c r="E10" s="555"/>
      <c r="F10" s="555"/>
    </row>
    <row r="11" spans="1:9" ht="14.1" customHeight="1">
      <c r="A11" s="575" t="s">
        <v>224</v>
      </c>
      <c r="B11" s="576">
        <v>11048221</v>
      </c>
      <c r="C11" s="577">
        <v>76.376820541082452</v>
      </c>
      <c r="D11" s="576">
        <v>12096786</v>
      </c>
      <c r="E11" s="577">
        <f>+D11/'- 3 -'!F11*100</f>
        <v>76.341175423727208</v>
      </c>
      <c r="F11" s="576">
        <v>7510.6872875594836</v>
      </c>
      <c r="G11" s="576">
        <f>+D11/'- 7 -'!F11</f>
        <v>8179.0304259634886</v>
      </c>
      <c r="I11" s="591" t="str">
        <f>IF(+D11-'- 15 -'!B11-'- 15 -'!E11-'- 16 -'!G11=0,"","Ckeck")</f>
        <v/>
      </c>
    </row>
    <row r="12" spans="1:9" ht="14.1" customHeight="1">
      <c r="A12" s="578" t="s">
        <v>225</v>
      </c>
      <c r="B12" s="579">
        <v>20660502</v>
      </c>
      <c r="C12" s="580">
        <v>76.072068175117764</v>
      </c>
      <c r="D12" s="579">
        <v>22398581</v>
      </c>
      <c r="E12" s="580">
        <f>+D12/'- 3 -'!F12*100</f>
        <v>76.173246893439497</v>
      </c>
      <c r="F12" s="579">
        <v>8626.5144050104391</v>
      </c>
      <c r="G12" s="579">
        <f>+D12/'- 7 -'!F12</f>
        <v>9697.1110302967318</v>
      </c>
      <c r="I12" s="591" t="str">
        <f>IF(+D12-'- 15 -'!B12-'- 15 -'!E12-'- 16 -'!G12=0,"","Ckeck")</f>
        <v/>
      </c>
    </row>
    <row r="13" spans="1:9" ht="14.1" customHeight="1">
      <c r="A13" s="575" t="s">
        <v>226</v>
      </c>
      <c r="B13" s="576">
        <v>55889200</v>
      </c>
      <c r="C13" s="577">
        <v>83.074622561719721</v>
      </c>
      <c r="D13" s="576">
        <v>65730600</v>
      </c>
      <c r="E13" s="577">
        <f>+D13/'- 3 -'!F13*100</f>
        <v>84.129568335931566</v>
      </c>
      <c r="F13" s="576">
        <v>7713.110681755451</v>
      </c>
      <c r="G13" s="576">
        <f>+D13/'- 7 -'!F13</f>
        <v>8505.5124223602488</v>
      </c>
      <c r="I13" s="591" t="str">
        <f>IF(+D13-'- 15 -'!B13-'- 15 -'!E13-'- 16 -'!G13=0,"","Ckeck")</f>
        <v/>
      </c>
    </row>
    <row r="14" spans="1:9" ht="14.1" customHeight="1">
      <c r="A14" s="578" t="s">
        <v>524</v>
      </c>
      <c r="B14" s="579">
        <v>47056774</v>
      </c>
      <c r="C14" s="580">
        <v>73.176127918774597</v>
      </c>
      <c r="D14" s="579">
        <v>51276580</v>
      </c>
      <c r="E14" s="580">
        <f>+D14/'- 3 -'!F14*100</f>
        <v>72.70615910450438</v>
      </c>
      <c r="F14" s="579">
        <v>9754.720978441128</v>
      </c>
      <c r="G14" s="579">
        <f>+D14/'- 7 -'!F14</f>
        <v>10173.924603174602</v>
      </c>
      <c r="I14" s="591" t="str">
        <f>IF(+D14-'- 15 -'!B14-'- 15 -'!E14-'- 16 -'!G14=0,"","Ckeck")</f>
        <v/>
      </c>
    </row>
    <row r="15" spans="1:9" ht="14.1" customHeight="1">
      <c r="A15" s="575" t="s">
        <v>227</v>
      </c>
      <c r="B15" s="576">
        <v>13017606</v>
      </c>
      <c r="C15" s="577">
        <v>74.55897301843423</v>
      </c>
      <c r="D15" s="576">
        <v>13966323</v>
      </c>
      <c r="E15" s="577">
        <f>+D15/'- 3 -'!F15*100</f>
        <v>74.845183216138793</v>
      </c>
      <c r="F15" s="576">
        <v>8283.5545657015591</v>
      </c>
      <c r="G15" s="576">
        <f>+D15/'- 7 -'!F15</f>
        <v>9348.2751004016063</v>
      </c>
      <c r="I15" s="591" t="str">
        <f>IF(+D15-'- 15 -'!B15-'- 15 -'!E15-'- 16 -'!G15=0,"","Ckeck")</f>
        <v/>
      </c>
    </row>
    <row r="16" spans="1:9" ht="14.1" customHeight="1">
      <c r="A16" s="578" t="s">
        <v>228</v>
      </c>
      <c r="B16" s="579">
        <v>8863360</v>
      </c>
      <c r="C16" s="580">
        <v>73.50993745481496</v>
      </c>
      <c r="D16" s="579">
        <v>9341174</v>
      </c>
      <c r="E16" s="580">
        <f>+D16/'- 3 -'!F16*100</f>
        <v>74.425782440144971</v>
      </c>
      <c r="F16" s="579">
        <v>8689.5686274509808</v>
      </c>
      <c r="G16" s="579">
        <f>+D16/'- 7 -'!F16</f>
        <v>9440.2971197574534</v>
      </c>
      <c r="I16" s="591" t="str">
        <f>IF(+D16-'- 15 -'!B16-'- 15 -'!E16-'- 16 -'!G16=0,"","Ckeck")</f>
        <v/>
      </c>
    </row>
    <row r="17" spans="1:9" ht="14.1" customHeight="1">
      <c r="A17" s="575" t="s">
        <v>229</v>
      </c>
      <c r="B17" s="576">
        <v>11369864</v>
      </c>
      <c r="C17" s="577">
        <v>73.157432108672708</v>
      </c>
      <c r="D17" s="576">
        <v>11812973</v>
      </c>
      <c r="E17" s="577">
        <f>+D17/'- 3 -'!F17*100</f>
        <v>73.488157946960257</v>
      </c>
      <c r="F17" s="576">
        <v>8437.74693877551</v>
      </c>
      <c r="G17" s="576">
        <f>+D17/'- 7 -'!F17</f>
        <v>9189.3994554647998</v>
      </c>
      <c r="I17" s="591" t="str">
        <f>IF(+D17-'- 15 -'!B17-'- 15 -'!E17-'- 16 -'!G17=0,"","Ckeck")</f>
        <v/>
      </c>
    </row>
    <row r="18" spans="1:9" ht="14.1" customHeight="1">
      <c r="A18" s="578" t="s">
        <v>230</v>
      </c>
      <c r="B18" s="579">
        <v>69782482</v>
      </c>
      <c r="C18" s="580">
        <v>67.390757725911882</v>
      </c>
      <c r="D18" s="579">
        <v>74012977</v>
      </c>
      <c r="E18" s="580">
        <f>+D18/'- 3 -'!F18*100</f>
        <v>66.784887977300656</v>
      </c>
      <c r="F18" s="579">
        <v>11500.648021490846</v>
      </c>
      <c r="G18" s="579">
        <f>+D18/'- 7 -'!F18</f>
        <v>11704.432197359058</v>
      </c>
      <c r="I18" s="591" t="str">
        <f>IF(+D18-'- 15 -'!B18-'- 15 -'!E18-'- 16 -'!G18=0,"","Ckeck")</f>
        <v/>
      </c>
    </row>
    <row r="19" spans="1:9" ht="14.1" customHeight="1">
      <c r="A19" s="575" t="s">
        <v>231</v>
      </c>
      <c r="B19" s="576">
        <v>28997640</v>
      </c>
      <c r="C19" s="577">
        <v>81.129095569179512</v>
      </c>
      <c r="D19" s="576">
        <v>31263990</v>
      </c>
      <c r="E19" s="577">
        <f>+D19/'- 3 -'!F19*100</f>
        <v>80.150852032491557</v>
      </c>
      <c r="F19" s="576">
        <v>6999.1889934829833</v>
      </c>
      <c r="G19" s="576">
        <f>+D19/'- 7 -'!F19</f>
        <v>7420.8378827438883</v>
      </c>
      <c r="I19" s="591" t="str">
        <f>IF(+D19-'- 15 -'!B19-'- 15 -'!E19-'- 16 -'!G19=0,"","Ckeck")</f>
        <v/>
      </c>
    </row>
    <row r="20" spans="1:9" ht="14.1" customHeight="1">
      <c r="A20" s="578" t="s">
        <v>232</v>
      </c>
      <c r="B20" s="579">
        <v>48168700</v>
      </c>
      <c r="C20" s="580">
        <v>78.693781928858371</v>
      </c>
      <c r="D20" s="579">
        <v>53340900</v>
      </c>
      <c r="E20" s="580">
        <f>+D20/'- 3 -'!F20*100</f>
        <v>78.972895905293356</v>
      </c>
      <c r="F20" s="579">
        <v>6637.6414171340384</v>
      </c>
      <c r="G20" s="579">
        <f>+D20/'- 7 -'!F20</f>
        <v>7183.9595959595963</v>
      </c>
      <c r="I20" s="591" t="str">
        <f>IF(+D20-'- 15 -'!B20-'- 15 -'!E20-'- 16 -'!G20=0,"","Ckeck")</f>
        <v/>
      </c>
    </row>
    <row r="21" spans="1:9" ht="14.1" customHeight="1">
      <c r="A21" s="575" t="s">
        <v>233</v>
      </c>
      <c r="B21" s="576">
        <v>23479730</v>
      </c>
      <c r="C21" s="577">
        <v>76.844577436693314</v>
      </c>
      <c r="D21" s="576">
        <v>24928760</v>
      </c>
      <c r="E21" s="577">
        <f>+D21/'- 3 -'!F21*100</f>
        <v>77.051533441967081</v>
      </c>
      <c r="F21" s="576">
        <v>8063.0940934065939</v>
      </c>
      <c r="G21" s="576">
        <f>+D21/'- 7 -'!F21</f>
        <v>8935.0394265232972</v>
      </c>
      <c r="I21" s="591" t="str">
        <f>IF(+D21-'- 15 -'!B21-'- 15 -'!E21-'- 16 -'!G21=0,"","Ckeck")</f>
        <v/>
      </c>
    </row>
    <row r="22" spans="1:9" ht="14.1" customHeight="1">
      <c r="A22" s="578" t="s">
        <v>234</v>
      </c>
      <c r="B22" s="579">
        <v>12892936</v>
      </c>
      <c r="C22" s="580">
        <v>76.094193664904125</v>
      </c>
      <c r="D22" s="579">
        <v>14155840</v>
      </c>
      <c r="E22" s="580">
        <f>+D22/'- 3 -'!F22*100</f>
        <v>77.426772321092827</v>
      </c>
      <c r="F22" s="579">
        <v>8054.5611295058407</v>
      </c>
      <c r="G22" s="579">
        <f>+D22/'- 7 -'!F22</f>
        <v>8767.9405388665218</v>
      </c>
      <c r="I22" s="591" t="str">
        <f>IF(+D22-'- 15 -'!B22-'- 15 -'!E22-'- 16 -'!G22=0,"","Ckeck")</f>
        <v/>
      </c>
    </row>
    <row r="23" spans="1:9" ht="14.1" customHeight="1">
      <c r="A23" s="575" t="s">
        <v>235</v>
      </c>
      <c r="B23" s="576">
        <v>10833995</v>
      </c>
      <c r="C23" s="577">
        <v>76.039801246438486</v>
      </c>
      <c r="D23" s="576">
        <v>11353140</v>
      </c>
      <c r="E23" s="577">
        <f>+D23/'- 3 -'!F23*100</f>
        <v>75.426222995247144</v>
      </c>
      <c r="F23" s="576">
        <v>8483.94283476899</v>
      </c>
      <c r="G23" s="576">
        <f>+D23/'- 7 -'!F23</f>
        <v>9496.5621079046432</v>
      </c>
      <c r="I23" s="591" t="str">
        <f>IF(+D23-'- 15 -'!B23-'- 15 -'!E23-'- 16 -'!G23=0,"","Ckeck")</f>
        <v/>
      </c>
    </row>
    <row r="24" spans="1:9" ht="14.1" customHeight="1">
      <c r="A24" s="578" t="s">
        <v>236</v>
      </c>
      <c r="B24" s="579">
        <v>36675694</v>
      </c>
      <c r="C24" s="580">
        <v>78.388978908345493</v>
      </c>
      <c r="D24" s="579">
        <v>39673635</v>
      </c>
      <c r="E24" s="580">
        <f>+D24/'- 3 -'!F24*100</f>
        <v>78.904403255845907</v>
      </c>
      <c r="F24" s="579">
        <v>8392.6073226544631</v>
      </c>
      <c r="G24" s="579">
        <f>+D24/'- 7 -'!F24</f>
        <v>9286.8995786516862</v>
      </c>
      <c r="I24" s="591" t="str">
        <f>IF(+D24-'- 15 -'!B24-'- 15 -'!E24-'- 16 -'!G24=0,"","Ckeck")</f>
        <v/>
      </c>
    </row>
    <row r="25" spans="1:9" ht="14.1" customHeight="1">
      <c r="A25" s="575" t="s">
        <v>237</v>
      </c>
      <c r="B25" s="576">
        <v>114661136</v>
      </c>
      <c r="C25" s="577">
        <v>81.704608316577378</v>
      </c>
      <c r="D25" s="576">
        <v>122283116</v>
      </c>
      <c r="E25" s="577">
        <f>+D25/'- 3 -'!F25*100</f>
        <v>81.980154563783202</v>
      </c>
      <c r="F25" s="576">
        <v>8428.4869156130553</v>
      </c>
      <c r="G25" s="576">
        <f>+D25/'- 7 -'!F25</f>
        <v>8996.6977633902297</v>
      </c>
      <c r="I25" s="591" t="str">
        <f>IF(+D25-'- 15 -'!B25-'- 15 -'!E25-'- 16 -'!G25=0,"","Ckeck")</f>
        <v/>
      </c>
    </row>
    <row r="26" spans="1:9" ht="14.1" customHeight="1">
      <c r="A26" s="578" t="s">
        <v>238</v>
      </c>
      <c r="B26" s="579">
        <v>26011534</v>
      </c>
      <c r="C26" s="580">
        <v>75.264402343874778</v>
      </c>
      <c r="D26" s="579">
        <v>27663860</v>
      </c>
      <c r="E26" s="580">
        <f>+D26/'- 3 -'!F26*100</f>
        <v>75.429974023098637</v>
      </c>
      <c r="F26" s="579">
        <v>8488.0189264154014</v>
      </c>
      <c r="G26" s="579">
        <f>+D26/'- 7 -'!F26</f>
        <v>9255.2224824355981</v>
      </c>
      <c r="I26" s="591" t="str">
        <f>IF(+D26-'- 15 -'!B26-'- 15 -'!E26-'- 16 -'!G26=0,"","Ckeck")</f>
        <v/>
      </c>
    </row>
    <row r="27" spans="1:9" ht="14.1" customHeight="1">
      <c r="A27" s="575" t="s">
        <v>239</v>
      </c>
      <c r="B27" s="576">
        <v>29224346</v>
      </c>
      <c r="C27" s="577">
        <v>79.199001449651945</v>
      </c>
      <c r="D27" s="576">
        <v>30283586</v>
      </c>
      <c r="E27" s="577">
        <f>+D27/'- 3 -'!F27*100</f>
        <v>79.148110684150481</v>
      </c>
      <c r="F27" s="576">
        <v>10470.92296667861</v>
      </c>
      <c r="G27" s="576">
        <f>+D27/'- 7 -'!F27</f>
        <v>10823.297355253753</v>
      </c>
      <c r="I27" s="591" t="str">
        <f>IF(+D27-'- 15 -'!B27-'- 15 -'!E27-'- 16 -'!G27=0,"","Ckeck")</f>
        <v/>
      </c>
    </row>
    <row r="28" spans="1:9" ht="14.1" customHeight="1">
      <c r="A28" s="578" t="s">
        <v>240</v>
      </c>
      <c r="B28" s="579">
        <v>14135138</v>
      </c>
      <c r="C28" s="580">
        <v>72.448274692063237</v>
      </c>
      <c r="D28" s="579">
        <v>18875861</v>
      </c>
      <c r="E28" s="580">
        <f>+D28/'- 3 -'!F28*100</f>
        <v>74.236432981559801</v>
      </c>
      <c r="F28" s="579">
        <v>8346.7009152642459</v>
      </c>
      <c r="G28" s="579">
        <f>+D28/'- 7 -'!F28</f>
        <v>9655.1718670076734</v>
      </c>
      <c r="I28" s="591" t="str">
        <f>IF(+D28-'- 15 -'!B28-'- 15 -'!E28-'- 16 -'!G28=0,"","Ckeck")</f>
        <v/>
      </c>
    </row>
    <row r="29" spans="1:9" ht="14.1" customHeight="1">
      <c r="A29" s="575" t="s">
        <v>241</v>
      </c>
      <c r="B29" s="576">
        <v>106485667</v>
      </c>
      <c r="C29" s="577">
        <v>82.054613223475997</v>
      </c>
      <c r="D29" s="576">
        <v>111432048</v>
      </c>
      <c r="E29" s="577">
        <f>+D29/'- 3 -'!F29*100</f>
        <v>81.519762044800828</v>
      </c>
      <c r="F29" s="576">
        <v>8799.0139646339449</v>
      </c>
      <c r="G29" s="576">
        <f>+D29/'- 7 -'!F29</f>
        <v>9175.8932806324119</v>
      </c>
      <c r="I29" s="591" t="str">
        <f>IF(+D29-'- 15 -'!B29-'- 15 -'!E29-'- 16 -'!G29=0,"","Ckeck")</f>
        <v/>
      </c>
    </row>
    <row r="30" spans="1:9" ht="14.1" customHeight="1">
      <c r="A30" s="578" t="s">
        <v>242</v>
      </c>
      <c r="B30" s="579">
        <v>9218665</v>
      </c>
      <c r="C30" s="580">
        <v>73.30225249412841</v>
      </c>
      <c r="D30" s="579">
        <v>9779758</v>
      </c>
      <c r="E30" s="580">
        <f>+D30/'- 3 -'!F30*100</f>
        <v>73.808608636319008</v>
      </c>
      <c r="F30" s="579">
        <v>8234.6270656543093</v>
      </c>
      <c r="G30" s="579">
        <f>+D30/'- 7 -'!F30</f>
        <v>9110.1611551001406</v>
      </c>
      <c r="I30" s="591" t="str">
        <f>IF(+D30-'- 15 -'!B30-'- 15 -'!E30-'- 16 -'!G30=0,"","Ckeck")</f>
        <v/>
      </c>
    </row>
    <row r="31" spans="1:9" ht="14.1" customHeight="1">
      <c r="A31" s="575" t="s">
        <v>243</v>
      </c>
      <c r="B31" s="576">
        <v>25003013</v>
      </c>
      <c r="C31" s="577">
        <v>80.371968722613545</v>
      </c>
      <c r="D31" s="576">
        <v>25771633</v>
      </c>
      <c r="E31" s="577">
        <f>+D31/'- 3 -'!F31*100</f>
        <v>80.392102059120845</v>
      </c>
      <c r="F31" s="576">
        <v>7930.1636588537531</v>
      </c>
      <c r="G31" s="576">
        <f>+D31/'- 7 -'!F31</f>
        <v>8129.8526813880126</v>
      </c>
      <c r="I31" s="591" t="str">
        <f>IF(+D31-'- 15 -'!B31-'- 15 -'!E31-'- 16 -'!G31=0,"","Ckeck")</f>
        <v/>
      </c>
    </row>
    <row r="32" spans="1:9" ht="14.1" customHeight="1">
      <c r="A32" s="578" t="s">
        <v>244</v>
      </c>
      <c r="B32" s="579">
        <v>17368448</v>
      </c>
      <c r="C32" s="580">
        <v>75.634780354085137</v>
      </c>
      <c r="D32" s="579">
        <v>18440831</v>
      </c>
      <c r="E32" s="580">
        <f>+D32/'- 3 -'!F32*100</f>
        <v>75.517038050559009</v>
      </c>
      <c r="F32" s="579">
        <v>8658.2492522432694</v>
      </c>
      <c r="G32" s="579">
        <f>+D32/'- 7 -'!F32</f>
        <v>8991.0098828393529</v>
      </c>
      <c r="I32" s="591" t="str">
        <f>IF(+D32-'- 15 -'!B32-'- 15 -'!E32-'- 16 -'!G32=0,"","Ckeck")</f>
        <v/>
      </c>
    </row>
    <row r="33" spans="1:9" ht="14.1" customHeight="1">
      <c r="A33" s="575" t="s">
        <v>245</v>
      </c>
      <c r="B33" s="576">
        <v>17848600</v>
      </c>
      <c r="C33" s="577">
        <v>72.541719841005332</v>
      </c>
      <c r="D33" s="576">
        <v>18495000</v>
      </c>
      <c r="E33" s="577">
        <f>+D33/'- 3 -'!F33*100</f>
        <v>72.566691123675298</v>
      </c>
      <c r="F33" s="576">
        <v>8702.3890784982941</v>
      </c>
      <c r="G33" s="576">
        <f>+D33/'- 7 -'!F33</f>
        <v>9226.7398353704157</v>
      </c>
      <c r="I33" s="591" t="str">
        <f>IF(+D33-'- 15 -'!B33-'- 15 -'!E33-'- 16 -'!G33=0,"","Ckeck")</f>
        <v/>
      </c>
    </row>
    <row r="34" spans="1:9" ht="14.1" customHeight="1">
      <c r="A34" s="578" t="s">
        <v>246</v>
      </c>
      <c r="B34" s="579">
        <v>16264944</v>
      </c>
      <c r="C34" s="580">
        <v>72.287672951575175</v>
      </c>
      <c r="D34" s="579">
        <v>17332483</v>
      </c>
      <c r="E34" s="580">
        <f>+D34/'- 3 -'!F34*100</f>
        <v>72.486377398932376</v>
      </c>
      <c r="F34" s="579">
        <v>8022.1672009864369</v>
      </c>
      <c r="G34" s="579">
        <f>+D34/'- 7 -'!F34</f>
        <v>8669.2757465112791</v>
      </c>
      <c r="I34" s="591" t="str">
        <f>IF(+D34-'- 15 -'!B34-'- 15 -'!E34-'- 16 -'!G34=0,"","Ckeck")</f>
        <v/>
      </c>
    </row>
    <row r="35" spans="1:9" ht="14.1" customHeight="1">
      <c r="A35" s="575" t="s">
        <v>247</v>
      </c>
      <c r="B35" s="576">
        <v>127221963</v>
      </c>
      <c r="C35" s="577">
        <v>80.765554095050376</v>
      </c>
      <c r="D35" s="576">
        <v>132113852</v>
      </c>
      <c r="E35" s="577">
        <f>+D35/'- 3 -'!F35*100</f>
        <v>81.044887258659472</v>
      </c>
      <c r="F35" s="576">
        <v>8004.6536634473214</v>
      </c>
      <c r="G35" s="576">
        <f>+D35/'- 7 -'!F35</f>
        <v>8472.0951648069768</v>
      </c>
      <c r="I35" s="591" t="str">
        <f>IF(+D35-'- 15 -'!B35-'- 15 -'!E35-'- 16 -'!G35=0,"","Ckeck")</f>
        <v/>
      </c>
    </row>
    <row r="36" spans="1:9" ht="14.1" customHeight="1">
      <c r="A36" s="578" t="s">
        <v>248</v>
      </c>
      <c r="B36" s="579">
        <v>15389105</v>
      </c>
      <c r="C36" s="580">
        <v>75.363734419208825</v>
      </c>
      <c r="D36" s="579">
        <v>15777890</v>
      </c>
      <c r="E36" s="580">
        <f>+D36/'- 3 -'!F36*100</f>
        <v>74.809490032601957</v>
      </c>
      <c r="F36" s="579">
        <v>8677.2511981956577</v>
      </c>
      <c r="G36" s="579">
        <f>+D36/'- 7 -'!F36</f>
        <v>9632.4114774114769</v>
      </c>
      <c r="I36" s="591" t="str">
        <f>IF(+D36-'- 15 -'!B36-'- 15 -'!E36-'- 16 -'!G36=0,"","Ckeck")</f>
        <v/>
      </c>
    </row>
    <row r="37" spans="1:9" ht="14.1" customHeight="1">
      <c r="A37" s="575" t="s">
        <v>249</v>
      </c>
      <c r="B37" s="576">
        <v>28190637</v>
      </c>
      <c r="C37" s="577">
        <v>77.931791181245373</v>
      </c>
      <c r="D37" s="576">
        <v>30911994</v>
      </c>
      <c r="E37" s="577">
        <f>+D37/'- 3 -'!F37*100</f>
        <v>77.707066925174104</v>
      </c>
      <c r="F37" s="576">
        <v>7878.8812185578536</v>
      </c>
      <c r="G37" s="576">
        <f>+D37/'- 7 -'!F37</f>
        <v>8405.708769544528</v>
      </c>
      <c r="I37" s="591" t="str">
        <f>IF(+D37-'- 15 -'!B37-'- 15 -'!E37-'- 16 -'!G37=0,"","Ckeck")</f>
        <v/>
      </c>
    </row>
    <row r="38" spans="1:9" ht="14.1" customHeight="1">
      <c r="A38" s="578" t="s">
        <v>250</v>
      </c>
      <c r="B38" s="579">
        <v>78500119</v>
      </c>
      <c r="C38" s="580">
        <v>80.255832509664373</v>
      </c>
      <c r="D38" s="579">
        <v>89816795</v>
      </c>
      <c r="E38" s="580">
        <f>+D38/'- 3 -'!F38*100</f>
        <v>81.349971333573052</v>
      </c>
      <c r="F38" s="579">
        <v>8092.7957731958759</v>
      </c>
      <c r="G38" s="579">
        <f>+D38/'- 7 -'!F38</f>
        <v>8527.1807652140888</v>
      </c>
      <c r="I38" s="591" t="str">
        <f>IF(+D38-'- 15 -'!B38-'- 15 -'!E38-'- 16 -'!G38=0,"","Ckeck")</f>
        <v/>
      </c>
    </row>
    <row r="39" spans="1:9" ht="14.1" customHeight="1">
      <c r="A39" s="575" t="s">
        <v>251</v>
      </c>
      <c r="B39" s="576">
        <v>13360172</v>
      </c>
      <c r="C39" s="577">
        <v>74.16410606729518</v>
      </c>
      <c r="D39" s="576">
        <v>14399628</v>
      </c>
      <c r="E39" s="577">
        <f>+D39/'- 3 -'!F39*100</f>
        <v>72.953195820099452</v>
      </c>
      <c r="F39" s="576">
        <v>8357.943071629652</v>
      </c>
      <c r="G39" s="576">
        <f>+D39/'- 7 -'!F39</f>
        <v>9224.6175528507374</v>
      </c>
      <c r="I39" s="591" t="str">
        <f>IF(+D39-'- 15 -'!B39-'- 15 -'!E39-'- 16 -'!G39=0,"","Ckeck")</f>
        <v/>
      </c>
    </row>
    <row r="40" spans="1:9" ht="14.1" customHeight="1">
      <c r="A40" s="578" t="s">
        <v>252</v>
      </c>
      <c r="B40" s="579">
        <v>71970252</v>
      </c>
      <c r="C40" s="580">
        <v>81.186840283088273</v>
      </c>
      <c r="D40" s="579">
        <v>76713894</v>
      </c>
      <c r="E40" s="580">
        <f>+D40/'- 3 -'!F40*100</f>
        <v>82.442679131776814</v>
      </c>
      <c r="F40" s="579">
        <v>8907.2094059405936</v>
      </c>
      <c r="G40" s="579">
        <f>+D40/'- 7 -'!F40</f>
        <v>9435.4390927875647</v>
      </c>
      <c r="I40" s="591" t="str">
        <f>IF(+D40-'- 15 -'!B40-'- 15 -'!E40-'- 16 -'!G40=0,"","Ckeck")</f>
        <v/>
      </c>
    </row>
    <row r="41" spans="1:9" ht="14.1" customHeight="1">
      <c r="A41" s="575" t="s">
        <v>253</v>
      </c>
      <c r="B41" s="576">
        <v>41684931</v>
      </c>
      <c r="C41" s="577">
        <v>77.92955313772363</v>
      </c>
      <c r="D41" s="576">
        <v>43195624</v>
      </c>
      <c r="E41" s="577">
        <f>+D41/'- 3 -'!F41*100</f>
        <v>77.69502279689587</v>
      </c>
      <c r="F41" s="576">
        <v>9113.4523393091386</v>
      </c>
      <c r="G41" s="576">
        <f>+D41/'- 7 -'!F41</f>
        <v>9591.5674475408014</v>
      </c>
      <c r="I41" s="591" t="str">
        <f>IF(+D41-'- 15 -'!B41-'- 15 -'!E41-'- 16 -'!G41=0,"","Ckeck")</f>
        <v/>
      </c>
    </row>
    <row r="42" spans="1:9" ht="14.1" customHeight="1">
      <c r="A42" s="578" t="s">
        <v>254</v>
      </c>
      <c r="B42" s="579">
        <v>14189235</v>
      </c>
      <c r="C42" s="580">
        <v>75.602092037056082</v>
      </c>
      <c r="D42" s="579">
        <v>14880854</v>
      </c>
      <c r="E42" s="580">
        <f>+D42/'- 3 -'!F42*100</f>
        <v>75.634226223422672</v>
      </c>
      <c r="F42" s="579">
        <v>9409.3070291777185</v>
      </c>
      <c r="G42" s="579">
        <f>+D42/'- 7 -'!F42</f>
        <v>10206.347050754459</v>
      </c>
      <c r="I42" s="591" t="str">
        <f>IF(+D42-'- 15 -'!B42-'- 15 -'!E42-'- 16 -'!G42=0,"","Ckeck")</f>
        <v/>
      </c>
    </row>
    <row r="43" spans="1:9" ht="14.1" customHeight="1">
      <c r="A43" s="575" t="s">
        <v>255</v>
      </c>
      <c r="B43" s="576">
        <v>8501009</v>
      </c>
      <c r="C43" s="577">
        <v>77.441415235127039</v>
      </c>
      <c r="D43" s="576">
        <v>8795198</v>
      </c>
      <c r="E43" s="577">
        <f>+D43/'- 3 -'!F43*100</f>
        <v>76.065564186215383</v>
      </c>
      <c r="F43" s="576">
        <v>8804.7736923873636</v>
      </c>
      <c r="G43" s="576">
        <f>+D43/'- 7 -'!F43</f>
        <v>9266.6382194126163</v>
      </c>
      <c r="I43" s="591" t="str">
        <f>IF(+D43-'- 15 -'!B43-'- 15 -'!E43-'- 16 -'!G43=0,"","Ckeck")</f>
        <v/>
      </c>
    </row>
    <row r="44" spans="1:9" ht="14.1" customHeight="1">
      <c r="A44" s="578" t="s">
        <v>256</v>
      </c>
      <c r="B44" s="579">
        <v>6980391</v>
      </c>
      <c r="C44" s="580">
        <v>72.966168904292459</v>
      </c>
      <c r="D44" s="579">
        <v>7362062</v>
      </c>
      <c r="E44" s="580">
        <f>+D44/'- 3 -'!F44*100</f>
        <v>73.296678001902791</v>
      </c>
      <c r="F44" s="579">
        <v>8937.7605633802814</v>
      </c>
      <c r="G44" s="579">
        <f>+D44/'- 7 -'!F44</f>
        <v>9842.3288770053477</v>
      </c>
      <c r="I44" s="591" t="str">
        <f>IF(+D44-'- 15 -'!B44-'- 15 -'!E44-'- 16 -'!G44=0,"","Ckeck")</f>
        <v/>
      </c>
    </row>
    <row r="45" spans="1:9" ht="14.1" customHeight="1">
      <c r="A45" s="575" t="s">
        <v>257</v>
      </c>
      <c r="B45" s="576">
        <v>11622305</v>
      </c>
      <c r="C45" s="577">
        <v>80.137457438004731</v>
      </c>
      <c r="D45" s="576">
        <v>12700539</v>
      </c>
      <c r="E45" s="577">
        <f>+D45/'- 3 -'!F45*100</f>
        <v>79.591026022654276</v>
      </c>
      <c r="F45" s="576">
        <v>7052.3695388349515</v>
      </c>
      <c r="G45" s="576">
        <f>+D45/'- 7 -'!F45</f>
        <v>7644.0198615708696</v>
      </c>
      <c r="I45" s="591" t="str">
        <f>IF(+D45-'- 15 -'!B45-'- 15 -'!E45-'- 16 -'!G45=0,"","Ckeck")</f>
        <v/>
      </c>
    </row>
    <row r="46" spans="1:9" ht="14.1" customHeight="1">
      <c r="A46" s="578" t="s">
        <v>258</v>
      </c>
      <c r="B46" s="579">
        <v>254759000</v>
      </c>
      <c r="C46" s="580">
        <v>80.121509923394271</v>
      </c>
      <c r="D46" s="579">
        <v>276582600</v>
      </c>
      <c r="E46" s="580">
        <f>+D46/'- 3 -'!F46*100</f>
        <v>80.534167882083111</v>
      </c>
      <c r="F46" s="579">
        <v>8548.6728633267339</v>
      </c>
      <c r="G46" s="579">
        <f>+D46/'- 7 -'!F46</f>
        <v>9076.6145970070884</v>
      </c>
      <c r="I46" s="591" t="str">
        <f>IF(+D46-'- 15 -'!B46-'- 15 -'!E46-'- 16 -'!G46=0,"","Ckeck")</f>
        <v/>
      </c>
    </row>
    <row r="47" spans="1:9" ht="5.0999999999999996" customHeight="1">
      <c r="B47" s="581"/>
      <c r="C47" s="581"/>
      <c r="D47" s="581"/>
      <c r="E47" s="581"/>
      <c r="F47" s="581"/>
      <c r="G47" s="581"/>
      <c r="I47" s="591"/>
    </row>
    <row r="48" spans="1:9" ht="14.1" customHeight="1">
      <c r="A48" s="582" t="s">
        <v>259</v>
      </c>
      <c r="B48" s="583">
        <v>1447327314</v>
      </c>
      <c r="C48" s="584">
        <v>78.403684117692578</v>
      </c>
      <c r="D48" s="583">
        <f>SUM(D11:D46)</f>
        <v>1558961365</v>
      </c>
      <c r="E48" s="584">
        <f>+D48/'- 3 -'!F48*100</f>
        <v>78.607207964962058</v>
      </c>
      <c r="F48" s="583">
        <v>8463.1501410400961</v>
      </c>
      <c r="G48" s="583">
        <f>+D48/'- 7 -'!F48</f>
        <v>9018.5482988059666</v>
      </c>
      <c r="I48" s="591" t="str">
        <f>IF(+D48-'- 15 -'!B48-'- 15 -'!E48-'- 16 -'!G48=0,"","Ckeck")</f>
        <v/>
      </c>
    </row>
    <row r="49" spans="1:7" ht="5.0999999999999996" customHeight="1">
      <c r="B49" s="581"/>
      <c r="C49" s="581"/>
      <c r="D49" s="581"/>
      <c r="E49" s="581"/>
      <c r="F49" s="581"/>
      <c r="G49" s="581"/>
    </row>
    <row r="50" spans="1:7" ht="49.5" customHeight="1">
      <c r="A50" s="588"/>
      <c r="B50" s="589"/>
      <c r="C50" s="589"/>
      <c r="D50" s="589"/>
      <c r="E50" s="589"/>
      <c r="F50" s="589"/>
      <c r="G50" s="589"/>
    </row>
    <row r="51" spans="1:7" ht="18" customHeight="1">
      <c r="A51" s="585" t="s">
        <v>522</v>
      </c>
      <c r="B51" s="581"/>
      <c r="C51" s="581"/>
      <c r="D51" s="581"/>
      <c r="E51" s="581"/>
      <c r="F51" s="581"/>
      <c r="G51" s="581"/>
    </row>
    <row r="52" spans="1:7" ht="13.5" customHeight="1">
      <c r="A52" s="585" t="s">
        <v>569</v>
      </c>
      <c r="B52" s="581"/>
      <c r="C52" s="581"/>
      <c r="D52" s="581"/>
      <c r="E52" s="581"/>
      <c r="F52" s="581"/>
      <c r="G52" s="581"/>
    </row>
    <row r="53" spans="1:7" ht="15" customHeight="1">
      <c r="B53" s="585"/>
      <c r="C53" s="585"/>
    </row>
    <row r="54" spans="1:7" ht="12" customHeight="1">
      <c r="B54" s="585"/>
      <c r="C54" s="585"/>
    </row>
    <row r="55" spans="1:7" ht="12" customHeight="1">
      <c r="A55" s="585"/>
      <c r="B55" s="585"/>
      <c r="C55" s="585"/>
    </row>
    <row r="56" spans="1:7" ht="12" customHeight="1">
      <c r="A56" s="585"/>
      <c r="B56" s="585"/>
      <c r="C56" s="585"/>
    </row>
    <row r="57" spans="1:7" ht="14.45" customHeight="1">
      <c r="A57" s="585"/>
    </row>
  </sheetData>
  <phoneticPr fontId="16" type="noConversion"/>
  <printOptions horizontalCentered="1"/>
  <pageMargins left="0.51180000000000003" right="0.51180000000000003" top="0.59050000000000002" bottom="0" header="0.31490000000000001" footer="0"/>
  <pageSetup scale="88" orientation="portrait" r:id="rId1"/>
  <headerFooter alignWithMargins="0">
    <oddHeader>&amp;C&amp;"Arial,Bold"&amp;10&amp;A</oddHeader>
  </headerFooter>
</worksheet>
</file>

<file path=xl/worksheets/sheet54.xml><?xml version="1.0" encoding="utf-8"?>
<worksheet xmlns="http://schemas.openxmlformats.org/spreadsheetml/2006/main" xmlns:r="http://schemas.openxmlformats.org/officeDocument/2006/relationships">
  <sheetPr codeName="Sheet61">
    <pageSetUpPr fitToPage="1"/>
  </sheetPr>
  <dimension ref="A1:I55"/>
  <sheetViews>
    <sheetView showGridLines="0" showZeros="0" workbookViewId="0"/>
  </sheetViews>
  <sheetFormatPr defaultColWidth="19.83203125" defaultRowHeight="12"/>
  <cols>
    <col min="1" max="1" width="30.83203125" style="1" customWidth="1"/>
    <col min="2" max="9" width="12.83203125" style="1" customWidth="1"/>
    <col min="10" max="16384" width="19.83203125" style="1"/>
  </cols>
  <sheetData>
    <row r="1" spans="1:9" ht="6.95" customHeight="1">
      <c r="A1" s="3"/>
      <c r="B1" s="4"/>
      <c r="C1" s="4"/>
      <c r="D1" s="4"/>
      <c r="E1" s="4"/>
      <c r="F1" s="4"/>
    </row>
    <row r="2" spans="1:9" ht="15.95" customHeight="1">
      <c r="A2" s="5" t="s">
        <v>187</v>
      </c>
      <c r="B2" s="6"/>
      <c r="C2" s="6"/>
      <c r="D2" s="6"/>
      <c r="E2" s="6"/>
      <c r="F2" s="6"/>
      <c r="G2" s="6"/>
      <c r="H2" s="6"/>
      <c r="I2" s="6"/>
    </row>
    <row r="3" spans="1:9" ht="15.95" customHeight="1">
      <c r="A3" s="106" t="s">
        <v>638</v>
      </c>
      <c r="B3" s="47"/>
      <c r="C3" s="47"/>
      <c r="D3" s="8"/>
      <c r="E3" s="8"/>
      <c r="F3" s="8"/>
      <c r="G3" s="8"/>
      <c r="H3" s="8"/>
      <c r="I3" s="8"/>
    </row>
    <row r="4" spans="1:9" ht="15.95" customHeight="1">
      <c r="B4" s="30"/>
      <c r="C4" s="30"/>
      <c r="D4" s="4"/>
      <c r="E4" s="4"/>
      <c r="F4" s="4"/>
    </row>
    <row r="5" spans="1:9" ht="15.95" customHeight="1">
      <c r="B5" s="278"/>
      <c r="C5" s="278"/>
      <c r="D5" s="4"/>
      <c r="E5" s="4"/>
      <c r="F5" s="4"/>
    </row>
    <row r="6" spans="1:9" ht="15.95" customHeight="1">
      <c r="B6" s="454" t="s">
        <v>104</v>
      </c>
      <c r="C6" s="455"/>
      <c r="D6" s="456"/>
      <c r="E6" s="457"/>
      <c r="F6" s="454" t="s">
        <v>109</v>
      </c>
      <c r="G6" s="455"/>
      <c r="H6" s="456"/>
      <c r="I6" s="457"/>
    </row>
    <row r="7" spans="1:9" ht="15.95" customHeight="1">
      <c r="B7" s="458" t="s">
        <v>183</v>
      </c>
      <c r="C7" s="459"/>
      <c r="D7" s="458" t="s">
        <v>0</v>
      </c>
      <c r="E7" s="459"/>
      <c r="F7" s="458" t="s">
        <v>186</v>
      </c>
      <c r="G7" s="459"/>
      <c r="H7" s="458" t="s">
        <v>143</v>
      </c>
      <c r="I7" s="459"/>
    </row>
    <row r="8" spans="1:9" ht="15.95" customHeight="1">
      <c r="A8" s="101"/>
      <c r="B8" s="460" t="s">
        <v>358</v>
      </c>
      <c r="C8" s="461"/>
      <c r="D8" s="460" t="s">
        <v>1</v>
      </c>
      <c r="E8" s="461"/>
      <c r="F8" s="460" t="s">
        <v>82</v>
      </c>
      <c r="G8" s="461"/>
      <c r="H8" s="460" t="s">
        <v>287</v>
      </c>
      <c r="I8" s="461"/>
    </row>
    <row r="9" spans="1:9" ht="18" customHeight="1">
      <c r="A9" s="35" t="s">
        <v>79</v>
      </c>
      <c r="B9" s="279" t="s">
        <v>598</v>
      </c>
      <c r="C9" s="279" t="s">
        <v>607</v>
      </c>
      <c r="D9" s="279" t="str">
        <f>+B9</f>
        <v>2011/12</v>
      </c>
      <c r="E9" s="521" t="s">
        <v>608</v>
      </c>
      <c r="F9" s="279" t="s">
        <v>609</v>
      </c>
      <c r="G9" s="279" t="s">
        <v>610</v>
      </c>
      <c r="H9" s="279" t="s">
        <v>609</v>
      </c>
      <c r="I9" s="279" t="s">
        <v>627</v>
      </c>
    </row>
    <row r="10" spans="1:9" ht="5.0999999999999996" customHeight="1">
      <c r="A10" s="37"/>
      <c r="D10" s="270"/>
      <c r="E10" s="270"/>
      <c r="F10" s="246"/>
      <c r="G10" s="3"/>
      <c r="H10" s="3"/>
    </row>
    <row r="11" spans="1:9" ht="14.1" customHeight="1">
      <c r="A11" s="351" t="s">
        <v>224</v>
      </c>
      <c r="B11" s="352">
        <v>10419</v>
      </c>
      <c r="C11" s="352">
        <f>'- 4 -'!E11</f>
        <v>10714</v>
      </c>
      <c r="D11" s="378">
        <v>13.465824665676076</v>
      </c>
      <c r="E11" s="378">
        <f>'- 9 -'!C11</f>
        <v>13.515489353924883</v>
      </c>
      <c r="F11" s="352">
        <v>281078</v>
      </c>
      <c r="G11" s="352">
        <f>'- 51 -'!F11</f>
        <v>340743</v>
      </c>
      <c r="H11" s="378">
        <v>16.260223607697586</v>
      </c>
      <c r="I11" s="378">
        <f>'- 48 -'!G11</f>
        <v>14.633477902941767</v>
      </c>
    </row>
    <row r="12" spans="1:9" ht="14.1" customHeight="1">
      <c r="A12" s="23" t="s">
        <v>225</v>
      </c>
      <c r="B12" s="24">
        <v>11865</v>
      </c>
      <c r="C12" s="24">
        <f>'- 4 -'!E12</f>
        <v>12730</v>
      </c>
      <c r="D12" s="66">
        <v>12.81258593336859</v>
      </c>
      <c r="E12" s="66">
        <f>'- 9 -'!C12</f>
        <v>12.090449894004031</v>
      </c>
      <c r="F12" s="24">
        <v>222229</v>
      </c>
      <c r="G12" s="24">
        <f>'- 51 -'!F12</f>
        <v>260483</v>
      </c>
      <c r="H12" s="66">
        <v>19.737489474605759</v>
      </c>
      <c r="I12" s="66">
        <f>'- 48 -'!G12</f>
        <v>17.849989827623453</v>
      </c>
    </row>
    <row r="13" spans="1:9" ht="14.1" customHeight="1">
      <c r="A13" s="351" t="s">
        <v>226</v>
      </c>
      <c r="B13" s="352">
        <v>9550</v>
      </c>
      <c r="C13" s="352">
        <f>'- 4 -'!E13</f>
        <v>10110</v>
      </c>
      <c r="D13" s="378">
        <v>13.208042416924773</v>
      </c>
      <c r="E13" s="378">
        <f>'- 9 -'!C13</f>
        <v>12.773764855617449</v>
      </c>
      <c r="F13" s="352">
        <v>266821</v>
      </c>
      <c r="G13" s="352">
        <f>'- 51 -'!F13</f>
        <v>297557</v>
      </c>
      <c r="H13" s="378">
        <v>16.273409900912203</v>
      </c>
      <c r="I13" s="378">
        <f>'- 48 -'!G13</f>
        <v>15.378816344401205</v>
      </c>
    </row>
    <row r="14" spans="1:9" ht="14.1" customHeight="1">
      <c r="A14" s="23" t="s">
        <v>524</v>
      </c>
      <c r="B14" s="24">
        <v>13472</v>
      </c>
      <c r="C14" s="24">
        <f>'- 4 -'!E14</f>
        <v>13993</v>
      </c>
      <c r="D14" s="66">
        <v>12.455365998809759</v>
      </c>
      <c r="E14" s="66">
        <f>'- 9 -'!C14</f>
        <v>12.423585091697889</v>
      </c>
      <c r="F14" s="24">
        <v>283387</v>
      </c>
      <c r="G14" s="24">
        <f>'- 51 -'!F14</f>
        <v>327875</v>
      </c>
      <c r="H14" s="66">
        <v>0</v>
      </c>
      <c r="I14" s="66">
        <f>'- 48 -'!G14</f>
        <v>0</v>
      </c>
    </row>
    <row r="15" spans="1:9" ht="14.1" customHeight="1">
      <c r="A15" s="351" t="s">
        <v>227</v>
      </c>
      <c r="B15" s="352">
        <v>11746</v>
      </c>
      <c r="C15" s="352">
        <f>'- 4 -'!E15</f>
        <v>12490</v>
      </c>
      <c r="D15" s="378">
        <v>13.769425370437295</v>
      </c>
      <c r="E15" s="378">
        <f>'- 9 -'!C15</f>
        <v>13.290632506004805</v>
      </c>
      <c r="F15" s="352">
        <v>450100</v>
      </c>
      <c r="G15" s="352">
        <f>'- 51 -'!F15</f>
        <v>507300</v>
      </c>
      <c r="H15" s="378">
        <v>11.079687843625338</v>
      </c>
      <c r="I15" s="378">
        <f>'- 48 -'!G15</f>
        <v>10.715970197555372</v>
      </c>
    </row>
    <row r="16" spans="1:9" ht="14.1" customHeight="1">
      <c r="A16" s="23" t="s">
        <v>228</v>
      </c>
      <c r="B16" s="24">
        <v>11872</v>
      </c>
      <c r="C16" s="24">
        <f>'- 4 -'!E16</f>
        <v>12684</v>
      </c>
      <c r="D16" s="66">
        <v>13.79032258064516</v>
      </c>
      <c r="E16" s="66">
        <f>'- 9 -'!C16</f>
        <v>13.210947930574099</v>
      </c>
      <c r="F16" s="24">
        <v>145319</v>
      </c>
      <c r="G16" s="24">
        <f>'- 51 -'!F16</f>
        <v>156848</v>
      </c>
      <c r="H16" s="66">
        <v>18.518093484037465</v>
      </c>
      <c r="I16" s="66">
        <f>'- 48 -'!G16</f>
        <v>17.81814584473975</v>
      </c>
    </row>
    <row r="17" spans="1:9" ht="14.1" customHeight="1">
      <c r="A17" s="351" t="s">
        <v>229</v>
      </c>
      <c r="B17" s="352">
        <v>12098</v>
      </c>
      <c r="C17" s="352">
        <f>'- 4 -'!E17</f>
        <v>12505</v>
      </c>
      <c r="D17" s="378">
        <v>12.911216805390408</v>
      </c>
      <c r="E17" s="378">
        <f>'- 9 -'!C17</f>
        <v>12.969128329297821</v>
      </c>
      <c r="F17" s="352">
        <v>405673</v>
      </c>
      <c r="G17" s="352">
        <f>'- 51 -'!F17</f>
        <v>466048</v>
      </c>
      <c r="H17" s="378">
        <v>13.351661643482291</v>
      </c>
      <c r="I17" s="378">
        <f>'- 48 -'!G17</f>
        <v>12.171161460132527</v>
      </c>
    </row>
    <row r="18" spans="1:9" ht="14.1" customHeight="1">
      <c r="A18" s="23" t="s">
        <v>230</v>
      </c>
      <c r="B18" s="24">
        <v>17686</v>
      </c>
      <c r="C18" s="24">
        <f>'- 4 -'!E18</f>
        <v>17526</v>
      </c>
      <c r="D18" s="66">
        <v>12.136575371590931</v>
      </c>
      <c r="E18" s="66">
        <f>'- 9 -'!C18</f>
        <v>12.31091209967877</v>
      </c>
      <c r="F18" s="24">
        <v>64043</v>
      </c>
      <c r="G18" s="24">
        <f>'- 51 -'!F18</f>
        <v>69713</v>
      </c>
      <c r="H18" s="66">
        <v>17.591001652337656</v>
      </c>
      <c r="I18" s="66">
        <f>'- 48 -'!G18</f>
        <v>16.50000118268143</v>
      </c>
    </row>
    <row r="19" spans="1:9" ht="14.1" customHeight="1">
      <c r="A19" s="351" t="s">
        <v>231</v>
      </c>
      <c r="B19" s="352">
        <v>9128</v>
      </c>
      <c r="C19" s="352">
        <f>'- 4 -'!E19</f>
        <v>9259</v>
      </c>
      <c r="D19" s="378">
        <v>14.85277177825774</v>
      </c>
      <c r="E19" s="378">
        <f>'- 9 -'!C19</f>
        <v>15.22312556458898</v>
      </c>
      <c r="F19" s="352">
        <v>170881</v>
      </c>
      <c r="G19" s="352">
        <f>'- 51 -'!F19</f>
        <v>188101</v>
      </c>
      <c r="H19" s="378">
        <v>21.020000803050859</v>
      </c>
      <c r="I19" s="378">
        <f>'- 48 -'!G19</f>
        <v>19.124400503801382</v>
      </c>
    </row>
    <row r="20" spans="1:9" ht="14.1" customHeight="1">
      <c r="A20" s="23" t="s">
        <v>232</v>
      </c>
      <c r="B20" s="24">
        <v>8770</v>
      </c>
      <c r="C20" s="24">
        <f>'- 4 -'!E20</f>
        <v>9097</v>
      </c>
      <c r="D20" s="66">
        <v>15.861549398526494</v>
      </c>
      <c r="E20" s="66">
        <f>'- 9 -'!C20</f>
        <v>15.734402439182031</v>
      </c>
      <c r="F20" s="24">
        <v>172748</v>
      </c>
      <c r="G20" s="24">
        <f>'- 51 -'!F20</f>
        <v>196027</v>
      </c>
      <c r="H20" s="66">
        <v>17.78746939748978</v>
      </c>
      <c r="I20" s="66">
        <f>'- 48 -'!G20</f>
        <v>16.402942930568337</v>
      </c>
    </row>
    <row r="21" spans="1:9" ht="14.1" customHeight="1">
      <c r="A21" s="351" t="s">
        <v>233</v>
      </c>
      <c r="B21" s="352">
        <v>11119</v>
      </c>
      <c r="C21" s="352">
        <f>'- 4 -'!E21</f>
        <v>11596</v>
      </c>
      <c r="D21" s="378">
        <v>12.751225214693582</v>
      </c>
      <c r="E21" s="378">
        <f>'- 9 -'!C21</f>
        <v>12.624434389140273</v>
      </c>
      <c r="F21" s="352">
        <v>267246</v>
      </c>
      <c r="G21" s="352">
        <f>'- 51 -'!F21</f>
        <v>307690</v>
      </c>
      <c r="H21" s="378">
        <v>15.40026891699341</v>
      </c>
      <c r="I21" s="378">
        <f>'- 48 -'!G21</f>
        <v>14.362763623388398</v>
      </c>
    </row>
    <row r="22" spans="1:9" ht="14.1" customHeight="1">
      <c r="A22" s="23" t="s">
        <v>234</v>
      </c>
      <c r="B22" s="24">
        <v>10946</v>
      </c>
      <c r="C22" s="24">
        <f>'- 4 -'!E22</f>
        <v>11324</v>
      </c>
      <c r="D22" s="66">
        <v>13.277138157894738</v>
      </c>
      <c r="E22" s="66">
        <f>'- 9 -'!C22</f>
        <v>13.34297520661157</v>
      </c>
      <c r="F22" s="24">
        <v>109200</v>
      </c>
      <c r="G22" s="24">
        <f>'- 51 -'!F22</f>
        <v>117664</v>
      </c>
      <c r="H22" s="66">
        <v>22.601921231333268</v>
      </c>
      <c r="I22" s="66">
        <f>'- 48 -'!G22</f>
        <v>21.62422031121281</v>
      </c>
    </row>
    <row r="23" spans="1:9" ht="14.1" customHeight="1">
      <c r="A23" s="351" t="s">
        <v>235</v>
      </c>
      <c r="B23" s="352">
        <v>11772</v>
      </c>
      <c r="C23" s="352">
        <f>'- 4 -'!E23</f>
        <v>12591</v>
      </c>
      <c r="D23" s="378">
        <v>12.812177502579978</v>
      </c>
      <c r="E23" s="378">
        <f>'- 9 -'!C23</f>
        <v>12.337461300309597</v>
      </c>
      <c r="F23" s="352">
        <v>186080</v>
      </c>
      <c r="G23" s="352">
        <f>'- 51 -'!F23</f>
        <v>186803</v>
      </c>
      <c r="H23" s="378">
        <v>19.07583416637717</v>
      </c>
      <c r="I23" s="378">
        <f>'- 48 -'!G23</f>
        <v>19.710203785160186</v>
      </c>
    </row>
    <row r="24" spans="1:9" ht="14.1" customHeight="1">
      <c r="A24" s="23" t="s">
        <v>236</v>
      </c>
      <c r="B24" s="24">
        <v>11438</v>
      </c>
      <c r="C24" s="24">
        <f>'- 4 -'!E24</f>
        <v>11770</v>
      </c>
      <c r="D24" s="66">
        <v>13.175304925845797</v>
      </c>
      <c r="E24" s="66">
        <f>'- 9 -'!C24</f>
        <v>12.913757141561621</v>
      </c>
      <c r="F24" s="24">
        <v>323349</v>
      </c>
      <c r="G24" s="24">
        <f>'- 51 -'!F24</f>
        <v>367776</v>
      </c>
      <c r="H24" s="66">
        <v>14.290681012303951</v>
      </c>
      <c r="I24" s="66">
        <f>'- 48 -'!G24</f>
        <v>13.560320069760674</v>
      </c>
    </row>
    <row r="25" spans="1:9" ht="14.1" customHeight="1">
      <c r="A25" s="351" t="s">
        <v>237</v>
      </c>
      <c r="B25" s="352">
        <v>10710</v>
      </c>
      <c r="C25" s="352">
        <f>'- 4 -'!E25</f>
        <v>10974</v>
      </c>
      <c r="D25" s="378">
        <v>14.137945409636169</v>
      </c>
      <c r="E25" s="378">
        <f>'- 9 -'!C25</f>
        <v>14.183597867033988</v>
      </c>
      <c r="F25" s="352">
        <v>322832</v>
      </c>
      <c r="G25" s="352">
        <f>'- 51 -'!F25</f>
        <v>378060</v>
      </c>
      <c r="H25" s="378">
        <v>14.207083257968403</v>
      </c>
      <c r="I25" s="378">
        <f>'- 48 -'!G25</f>
        <v>12.76324340447392</v>
      </c>
    </row>
    <row r="26" spans="1:9" ht="14.1" customHeight="1">
      <c r="A26" s="23" t="s">
        <v>238</v>
      </c>
      <c r="B26" s="24">
        <v>11632</v>
      </c>
      <c r="C26" s="24">
        <f>'- 4 -'!E26</f>
        <v>12270</v>
      </c>
      <c r="D26" s="66">
        <v>13.189748007753607</v>
      </c>
      <c r="E26" s="66">
        <f>'- 9 -'!C26</f>
        <v>12.800856531049249</v>
      </c>
      <c r="F26" s="24">
        <v>200580</v>
      </c>
      <c r="G26" s="24">
        <f>'- 51 -'!F26</f>
        <v>234446</v>
      </c>
      <c r="H26" s="66">
        <v>21.310099571369033</v>
      </c>
      <c r="I26" s="66">
        <f>'- 48 -'!G26</f>
        <v>18.958390553674487</v>
      </c>
    </row>
    <row r="27" spans="1:9" ht="14.1" customHeight="1">
      <c r="A27" s="351" t="s">
        <v>239</v>
      </c>
      <c r="B27" s="352">
        <v>13353</v>
      </c>
      <c r="C27" s="352">
        <f>'- 4 -'!E27</f>
        <v>13675</v>
      </c>
      <c r="D27" s="378">
        <v>11.903343827107975</v>
      </c>
      <c r="E27" s="378">
        <f>'- 9 -'!C27</f>
        <v>11.498787654625405</v>
      </c>
      <c r="F27" s="352">
        <v>142540</v>
      </c>
      <c r="G27" s="352">
        <f>'- 51 -'!F27</f>
        <v>169376</v>
      </c>
      <c r="H27" s="378">
        <v>21.734583333079545</v>
      </c>
      <c r="I27" s="378">
        <f>'- 48 -'!G27</f>
        <v>18.266735356602293</v>
      </c>
    </row>
    <row r="28" spans="1:9" ht="14.1" customHeight="1">
      <c r="A28" s="23" t="s">
        <v>240</v>
      </c>
      <c r="B28" s="24">
        <v>11270</v>
      </c>
      <c r="C28" s="24">
        <f>'- 4 -'!E28</f>
        <v>13006</v>
      </c>
      <c r="D28" s="66">
        <v>13.398784478728377</v>
      </c>
      <c r="E28" s="66">
        <f>'- 9 -'!C28</f>
        <v>12.11276332094176</v>
      </c>
      <c r="F28" s="24">
        <v>275857</v>
      </c>
      <c r="G28" s="24">
        <f>'- 51 -'!F28</f>
        <v>317147</v>
      </c>
      <c r="H28" s="66">
        <v>15.799986367024479</v>
      </c>
      <c r="I28" s="66">
        <f>'- 48 -'!G28</f>
        <v>14.822389746303783</v>
      </c>
    </row>
    <row r="29" spans="1:9" ht="14.1" customHeight="1">
      <c r="A29" s="351" t="s">
        <v>241</v>
      </c>
      <c r="B29" s="352">
        <v>11132</v>
      </c>
      <c r="C29" s="352">
        <f>'- 4 -'!E29</f>
        <v>11256</v>
      </c>
      <c r="D29" s="378">
        <v>13.752661583899993</v>
      </c>
      <c r="E29" s="378">
        <f>'- 9 -'!C29</f>
        <v>13.970503646780021</v>
      </c>
      <c r="F29" s="352">
        <v>409189</v>
      </c>
      <c r="G29" s="352">
        <f>'- 51 -'!F29</f>
        <v>467839</v>
      </c>
      <c r="H29" s="378">
        <v>14.171129536129861</v>
      </c>
      <c r="I29" s="378">
        <f>'- 48 -'!G29</f>
        <v>12.877250662813736</v>
      </c>
    </row>
    <row r="30" spans="1:9" ht="14.1" customHeight="1">
      <c r="A30" s="23" t="s">
        <v>242</v>
      </c>
      <c r="B30" s="24">
        <v>11557</v>
      </c>
      <c r="C30" s="24">
        <f>'- 4 -'!E30</f>
        <v>12343</v>
      </c>
      <c r="D30" s="66">
        <v>13.461309168951949</v>
      </c>
      <c r="E30" s="66">
        <f>'- 9 -'!C30</f>
        <v>13.024751273962631</v>
      </c>
      <c r="F30" s="24">
        <v>231885</v>
      </c>
      <c r="G30" s="24">
        <f>'- 51 -'!F30</f>
        <v>273276</v>
      </c>
      <c r="H30" s="66">
        <v>18.890004331886431</v>
      </c>
      <c r="I30" s="66">
        <f>'- 48 -'!G30</f>
        <v>16.943112729889908</v>
      </c>
    </row>
    <row r="31" spans="1:9" ht="14.1" customHeight="1">
      <c r="A31" s="351" t="s">
        <v>243</v>
      </c>
      <c r="B31" s="352">
        <v>10097</v>
      </c>
      <c r="C31" s="352">
        <f>'- 4 -'!E31</f>
        <v>10113</v>
      </c>
      <c r="D31" s="378">
        <v>13.345194203892653</v>
      </c>
      <c r="E31" s="378">
        <f>'- 9 -'!C31</f>
        <v>13.295864440902609</v>
      </c>
      <c r="F31" s="352">
        <v>257290</v>
      </c>
      <c r="G31" s="352">
        <f>'- 51 -'!F31</f>
        <v>284341</v>
      </c>
      <c r="H31" s="378">
        <v>16.849638303999118</v>
      </c>
      <c r="I31" s="378">
        <f>'- 48 -'!G31</f>
        <v>15.45326209450042</v>
      </c>
    </row>
    <row r="32" spans="1:9" ht="14.1" customHeight="1">
      <c r="A32" s="23" t="s">
        <v>244</v>
      </c>
      <c r="B32" s="24">
        <v>11322</v>
      </c>
      <c r="C32" s="24">
        <f>'- 4 -'!E32</f>
        <v>11906</v>
      </c>
      <c r="D32" s="66">
        <v>12.945248584015101</v>
      </c>
      <c r="E32" s="66">
        <f>'- 9 -'!C32</f>
        <v>12.701842390462922</v>
      </c>
      <c r="F32" s="24">
        <v>308112</v>
      </c>
      <c r="G32" s="24">
        <f>'- 51 -'!F32</f>
        <v>353238</v>
      </c>
      <c r="H32" s="66">
        <v>14.800594313118088</v>
      </c>
      <c r="I32" s="66">
        <f>'- 48 -'!G32</f>
        <v>13.705118650003305</v>
      </c>
    </row>
    <row r="33" spans="1:9" ht="14.1" customHeight="1">
      <c r="A33" s="351" t="s">
        <v>245</v>
      </c>
      <c r="B33" s="352">
        <v>12580</v>
      </c>
      <c r="C33" s="352">
        <f>'- 4 -'!E33</f>
        <v>12715</v>
      </c>
      <c r="D33" s="378">
        <v>13.270333095596587</v>
      </c>
      <c r="E33" s="378">
        <f>'- 9 -'!C33</f>
        <v>13.190103309863789</v>
      </c>
      <c r="F33" s="352">
        <v>275524</v>
      </c>
      <c r="G33" s="352">
        <f>'- 51 -'!F33</f>
        <v>327177</v>
      </c>
      <c r="H33" s="378">
        <v>17.128675060382932</v>
      </c>
      <c r="I33" s="378">
        <f>'- 48 -'!G33</f>
        <v>15.222615790973432</v>
      </c>
    </row>
    <row r="34" spans="1:9" ht="14.1" customHeight="1">
      <c r="A34" s="23" t="s">
        <v>246</v>
      </c>
      <c r="B34" s="24">
        <v>11311</v>
      </c>
      <c r="C34" s="24">
        <f>'- 4 -'!E34</f>
        <v>11960</v>
      </c>
      <c r="D34" s="66">
        <v>14.037574839997244</v>
      </c>
      <c r="E34" s="66">
        <f>'- 9 -'!C34</f>
        <v>13.662953598031846</v>
      </c>
      <c r="F34" s="24">
        <v>295119</v>
      </c>
      <c r="G34" s="24">
        <f>'- 51 -'!F34</f>
        <v>345642</v>
      </c>
      <c r="H34" s="66">
        <v>18.46967131856848</v>
      </c>
      <c r="I34" s="66">
        <f>'- 48 -'!G34</f>
        <v>16.252378172249536</v>
      </c>
    </row>
    <row r="35" spans="1:9" ht="14.1" customHeight="1">
      <c r="A35" s="351" t="s">
        <v>247</v>
      </c>
      <c r="B35" s="352">
        <v>10238</v>
      </c>
      <c r="C35" s="352">
        <f>'- 4 -'!E35</f>
        <v>10454</v>
      </c>
      <c r="D35" s="378">
        <v>14.253449296480124</v>
      </c>
      <c r="E35" s="378">
        <f>'- 9 -'!C35</f>
        <v>14.053713049747659</v>
      </c>
      <c r="F35" s="352">
        <v>274682</v>
      </c>
      <c r="G35" s="352">
        <f>'- 51 -'!F35</f>
        <v>317185</v>
      </c>
      <c r="H35" s="378">
        <v>15.81319500556242</v>
      </c>
      <c r="I35" s="378">
        <f>'- 48 -'!G35</f>
        <v>14.229430792843869</v>
      </c>
    </row>
    <row r="36" spans="1:9" ht="14.1" customHeight="1">
      <c r="A36" s="23" t="s">
        <v>248</v>
      </c>
      <c r="B36" s="24">
        <v>12082</v>
      </c>
      <c r="C36" s="24">
        <f>'- 4 -'!E36</f>
        <v>12876</v>
      </c>
      <c r="D36" s="66">
        <v>13.002328551040334</v>
      </c>
      <c r="E36" s="66">
        <f>'- 9 -'!C36</f>
        <v>12.521978442015136</v>
      </c>
      <c r="F36" s="24">
        <v>305761</v>
      </c>
      <c r="G36" s="24">
        <f>'- 51 -'!F36</f>
        <v>368589</v>
      </c>
      <c r="H36" s="66">
        <v>16.790204899083534</v>
      </c>
      <c r="I36" s="66">
        <f>'- 48 -'!G36</f>
        <v>14.853946723177192</v>
      </c>
    </row>
    <row r="37" spans="1:9" ht="14.1" customHeight="1">
      <c r="A37" s="351" t="s">
        <v>249</v>
      </c>
      <c r="B37" s="352">
        <v>10477</v>
      </c>
      <c r="C37" s="352">
        <f>'- 4 -'!E37</f>
        <v>10817</v>
      </c>
      <c r="D37" s="378">
        <v>14.186905604024208</v>
      </c>
      <c r="E37" s="378">
        <f>'- 9 -'!C37</f>
        <v>14.167116110640263</v>
      </c>
      <c r="F37" s="352">
        <v>207775</v>
      </c>
      <c r="G37" s="352">
        <f>'- 51 -'!F37</f>
        <v>241790</v>
      </c>
      <c r="H37" s="378">
        <v>15.991872465850269</v>
      </c>
      <c r="I37" s="378">
        <f>'- 48 -'!G37</f>
        <v>14.84616126729183</v>
      </c>
    </row>
    <row r="38" spans="1:9" ht="14.1" customHeight="1">
      <c r="A38" s="23" t="s">
        <v>250</v>
      </c>
      <c r="B38" s="24">
        <v>10272</v>
      </c>
      <c r="C38" s="24">
        <f>'- 4 -'!E38</f>
        <v>10482</v>
      </c>
      <c r="D38" s="66">
        <v>15.04535548094481</v>
      </c>
      <c r="E38" s="66">
        <f>'- 9 -'!C38</f>
        <v>14.59511140671766</v>
      </c>
      <c r="F38" s="24">
        <v>229601</v>
      </c>
      <c r="G38" s="24">
        <f>'- 51 -'!F38</f>
        <v>253401</v>
      </c>
      <c r="H38" s="66">
        <v>17.385442281349981</v>
      </c>
      <c r="I38" s="66">
        <f>'- 48 -'!G38</f>
        <v>16.207341577020323</v>
      </c>
    </row>
    <row r="39" spans="1:9" ht="14.1" customHeight="1">
      <c r="A39" s="351" t="s">
        <v>251</v>
      </c>
      <c r="B39" s="352">
        <v>11749</v>
      </c>
      <c r="C39" s="352">
        <f>'- 4 -'!E39</f>
        <v>12645</v>
      </c>
      <c r="D39" s="378">
        <v>13.150147203140333</v>
      </c>
      <c r="E39" s="378">
        <f>'- 9 -'!C39</f>
        <v>12.821355236139631</v>
      </c>
      <c r="F39" s="352">
        <v>356056</v>
      </c>
      <c r="G39" s="352">
        <f>'- 51 -'!F39</f>
        <v>411481</v>
      </c>
      <c r="H39" s="378">
        <v>15.197590880923656</v>
      </c>
      <c r="I39" s="378">
        <f>'- 48 -'!G39</f>
        <v>14.584021483105188</v>
      </c>
    </row>
    <row r="40" spans="1:9" ht="14.1" customHeight="1">
      <c r="A40" s="23" t="s">
        <v>252</v>
      </c>
      <c r="B40" s="24">
        <v>11080</v>
      </c>
      <c r="C40" s="24">
        <f>'- 4 -'!E40</f>
        <v>11445</v>
      </c>
      <c r="D40" s="66">
        <v>14.015785861358959</v>
      </c>
      <c r="E40" s="66">
        <f>'- 9 -'!C40</f>
        <v>13.904061564771268</v>
      </c>
      <c r="F40" s="24">
        <v>393848</v>
      </c>
      <c r="G40" s="24">
        <f>'- 51 -'!F40</f>
        <v>460516</v>
      </c>
      <c r="H40" s="66">
        <v>14.077534892091405</v>
      </c>
      <c r="I40" s="66">
        <f>'- 48 -'!G40</f>
        <v>12.583316157433099</v>
      </c>
    </row>
    <row r="41" spans="1:9" ht="14.1" customHeight="1">
      <c r="A41" s="351" t="s">
        <v>253</v>
      </c>
      <c r="B41" s="352">
        <v>12188</v>
      </c>
      <c r="C41" s="352">
        <f>'- 4 -'!E41</f>
        <v>12345</v>
      </c>
      <c r="D41" s="378">
        <v>12.722974120844897</v>
      </c>
      <c r="E41" s="378">
        <f>'- 9 -'!C41</f>
        <v>12.805675614194724</v>
      </c>
      <c r="F41" s="352">
        <v>326590</v>
      </c>
      <c r="G41" s="352">
        <f>'- 51 -'!F41</f>
        <v>380872</v>
      </c>
      <c r="H41" s="378">
        <v>16.489849022298277</v>
      </c>
      <c r="I41" s="378">
        <f>'- 48 -'!G41</f>
        <v>14.833116448910015</v>
      </c>
    </row>
    <row r="42" spans="1:9" ht="14.1" customHeight="1">
      <c r="A42" s="23" t="s">
        <v>254</v>
      </c>
      <c r="B42" s="24">
        <v>12625</v>
      </c>
      <c r="C42" s="24">
        <f>'- 4 -'!E42</f>
        <v>13494</v>
      </c>
      <c r="D42" s="66">
        <v>12.803668815071889</v>
      </c>
      <c r="E42" s="66">
        <f>'- 9 -'!C42</f>
        <v>12.241813602015112</v>
      </c>
      <c r="F42" s="24">
        <v>191941</v>
      </c>
      <c r="G42" s="24">
        <f>'- 51 -'!F42</f>
        <v>232150</v>
      </c>
      <c r="H42" s="66">
        <v>21.210105703935742</v>
      </c>
      <c r="I42" s="66">
        <f>'- 48 -'!G42</f>
        <v>18.678140521394276</v>
      </c>
    </row>
    <row r="43" spans="1:9" ht="14.1" customHeight="1">
      <c r="A43" s="351" t="s">
        <v>255</v>
      </c>
      <c r="B43" s="352">
        <v>11550</v>
      </c>
      <c r="C43" s="352">
        <f>'- 4 -'!E43</f>
        <v>12182</v>
      </c>
      <c r="D43" s="378">
        <v>13.741572399785609</v>
      </c>
      <c r="E43" s="378">
        <f>'- 9 -'!C43</f>
        <v>12.800412688137238</v>
      </c>
      <c r="F43" s="352">
        <v>294611</v>
      </c>
      <c r="G43" s="352">
        <f>'- 51 -'!F43</f>
        <v>348361</v>
      </c>
      <c r="H43" s="378">
        <v>17.561963451040366</v>
      </c>
      <c r="I43" s="378">
        <f>'- 48 -'!G43</f>
        <v>15.797757219516564</v>
      </c>
    </row>
    <row r="44" spans="1:9" ht="14.1" customHeight="1">
      <c r="A44" s="23" t="s">
        <v>256</v>
      </c>
      <c r="B44" s="24">
        <v>12931</v>
      </c>
      <c r="C44" s="24">
        <f>'- 4 -'!E44</f>
        <v>13428</v>
      </c>
      <c r="D44" s="66">
        <v>12.561495572318792</v>
      </c>
      <c r="E44" s="66">
        <f>'- 9 -'!C44</f>
        <v>12.441783100465734</v>
      </c>
      <c r="F44" s="24">
        <v>171103</v>
      </c>
      <c r="G44" s="24">
        <f>'- 51 -'!F44</f>
        <v>182473</v>
      </c>
      <c r="H44" s="66">
        <v>19.725150319648225</v>
      </c>
      <c r="I44" s="66">
        <f>'- 48 -'!G44</f>
        <v>19.318488330085227</v>
      </c>
    </row>
    <row r="45" spans="1:9" ht="14.1" customHeight="1">
      <c r="A45" s="351" t="s">
        <v>257</v>
      </c>
      <c r="B45" s="352">
        <v>9302</v>
      </c>
      <c r="C45" s="352">
        <f>'- 4 -'!E45</f>
        <v>9604</v>
      </c>
      <c r="D45" s="378">
        <v>15.082121069920225</v>
      </c>
      <c r="E45" s="378">
        <f>'- 9 -'!C45</f>
        <v>15.130680265913851</v>
      </c>
      <c r="F45" s="352">
        <v>219015</v>
      </c>
      <c r="G45" s="352">
        <f>'- 51 -'!F45</f>
        <v>237925</v>
      </c>
      <c r="H45" s="378">
        <v>17.9818897121751</v>
      </c>
      <c r="I45" s="378">
        <f>'- 48 -'!G45</f>
        <v>17.976475772334258</v>
      </c>
    </row>
    <row r="46" spans="1:9" ht="14.1" customHeight="1">
      <c r="A46" s="23" t="s">
        <v>258</v>
      </c>
      <c r="B46" s="24">
        <v>11058</v>
      </c>
      <c r="C46" s="24">
        <f>'- 4 -'!E46</f>
        <v>11271</v>
      </c>
      <c r="D46" s="66">
        <v>13.68538097141623</v>
      </c>
      <c r="E46" s="66">
        <f>'- 9 -'!C46</f>
        <v>13.808479399662852</v>
      </c>
      <c r="F46" s="24">
        <v>279505</v>
      </c>
      <c r="G46" s="24">
        <f>'- 51 -'!F46</f>
        <v>312565</v>
      </c>
      <c r="H46" s="66">
        <v>16.513226807077594</v>
      </c>
      <c r="I46" s="66">
        <f>'- 48 -'!G46</f>
        <v>15.563316941711673</v>
      </c>
    </row>
    <row r="47" spans="1:9" ht="5.0999999999999996" customHeight="1">
      <c r="B47" s="171"/>
      <c r="C47" s="171"/>
      <c r="D47" s="269"/>
      <c r="E47" s="269"/>
      <c r="F47" s="171"/>
      <c r="G47" s="171"/>
      <c r="H47" s="269"/>
      <c r="I47" s="269"/>
    </row>
    <row r="48" spans="1:9" ht="14.1" customHeight="1">
      <c r="A48" s="354" t="s">
        <v>259</v>
      </c>
      <c r="B48" s="410">
        <v>11160</v>
      </c>
      <c r="C48" s="410">
        <f>'- 4 -'!E48</f>
        <v>11473</v>
      </c>
      <c r="D48" s="476">
        <v>13.688448056767198</v>
      </c>
      <c r="E48" s="476">
        <f>'- 9 -'!C48</f>
        <v>13.583599095375327</v>
      </c>
      <c r="F48" s="410">
        <v>277985.16440470191</v>
      </c>
      <c r="G48" s="410">
        <f>'- 51 -'!F48</f>
        <v>317611.57242137002</v>
      </c>
      <c r="H48" s="476">
        <v>15.966978298275526</v>
      </c>
      <c r="I48" s="476">
        <f>'- 48 -'!G48</f>
        <v>14.657406684072306</v>
      </c>
    </row>
    <row r="49" spans="1:9" ht="5.0999999999999996" customHeight="1">
      <c r="B49" s="171"/>
      <c r="C49" s="171"/>
      <c r="D49" s="269"/>
      <c r="E49" s="269"/>
      <c r="F49" s="171"/>
      <c r="G49" s="171"/>
      <c r="H49" s="269"/>
      <c r="I49" s="269"/>
    </row>
    <row r="50" spans="1:9" ht="14.45" customHeight="1">
      <c r="A50" s="23" t="s">
        <v>260</v>
      </c>
      <c r="B50" s="24">
        <v>16343</v>
      </c>
      <c r="C50" s="24">
        <f>'- 4 -'!E50</f>
        <v>17787</v>
      </c>
      <c r="D50" s="267">
        <v>9.0047393364928912</v>
      </c>
      <c r="E50" s="267">
        <f>'- 9 -'!C50</f>
        <v>8.5781990521327014</v>
      </c>
      <c r="F50" s="170"/>
      <c r="G50" s="170"/>
      <c r="H50" s="267"/>
      <c r="I50" s="267"/>
    </row>
    <row r="51" spans="1:9" ht="50.1" customHeight="1">
      <c r="A51" s="27"/>
      <c r="B51" s="27"/>
      <c r="C51" s="27"/>
      <c r="D51" s="27"/>
      <c r="E51" s="27"/>
      <c r="F51" s="27"/>
      <c r="G51" s="27"/>
      <c r="H51" s="27"/>
      <c r="I51" s="27"/>
    </row>
    <row r="52" spans="1:9" ht="15" customHeight="1">
      <c r="A52" s="39" t="s">
        <v>537</v>
      </c>
      <c r="B52" s="39"/>
      <c r="C52" s="39"/>
      <c r="D52" s="39"/>
      <c r="E52" s="39"/>
      <c r="F52" s="39"/>
    </row>
    <row r="53" spans="1:9" ht="12" customHeight="1">
      <c r="A53" s="39" t="s">
        <v>538</v>
      </c>
      <c r="B53" s="39"/>
      <c r="C53" s="39"/>
      <c r="D53" s="39"/>
      <c r="E53" s="39"/>
      <c r="F53" s="39"/>
    </row>
    <row r="54" spans="1:9" ht="12" customHeight="1">
      <c r="A54" s="39" t="s">
        <v>539</v>
      </c>
      <c r="B54" s="39"/>
      <c r="C54" s="39"/>
      <c r="D54" s="39"/>
      <c r="E54" s="39"/>
      <c r="F54" s="39"/>
    </row>
    <row r="55" spans="1:9">
      <c r="A55" s="39" t="s">
        <v>626</v>
      </c>
    </row>
  </sheetData>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G63"/>
  <sheetViews>
    <sheetView showGridLines="0" showZeros="0" workbookViewId="0"/>
  </sheetViews>
  <sheetFormatPr defaultColWidth="16.83203125" defaultRowHeight="12"/>
  <cols>
    <col min="1" max="1" width="32.83203125" style="1" customWidth="1"/>
    <col min="2" max="7" width="16.83203125" style="1" customWidth="1"/>
    <col min="8" max="16384" width="16.83203125" style="1"/>
  </cols>
  <sheetData>
    <row r="1" spans="1:7" ht="6.95" customHeight="1">
      <c r="A1" s="3"/>
      <c r="B1" s="4"/>
      <c r="C1" s="4"/>
      <c r="D1" s="4"/>
      <c r="E1" s="4"/>
      <c r="F1" s="4"/>
    </row>
    <row r="2" spans="1:7" ht="15.95" customHeight="1">
      <c r="A2" s="41"/>
      <c r="B2" s="125" t="s">
        <v>165</v>
      </c>
      <c r="C2" s="6"/>
      <c r="D2" s="6"/>
      <c r="E2" s="6"/>
      <c r="F2" s="105"/>
      <c r="G2" s="105"/>
    </row>
    <row r="3" spans="1:7" ht="15.95" customHeight="1">
      <c r="A3" s="45"/>
      <c r="B3" s="106" t="s">
        <v>329</v>
      </c>
      <c r="C3" s="8"/>
      <c r="D3" s="8"/>
      <c r="E3" s="8"/>
      <c r="F3" s="107"/>
      <c r="G3" s="107"/>
    </row>
    <row r="4" spans="1:7" ht="15.95" customHeight="1">
      <c r="B4" s="4"/>
      <c r="C4" s="4"/>
      <c r="D4" s="4"/>
      <c r="E4" s="4"/>
      <c r="F4" s="4"/>
    </row>
    <row r="5" spans="1:7" ht="15.95" customHeight="1">
      <c r="B5" s="372" t="s">
        <v>344</v>
      </c>
      <c r="C5" s="373"/>
      <c r="D5" s="374"/>
      <c r="E5" s="375" t="s">
        <v>345</v>
      </c>
      <c r="F5" s="376" t="s">
        <v>346</v>
      </c>
      <c r="G5" s="377" t="s">
        <v>346</v>
      </c>
    </row>
    <row r="6" spans="1:7" ht="15.95" customHeight="1">
      <c r="B6" s="630" t="s">
        <v>180</v>
      </c>
      <c r="C6" s="631"/>
      <c r="D6" s="632"/>
      <c r="E6" s="108" t="s">
        <v>181</v>
      </c>
      <c r="F6" s="109" t="s">
        <v>180</v>
      </c>
      <c r="G6" s="109" t="s">
        <v>180</v>
      </c>
    </row>
    <row r="7" spans="1:7" ht="15.95" customHeight="1">
      <c r="B7" s="633" t="s">
        <v>591</v>
      </c>
      <c r="C7" s="634"/>
      <c r="D7" s="635"/>
      <c r="E7" s="123" t="s">
        <v>605</v>
      </c>
      <c r="F7" s="123" t="s">
        <v>591</v>
      </c>
      <c r="G7" s="123" t="s">
        <v>523</v>
      </c>
    </row>
    <row r="8" spans="1:7" ht="15.95" customHeight="1">
      <c r="A8" s="101"/>
      <c r="B8" s="522" t="s">
        <v>413</v>
      </c>
      <c r="C8" s="523" t="s">
        <v>70</v>
      </c>
      <c r="D8" s="522" t="s">
        <v>414</v>
      </c>
      <c r="E8" s="523" t="s">
        <v>412</v>
      </c>
      <c r="F8" s="523" t="s">
        <v>414</v>
      </c>
      <c r="G8" s="11" t="s">
        <v>414</v>
      </c>
    </row>
    <row r="9" spans="1:7" ht="15.95" customHeight="1">
      <c r="A9" s="35" t="s">
        <v>79</v>
      </c>
      <c r="B9" s="524" t="s">
        <v>166</v>
      </c>
      <c r="C9" s="524" t="s">
        <v>166</v>
      </c>
      <c r="D9" s="524" t="s">
        <v>166</v>
      </c>
      <c r="E9" s="525" t="s">
        <v>166</v>
      </c>
      <c r="F9" s="525" t="s">
        <v>166</v>
      </c>
      <c r="G9" s="124" t="s">
        <v>166</v>
      </c>
    </row>
    <row r="10" spans="1:7" ht="5.0999999999999996" customHeight="1">
      <c r="A10" s="37"/>
    </row>
    <row r="11" spans="1:7" ht="14.1" customHeight="1">
      <c r="A11" s="351" t="s">
        <v>224</v>
      </c>
      <c r="B11" s="352">
        <v>1488</v>
      </c>
      <c r="C11" s="352">
        <v>0</v>
      </c>
      <c r="D11" s="352">
        <v>1488</v>
      </c>
      <c r="E11" s="378">
        <f>'- 7 -'!F11</f>
        <v>1479</v>
      </c>
      <c r="F11" s="378">
        <v>1428.5</v>
      </c>
      <c r="G11" s="378">
        <v>1448.2</v>
      </c>
    </row>
    <row r="12" spans="1:7" ht="14.1" customHeight="1">
      <c r="A12" s="23" t="s">
        <v>225</v>
      </c>
      <c r="B12" s="24">
        <v>2395</v>
      </c>
      <c r="C12" s="24">
        <v>0</v>
      </c>
      <c r="D12" s="24">
        <v>2395</v>
      </c>
      <c r="E12" s="66">
        <f>'- 7 -'!F12</f>
        <v>2309.8200000000002</v>
      </c>
      <c r="F12" s="66">
        <v>2191.5</v>
      </c>
      <c r="G12" s="66">
        <v>2239.3000000000002</v>
      </c>
    </row>
    <row r="13" spans="1:7" ht="14.1" customHeight="1">
      <c r="A13" s="351" t="s">
        <v>226</v>
      </c>
      <c r="B13" s="352">
        <v>7932</v>
      </c>
      <c r="C13" s="352">
        <v>0</v>
      </c>
      <c r="D13" s="352">
        <v>7932</v>
      </c>
      <c r="E13" s="378">
        <f>'- 7 -'!F13</f>
        <v>7728</v>
      </c>
      <c r="F13" s="378">
        <v>7524.4</v>
      </c>
      <c r="G13" s="378">
        <v>7334</v>
      </c>
    </row>
    <row r="14" spans="1:7" ht="14.1" customHeight="1">
      <c r="A14" s="23" t="s">
        <v>524</v>
      </c>
      <c r="B14" s="24">
        <v>4952</v>
      </c>
      <c r="C14" s="24">
        <v>0</v>
      </c>
      <c r="D14" s="24">
        <v>4952</v>
      </c>
      <c r="E14" s="66">
        <f>'- 7 -'!F14</f>
        <v>5040</v>
      </c>
      <c r="F14" s="66">
        <v>4703.6000000000004</v>
      </c>
      <c r="G14" s="66">
        <v>4700.5</v>
      </c>
    </row>
    <row r="15" spans="1:7" ht="14.1" customHeight="1">
      <c r="A15" s="351" t="s">
        <v>227</v>
      </c>
      <c r="B15" s="352">
        <v>1588</v>
      </c>
      <c r="C15" s="352">
        <v>0</v>
      </c>
      <c r="D15" s="352">
        <v>1588</v>
      </c>
      <c r="E15" s="378">
        <f>'- 7 -'!F15</f>
        <v>1494</v>
      </c>
      <c r="F15" s="378">
        <v>1499.6</v>
      </c>
      <c r="G15" s="378">
        <v>1541.2</v>
      </c>
    </row>
    <row r="16" spans="1:7" ht="14.1" customHeight="1">
      <c r="A16" s="23" t="s">
        <v>228</v>
      </c>
      <c r="B16" s="24">
        <v>1024</v>
      </c>
      <c r="C16" s="24">
        <v>0</v>
      </c>
      <c r="D16" s="24">
        <v>1024</v>
      </c>
      <c r="E16" s="66">
        <f>'- 7 -'!F16</f>
        <v>989.5</v>
      </c>
      <c r="F16" s="66">
        <v>959.4</v>
      </c>
      <c r="G16" s="66">
        <v>991.1</v>
      </c>
    </row>
    <row r="17" spans="1:7" ht="14.1" customHeight="1">
      <c r="A17" s="351" t="s">
        <v>229</v>
      </c>
      <c r="B17" s="352">
        <v>1363</v>
      </c>
      <c r="C17" s="352">
        <v>0</v>
      </c>
      <c r="D17" s="352">
        <v>1363</v>
      </c>
      <c r="E17" s="378">
        <f>'- 7 -'!F17</f>
        <v>1285.5</v>
      </c>
      <c r="F17" s="378">
        <v>1273.7</v>
      </c>
      <c r="G17" s="378">
        <v>1295.5</v>
      </c>
    </row>
    <row r="18" spans="1:7" ht="14.1" customHeight="1">
      <c r="A18" s="23" t="s">
        <v>230</v>
      </c>
      <c r="B18" s="24">
        <v>6526</v>
      </c>
      <c r="C18" s="24">
        <v>486</v>
      </c>
      <c r="D18" s="24">
        <v>6040</v>
      </c>
      <c r="E18" s="66">
        <f>'- 7 -'!F18</f>
        <v>6323.5</v>
      </c>
      <c r="F18" s="66">
        <v>2501.4</v>
      </c>
      <c r="G18" s="66">
        <v>2566.4</v>
      </c>
    </row>
    <row r="19" spans="1:7" ht="14.1" customHeight="1">
      <c r="A19" s="351" t="s">
        <v>231</v>
      </c>
      <c r="B19" s="352">
        <v>4291</v>
      </c>
      <c r="C19" s="352">
        <v>0</v>
      </c>
      <c r="D19" s="352">
        <v>4291</v>
      </c>
      <c r="E19" s="378">
        <f>'- 7 -'!F19</f>
        <v>4213</v>
      </c>
      <c r="F19" s="378">
        <v>4113.8999999999996</v>
      </c>
      <c r="G19" s="378">
        <v>4116</v>
      </c>
    </row>
    <row r="20" spans="1:7" ht="14.1" customHeight="1">
      <c r="A20" s="23" t="s">
        <v>232</v>
      </c>
      <c r="B20" s="24">
        <v>7590</v>
      </c>
      <c r="C20" s="24">
        <v>0</v>
      </c>
      <c r="D20" s="24">
        <v>7590</v>
      </c>
      <c r="E20" s="66">
        <f>'- 7 -'!F20</f>
        <v>7425</v>
      </c>
      <c r="F20" s="66">
        <v>7288</v>
      </c>
      <c r="G20" s="66">
        <v>7222.2</v>
      </c>
    </row>
    <row r="21" spans="1:7" ht="14.1" customHeight="1">
      <c r="A21" s="351" t="s">
        <v>233</v>
      </c>
      <c r="B21" s="352">
        <v>2942</v>
      </c>
      <c r="C21" s="352">
        <v>0</v>
      </c>
      <c r="D21" s="352">
        <v>2942</v>
      </c>
      <c r="E21" s="378">
        <f>'- 7 -'!F21</f>
        <v>2790</v>
      </c>
      <c r="F21" s="378">
        <v>2836.4</v>
      </c>
      <c r="G21" s="378">
        <v>2884.6</v>
      </c>
    </row>
    <row r="22" spans="1:7" ht="14.1" customHeight="1">
      <c r="A22" s="23" t="s">
        <v>234</v>
      </c>
      <c r="B22" s="24">
        <v>1624</v>
      </c>
      <c r="C22" s="24">
        <v>0</v>
      </c>
      <c r="D22" s="24">
        <v>1624</v>
      </c>
      <c r="E22" s="66">
        <f>'- 7 -'!F22</f>
        <v>1614.5</v>
      </c>
      <c r="F22" s="66">
        <v>1565.2</v>
      </c>
      <c r="G22" s="66">
        <v>1593.5</v>
      </c>
    </row>
    <row r="23" spans="1:7" ht="14.1" customHeight="1">
      <c r="A23" s="351" t="s">
        <v>235</v>
      </c>
      <c r="B23" s="352">
        <v>1239</v>
      </c>
      <c r="C23" s="352">
        <v>0</v>
      </c>
      <c r="D23" s="352">
        <v>1239</v>
      </c>
      <c r="E23" s="378">
        <f>'- 7 -'!F23</f>
        <v>1195.5</v>
      </c>
      <c r="F23" s="378">
        <v>1068.9000000000001</v>
      </c>
      <c r="G23" s="378">
        <v>1112.5999999999999</v>
      </c>
    </row>
    <row r="24" spans="1:7" ht="14.1" customHeight="1">
      <c r="A24" s="23" t="s">
        <v>236</v>
      </c>
      <c r="B24" s="24">
        <v>4481</v>
      </c>
      <c r="C24" s="24">
        <v>0</v>
      </c>
      <c r="D24" s="24">
        <v>4481</v>
      </c>
      <c r="E24" s="66">
        <f>'- 7 -'!F24</f>
        <v>4272</v>
      </c>
      <c r="F24" s="66">
        <v>4237.6000000000004</v>
      </c>
      <c r="G24" s="66">
        <v>4271.8999999999996</v>
      </c>
    </row>
    <row r="25" spans="1:7" ht="14.1" customHeight="1">
      <c r="A25" s="351" t="s">
        <v>237</v>
      </c>
      <c r="B25" s="352">
        <v>14269</v>
      </c>
      <c r="C25" s="352">
        <v>0</v>
      </c>
      <c r="D25" s="352">
        <v>14269</v>
      </c>
      <c r="E25" s="378">
        <f>'- 7 -'!F25</f>
        <v>13592</v>
      </c>
      <c r="F25" s="378">
        <v>13592.3</v>
      </c>
      <c r="G25" s="378">
        <v>13609.7</v>
      </c>
    </row>
    <row r="26" spans="1:7" ht="14.1" customHeight="1">
      <c r="A26" s="23" t="s">
        <v>238</v>
      </c>
      <c r="B26" s="24">
        <v>3227</v>
      </c>
      <c r="C26" s="24">
        <v>0</v>
      </c>
      <c r="D26" s="24">
        <v>3227</v>
      </c>
      <c r="E26" s="66">
        <f>'- 7 -'!F26</f>
        <v>2989</v>
      </c>
      <c r="F26" s="66">
        <v>2950.8</v>
      </c>
      <c r="G26" s="66">
        <v>2991.4</v>
      </c>
    </row>
    <row r="27" spans="1:7" ht="14.1" customHeight="1">
      <c r="A27" s="351" t="s">
        <v>239</v>
      </c>
      <c r="B27" s="352">
        <v>2911</v>
      </c>
      <c r="C27" s="352">
        <v>0</v>
      </c>
      <c r="D27" s="352">
        <v>2911</v>
      </c>
      <c r="E27" s="378">
        <f>'- 7 -'!F27</f>
        <v>2798</v>
      </c>
      <c r="F27" s="378">
        <v>2748.3</v>
      </c>
      <c r="G27" s="378">
        <v>2802.6</v>
      </c>
    </row>
    <row r="28" spans="1:7" ht="14.1" customHeight="1">
      <c r="A28" s="23" t="s">
        <v>240</v>
      </c>
      <c r="B28" s="24">
        <v>2057</v>
      </c>
      <c r="C28" s="24">
        <v>0</v>
      </c>
      <c r="D28" s="24">
        <v>2057</v>
      </c>
      <c r="E28" s="66">
        <f>'- 7 -'!F28</f>
        <v>1955</v>
      </c>
      <c r="F28" s="66">
        <v>1528.5</v>
      </c>
      <c r="G28" s="66">
        <v>1569.4</v>
      </c>
    </row>
    <row r="29" spans="1:7" ht="14.1" customHeight="1">
      <c r="A29" s="351" t="s">
        <v>241</v>
      </c>
      <c r="B29" s="352">
        <v>12684</v>
      </c>
      <c r="C29" s="352">
        <v>0</v>
      </c>
      <c r="D29" s="352">
        <v>12684</v>
      </c>
      <c r="E29" s="378">
        <f>'- 7 -'!F29</f>
        <v>12144</v>
      </c>
      <c r="F29" s="378">
        <v>12072</v>
      </c>
      <c r="G29" s="378">
        <v>12020.5</v>
      </c>
    </row>
    <row r="30" spans="1:7" ht="14.1" customHeight="1">
      <c r="A30" s="23" t="s">
        <v>242</v>
      </c>
      <c r="B30" s="24">
        <v>1130</v>
      </c>
      <c r="C30" s="24">
        <v>0</v>
      </c>
      <c r="D30" s="24">
        <v>1130</v>
      </c>
      <c r="E30" s="66">
        <f>'- 7 -'!F30</f>
        <v>1073.5</v>
      </c>
      <c r="F30" s="66">
        <v>1097</v>
      </c>
      <c r="G30" s="66">
        <v>1126</v>
      </c>
    </row>
    <row r="31" spans="1:7" ht="14.1" customHeight="1">
      <c r="A31" s="351" t="s">
        <v>243</v>
      </c>
      <c r="B31" s="352">
        <v>3306</v>
      </c>
      <c r="C31" s="352">
        <v>0</v>
      </c>
      <c r="D31" s="352">
        <v>3306</v>
      </c>
      <c r="E31" s="378">
        <f>'- 7 -'!F31</f>
        <v>3170</v>
      </c>
      <c r="F31" s="378">
        <v>3074.6</v>
      </c>
      <c r="G31" s="378">
        <v>2991.1</v>
      </c>
    </row>
    <row r="32" spans="1:7" ht="14.1" customHeight="1">
      <c r="A32" s="23" t="s">
        <v>244</v>
      </c>
      <c r="B32" s="24">
        <v>2152</v>
      </c>
      <c r="C32" s="24">
        <v>0</v>
      </c>
      <c r="D32" s="24">
        <v>2152</v>
      </c>
      <c r="E32" s="66">
        <f>'- 7 -'!F32</f>
        <v>2051.0300000000002</v>
      </c>
      <c r="F32" s="66">
        <v>2051.9</v>
      </c>
      <c r="G32" s="66">
        <v>2030.8</v>
      </c>
    </row>
    <row r="33" spans="1:7" ht="14.1" customHeight="1">
      <c r="A33" s="351" t="s">
        <v>245</v>
      </c>
      <c r="B33" s="352">
        <v>2120</v>
      </c>
      <c r="C33" s="352">
        <v>0</v>
      </c>
      <c r="D33" s="352">
        <v>2120</v>
      </c>
      <c r="E33" s="378">
        <f>'- 7 -'!F33</f>
        <v>2004.5</v>
      </c>
      <c r="F33" s="378">
        <v>2003.5</v>
      </c>
      <c r="G33" s="378">
        <v>2060.4</v>
      </c>
    </row>
    <row r="34" spans="1:7" ht="14.1" customHeight="1">
      <c r="A34" s="23" t="s">
        <v>246</v>
      </c>
      <c r="B34" s="24">
        <v>2062</v>
      </c>
      <c r="C34" s="24">
        <v>0</v>
      </c>
      <c r="D34" s="24">
        <v>2062</v>
      </c>
      <c r="E34" s="66">
        <f>'- 7 -'!F34</f>
        <v>1999.3</v>
      </c>
      <c r="F34" s="66">
        <v>1993.2</v>
      </c>
      <c r="G34" s="66">
        <v>2029.8</v>
      </c>
    </row>
    <row r="35" spans="1:7" ht="14.1" customHeight="1">
      <c r="A35" s="351" t="s">
        <v>247</v>
      </c>
      <c r="B35" s="352">
        <v>16322</v>
      </c>
      <c r="C35" s="352">
        <v>0</v>
      </c>
      <c r="D35" s="352">
        <v>16322</v>
      </c>
      <c r="E35" s="378">
        <f>'- 7 -'!F35</f>
        <v>15594</v>
      </c>
      <c r="F35" s="378">
        <v>15550.6</v>
      </c>
      <c r="G35" s="378">
        <v>15637.6</v>
      </c>
    </row>
    <row r="36" spans="1:7" ht="14.1" customHeight="1">
      <c r="A36" s="23" t="s">
        <v>248</v>
      </c>
      <c r="B36" s="24">
        <v>1722</v>
      </c>
      <c r="C36" s="24">
        <v>0</v>
      </c>
      <c r="D36" s="24">
        <v>1722</v>
      </c>
      <c r="E36" s="66">
        <f>'- 7 -'!F36</f>
        <v>1638</v>
      </c>
      <c r="F36" s="66">
        <v>1554.8</v>
      </c>
      <c r="G36" s="66">
        <v>1652</v>
      </c>
    </row>
    <row r="37" spans="1:7" ht="14.1" customHeight="1">
      <c r="A37" s="351" t="s">
        <v>249</v>
      </c>
      <c r="B37" s="352">
        <v>3828</v>
      </c>
      <c r="C37" s="352">
        <v>0</v>
      </c>
      <c r="D37" s="352">
        <v>3828</v>
      </c>
      <c r="E37" s="378">
        <f>'- 7 -'!F37</f>
        <v>3677.5</v>
      </c>
      <c r="F37" s="378">
        <v>3674.7</v>
      </c>
      <c r="G37" s="378">
        <v>3608.2</v>
      </c>
    </row>
    <row r="38" spans="1:7" ht="14.1" customHeight="1">
      <c r="A38" s="23" t="s">
        <v>250</v>
      </c>
      <c r="B38" s="24">
        <v>10534</v>
      </c>
      <c r="C38" s="24">
        <v>0</v>
      </c>
      <c r="D38" s="24">
        <v>10534</v>
      </c>
      <c r="E38" s="66">
        <f>'- 7 -'!F38</f>
        <v>10533</v>
      </c>
      <c r="F38" s="66">
        <v>10073.9</v>
      </c>
      <c r="G38" s="66">
        <v>9714.7000000000007</v>
      </c>
    </row>
    <row r="39" spans="1:7" ht="14.1" customHeight="1">
      <c r="A39" s="351" t="s">
        <v>251</v>
      </c>
      <c r="B39" s="352">
        <v>1644</v>
      </c>
      <c r="C39" s="352">
        <v>0</v>
      </c>
      <c r="D39" s="352">
        <v>1644</v>
      </c>
      <c r="E39" s="378">
        <f>'- 7 -'!F39</f>
        <v>1561</v>
      </c>
      <c r="F39" s="378">
        <v>1586.7</v>
      </c>
      <c r="G39" s="378">
        <v>1620.6</v>
      </c>
    </row>
    <row r="40" spans="1:7" ht="14.1" customHeight="1">
      <c r="A40" s="23" t="s">
        <v>252</v>
      </c>
      <c r="B40" s="24">
        <v>8496</v>
      </c>
      <c r="C40" s="24">
        <v>0</v>
      </c>
      <c r="D40" s="24">
        <v>8496</v>
      </c>
      <c r="E40" s="66">
        <f>'- 7 -'!F40</f>
        <v>8130.3999999999987</v>
      </c>
      <c r="F40" s="66">
        <v>8074.4</v>
      </c>
      <c r="G40" s="66">
        <v>8068.3</v>
      </c>
    </row>
    <row r="41" spans="1:7" ht="14.1" customHeight="1">
      <c r="A41" s="351" t="s">
        <v>253</v>
      </c>
      <c r="B41" s="352">
        <v>4710</v>
      </c>
      <c r="C41" s="352">
        <v>0</v>
      </c>
      <c r="D41" s="352">
        <v>4710</v>
      </c>
      <c r="E41" s="378">
        <f>'- 7 -'!F41</f>
        <v>4503.5</v>
      </c>
      <c r="F41" s="378">
        <v>4478.3</v>
      </c>
      <c r="G41" s="378">
        <v>4538.8999999999996</v>
      </c>
    </row>
    <row r="42" spans="1:7" ht="14.1" customHeight="1">
      <c r="A42" s="23" t="s">
        <v>254</v>
      </c>
      <c r="B42" s="24">
        <v>1569</v>
      </c>
      <c r="C42" s="24">
        <v>46</v>
      </c>
      <c r="D42" s="24">
        <v>1523</v>
      </c>
      <c r="E42" s="66">
        <f>'- 7 -'!F42</f>
        <v>1458</v>
      </c>
      <c r="F42" s="66">
        <v>1437.5</v>
      </c>
      <c r="G42" s="66">
        <v>1511.6</v>
      </c>
    </row>
    <row r="43" spans="1:7" ht="14.1" customHeight="1">
      <c r="A43" s="351" t="s">
        <v>255</v>
      </c>
      <c r="B43" s="352">
        <v>1018</v>
      </c>
      <c r="C43" s="352">
        <v>0</v>
      </c>
      <c r="D43" s="352">
        <v>1018</v>
      </c>
      <c r="E43" s="378">
        <f>'- 7 -'!F43</f>
        <v>949.125</v>
      </c>
      <c r="F43" s="378">
        <v>972.8</v>
      </c>
      <c r="G43" s="378">
        <v>979.5</v>
      </c>
    </row>
    <row r="44" spans="1:7" ht="14.1" customHeight="1">
      <c r="A44" s="23" t="s">
        <v>256</v>
      </c>
      <c r="B44" s="24">
        <v>743</v>
      </c>
      <c r="C44" s="24">
        <v>0</v>
      </c>
      <c r="D44" s="24">
        <v>743</v>
      </c>
      <c r="E44" s="66">
        <f>'- 7 -'!F44</f>
        <v>748</v>
      </c>
      <c r="F44" s="66">
        <v>711.6</v>
      </c>
      <c r="G44" s="66">
        <v>731</v>
      </c>
    </row>
    <row r="45" spans="1:7" ht="14.1" customHeight="1">
      <c r="A45" s="351" t="s">
        <v>257</v>
      </c>
      <c r="B45" s="352">
        <v>1727</v>
      </c>
      <c r="C45" s="352">
        <v>0</v>
      </c>
      <c r="D45" s="352">
        <v>1727</v>
      </c>
      <c r="E45" s="378">
        <f>'- 7 -'!F45</f>
        <v>1661.5</v>
      </c>
      <c r="F45" s="378">
        <v>1630.7</v>
      </c>
      <c r="G45" s="378">
        <v>1604.3</v>
      </c>
    </row>
    <row r="46" spans="1:7" ht="14.1" customHeight="1">
      <c r="A46" s="23" t="s">
        <v>258</v>
      </c>
      <c r="B46" s="24">
        <v>33481</v>
      </c>
      <c r="C46" s="24">
        <v>1878</v>
      </c>
      <c r="D46" s="24">
        <v>31603</v>
      </c>
      <c r="E46" s="66">
        <f>'- 7 -'!F46</f>
        <v>30472</v>
      </c>
      <c r="F46" s="66">
        <v>29944.799999999999</v>
      </c>
      <c r="G46" s="66">
        <v>29261.3</v>
      </c>
    </row>
    <row r="47" spans="1:7" ht="5.0999999999999996" customHeight="1">
      <c r="A47"/>
      <c r="B47"/>
      <c r="C47"/>
      <c r="D47"/>
      <c r="E47"/>
      <c r="F47"/>
      <c r="G47"/>
    </row>
    <row r="48" spans="1:7" ht="14.1" customHeight="1">
      <c r="A48" s="354" t="s">
        <v>259</v>
      </c>
      <c r="B48" s="355">
        <f t="shared" ref="B48:G48" si="0">SUM(B11:B46)</f>
        <v>181147</v>
      </c>
      <c r="C48" s="355">
        <f t="shared" si="0"/>
        <v>2410</v>
      </c>
      <c r="D48" s="355">
        <f t="shared" si="0"/>
        <v>178737</v>
      </c>
      <c r="E48" s="379">
        <f t="shared" si="0"/>
        <v>172861.67500000002</v>
      </c>
      <c r="F48" s="379">
        <f t="shared" si="0"/>
        <v>165994.99999999997</v>
      </c>
      <c r="G48" s="379">
        <f t="shared" si="0"/>
        <v>165476.70000000001</v>
      </c>
    </row>
    <row r="49" spans="1:7" ht="5.0999999999999996" customHeight="1">
      <c r="A49" s="25" t="s">
        <v>3</v>
      </c>
      <c r="B49" s="26"/>
      <c r="C49" s="26"/>
      <c r="D49" s="26"/>
      <c r="E49" s="69"/>
      <c r="F49" s="69"/>
      <c r="G49" s="69"/>
    </row>
    <row r="50" spans="1:7" ht="14.1" customHeight="1">
      <c r="A50" s="23" t="s">
        <v>260</v>
      </c>
      <c r="B50" s="24">
        <v>182</v>
      </c>
      <c r="C50" s="24">
        <v>0</v>
      </c>
      <c r="D50" s="24">
        <v>182</v>
      </c>
      <c r="E50" s="66">
        <f>'- 7 -'!F50</f>
        <v>181</v>
      </c>
      <c r="F50" s="66">
        <v>178.5</v>
      </c>
      <c r="G50" s="66">
        <v>184</v>
      </c>
    </row>
    <row r="51" spans="1:7" ht="14.1" customHeight="1">
      <c r="A51" s="351" t="s">
        <v>261</v>
      </c>
      <c r="B51" s="352">
        <v>0</v>
      </c>
      <c r="C51" s="352">
        <v>0</v>
      </c>
      <c r="D51" s="352">
        <f>B51-C51</f>
        <v>0</v>
      </c>
      <c r="E51" s="378">
        <f>'- 7 -'!F51</f>
        <v>621</v>
      </c>
      <c r="F51" s="378"/>
      <c r="G51" s="378"/>
    </row>
    <row r="52" spans="1:7" ht="50.1" customHeight="1">
      <c r="A52" s="27"/>
      <c r="B52" s="27"/>
      <c r="C52" s="27"/>
      <c r="D52" s="27"/>
      <c r="E52" s="27"/>
      <c r="F52" s="126"/>
      <c r="G52" s="126"/>
    </row>
    <row r="53" spans="1:7" ht="15" customHeight="1">
      <c r="A53" s="28" t="s">
        <v>558</v>
      </c>
      <c r="C53" s="114"/>
      <c r="D53" s="114"/>
      <c r="E53" s="114"/>
      <c r="F53" s="114"/>
    </row>
    <row r="54" spans="1:7" ht="12" customHeight="1">
      <c r="A54" s="28" t="s">
        <v>613</v>
      </c>
      <c r="C54" s="114"/>
      <c r="D54" s="114"/>
      <c r="E54" s="114"/>
      <c r="F54" s="114"/>
    </row>
    <row r="55" spans="1:7" ht="12" customHeight="1">
      <c r="A55" s="28" t="s">
        <v>583</v>
      </c>
      <c r="C55" s="114"/>
      <c r="D55" s="114"/>
      <c r="E55" s="114"/>
      <c r="F55" s="114"/>
    </row>
    <row r="56" spans="1:7" ht="12" customHeight="1">
      <c r="A56" s="28" t="s">
        <v>612</v>
      </c>
      <c r="C56" s="114"/>
      <c r="D56" s="114"/>
      <c r="E56" s="114"/>
      <c r="F56" s="115"/>
    </row>
    <row r="57" spans="1:7" ht="14.45" customHeight="1">
      <c r="A57" s="28"/>
      <c r="B57" s="114"/>
      <c r="C57" s="114"/>
      <c r="D57" s="114"/>
      <c r="E57" s="114"/>
      <c r="F57" s="114"/>
    </row>
    <row r="58" spans="1:7" ht="14.45" customHeight="1">
      <c r="F58" s="595"/>
      <c r="G58" s="595"/>
    </row>
    <row r="59" spans="1:7" ht="14.45" customHeight="1">
      <c r="F59" s="595"/>
      <c r="G59" s="595"/>
    </row>
    <row r="60" spans="1:7">
      <c r="F60" s="595"/>
      <c r="G60" s="595"/>
    </row>
    <row r="61" spans="1:7">
      <c r="F61" s="595"/>
      <c r="G61" s="595"/>
    </row>
    <row r="62" spans="1:7">
      <c r="F62" s="595"/>
      <c r="G62" s="595"/>
    </row>
    <row r="63" spans="1:7">
      <c r="F63" s="595"/>
      <c r="G63" s="595"/>
    </row>
  </sheetData>
  <mergeCells count="2">
    <mergeCell ref="B6:D6"/>
    <mergeCell ref="B7:D7"/>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D58"/>
  <sheetViews>
    <sheetView showGridLines="0" showZeros="0" workbookViewId="0"/>
  </sheetViews>
  <sheetFormatPr defaultRowHeight="12"/>
  <cols>
    <col min="1" max="1" width="39.83203125" style="1" customWidth="1"/>
    <col min="2" max="3" width="31.83203125" style="1" customWidth="1"/>
    <col min="4" max="4" width="29.83203125" style="1" customWidth="1"/>
    <col min="5" max="16384" width="9.33203125" style="1"/>
  </cols>
  <sheetData>
    <row r="1" spans="1:4" ht="6.95" customHeight="1">
      <c r="A1" s="3"/>
      <c r="B1" s="4"/>
      <c r="C1" s="4"/>
      <c r="D1" s="4"/>
    </row>
    <row r="2" spans="1:4" ht="15.95" customHeight="1">
      <c r="A2" s="41"/>
      <c r="B2" s="5" t="s">
        <v>168</v>
      </c>
      <c r="C2" s="6"/>
      <c r="D2" s="99"/>
    </row>
    <row r="3" spans="1:4" ht="15.95" customHeight="1">
      <c r="A3" s="45"/>
      <c r="B3" s="7" t="s">
        <v>636</v>
      </c>
      <c r="C3" s="8"/>
      <c r="D3" s="100"/>
    </row>
    <row r="4" spans="1:4" ht="15.95" customHeight="1">
      <c r="B4" s="4"/>
      <c r="C4" s="4"/>
      <c r="D4" s="4"/>
    </row>
    <row r="5" spans="1:4" ht="15.95" customHeight="1">
      <c r="B5" s="4"/>
      <c r="C5" s="4"/>
      <c r="D5" s="4"/>
    </row>
    <row r="6" spans="1:4" ht="15.95" customHeight="1">
      <c r="B6" s="4"/>
      <c r="C6" s="4"/>
      <c r="D6" s="4"/>
    </row>
    <row r="7" spans="1:4" ht="15.95" customHeight="1">
      <c r="B7" s="380" t="s">
        <v>167</v>
      </c>
      <c r="C7" s="381"/>
      <c r="D7" s="4"/>
    </row>
    <row r="8" spans="1:4" ht="15.95" customHeight="1">
      <c r="A8" s="101"/>
      <c r="B8" s="102" t="s">
        <v>71</v>
      </c>
      <c r="C8" s="103"/>
      <c r="D8" s="104"/>
    </row>
    <row r="9" spans="1:4" ht="15.95" customHeight="1">
      <c r="A9" s="35" t="s">
        <v>79</v>
      </c>
      <c r="B9" s="36" t="s">
        <v>342</v>
      </c>
      <c r="C9" s="36" t="s">
        <v>343</v>
      </c>
    </row>
    <row r="10" spans="1:4" ht="5.0999999999999996" customHeight="1">
      <c r="A10" s="37"/>
    </row>
    <row r="11" spans="1:4" ht="14.1" customHeight="1">
      <c r="A11" s="351" t="s">
        <v>224</v>
      </c>
      <c r="B11" s="378">
        <v>16.14981436994977</v>
      </c>
      <c r="C11" s="378">
        <v>13.515489353924883</v>
      </c>
    </row>
    <row r="12" spans="1:4" ht="14.1" customHeight="1">
      <c r="A12" s="23" t="s">
        <v>225</v>
      </c>
      <c r="B12" s="66">
        <v>14.913610537190085</v>
      </c>
      <c r="C12" s="66">
        <v>12.090449894004031</v>
      </c>
    </row>
    <row r="13" spans="1:4" ht="14.1" customHeight="1">
      <c r="A13" s="351" t="s">
        <v>226</v>
      </c>
      <c r="B13" s="378">
        <v>17.274678111587981</v>
      </c>
      <c r="C13" s="378">
        <v>12.773764855617449</v>
      </c>
    </row>
    <row r="14" spans="1:4" ht="14.1" customHeight="1">
      <c r="A14" s="23" t="s">
        <v>524</v>
      </c>
      <c r="B14" s="66">
        <v>15.488153406471834</v>
      </c>
      <c r="C14" s="66">
        <v>12.423585091697889</v>
      </c>
    </row>
    <row r="15" spans="1:4" ht="14.1" customHeight="1">
      <c r="A15" s="351" t="s">
        <v>227</v>
      </c>
      <c r="B15" s="378">
        <v>16.80350916657294</v>
      </c>
      <c r="C15" s="378">
        <v>13.290632506004805</v>
      </c>
    </row>
    <row r="16" spans="1:4" ht="14.1" customHeight="1">
      <c r="A16" s="23" t="s">
        <v>228</v>
      </c>
      <c r="B16" s="66">
        <v>16.88566552901024</v>
      </c>
      <c r="C16" s="66">
        <v>13.210947930574099</v>
      </c>
    </row>
    <row r="17" spans="1:3" ht="14.1" customHeight="1">
      <c r="A17" s="351" t="s">
        <v>229</v>
      </c>
      <c r="B17" s="378">
        <v>15.491684743311641</v>
      </c>
      <c r="C17" s="378">
        <v>12.969128329297821</v>
      </c>
    </row>
    <row r="18" spans="1:3" ht="14.1" customHeight="1">
      <c r="A18" s="23" t="s">
        <v>230</v>
      </c>
      <c r="B18" s="66">
        <v>15.356501044246929</v>
      </c>
      <c r="C18" s="66">
        <v>12.31091209967877</v>
      </c>
    </row>
    <row r="19" spans="1:3" ht="14.1" customHeight="1">
      <c r="A19" s="351" t="s">
        <v>231</v>
      </c>
      <c r="B19" s="378">
        <v>18.946753013131858</v>
      </c>
      <c r="C19" s="378">
        <v>15.22312556458898</v>
      </c>
    </row>
    <row r="20" spans="1:3" ht="14.1" customHeight="1">
      <c r="A20" s="23" t="s">
        <v>232</v>
      </c>
      <c r="B20" s="66">
        <v>18.761228310883027</v>
      </c>
      <c r="C20" s="66">
        <v>15.734402439182031</v>
      </c>
    </row>
    <row r="21" spans="1:3" ht="14.1" customHeight="1">
      <c r="A21" s="351" t="s">
        <v>233</v>
      </c>
      <c r="B21" s="378">
        <v>16.908066177807406</v>
      </c>
      <c r="C21" s="378">
        <v>12.624434389140273</v>
      </c>
    </row>
    <row r="22" spans="1:3" ht="14.1" customHeight="1">
      <c r="A22" s="23" t="s">
        <v>234</v>
      </c>
      <c r="B22" s="66">
        <v>17.454054054054055</v>
      </c>
      <c r="C22" s="66">
        <v>13.34297520661157</v>
      </c>
    </row>
    <row r="23" spans="1:3" ht="14.1" customHeight="1">
      <c r="A23" s="351" t="s">
        <v>235</v>
      </c>
      <c r="B23" s="378">
        <v>15.425806451612903</v>
      </c>
      <c r="C23" s="378">
        <v>12.337461300309597</v>
      </c>
    </row>
    <row r="24" spans="1:3" ht="14.1" customHeight="1">
      <c r="A24" s="23" t="s">
        <v>236</v>
      </c>
      <c r="B24" s="66">
        <v>16.2396411465065</v>
      </c>
      <c r="C24" s="66">
        <v>12.913757141561621</v>
      </c>
    </row>
    <row r="25" spans="1:3" ht="14.1" customHeight="1">
      <c r="A25" s="351" t="s">
        <v>237</v>
      </c>
      <c r="B25" s="378">
        <v>19.538561058003307</v>
      </c>
      <c r="C25" s="378">
        <v>14.183597867033988</v>
      </c>
    </row>
    <row r="26" spans="1:3" ht="14.1" customHeight="1">
      <c r="A26" s="23" t="s">
        <v>238</v>
      </c>
      <c r="B26" s="66">
        <v>15.72330352446081</v>
      </c>
      <c r="C26" s="66">
        <v>12.800856531049249</v>
      </c>
    </row>
    <row r="27" spans="1:3" ht="14.1" customHeight="1">
      <c r="A27" s="351" t="s">
        <v>239</v>
      </c>
      <c r="B27" s="378">
        <v>15.236331953822697</v>
      </c>
      <c r="C27" s="378">
        <v>11.498787654625405</v>
      </c>
    </row>
    <row r="28" spans="1:3" ht="14.1" customHeight="1">
      <c r="A28" s="23" t="s">
        <v>240</v>
      </c>
      <c r="B28" s="66">
        <v>14.764745865115929</v>
      </c>
      <c r="C28" s="66">
        <v>12.11276332094176</v>
      </c>
    </row>
    <row r="29" spans="1:3" ht="14.1" customHeight="1">
      <c r="A29" s="351" t="s">
        <v>241</v>
      </c>
      <c r="B29" s="378">
        <v>17.586236858111043</v>
      </c>
      <c r="C29" s="378">
        <v>13.970503646780021</v>
      </c>
    </row>
    <row r="30" spans="1:3" ht="14.1" customHeight="1">
      <c r="A30" s="23" t="s">
        <v>242</v>
      </c>
      <c r="B30" s="66">
        <v>15.244248792956546</v>
      </c>
      <c r="C30" s="66">
        <v>13.024751273962631</v>
      </c>
    </row>
    <row r="31" spans="1:3" ht="14.1" customHeight="1">
      <c r="A31" s="351" t="s">
        <v>243</v>
      </c>
      <c r="B31" s="378">
        <v>17.329032963428634</v>
      </c>
      <c r="C31" s="378">
        <v>13.295864440902609</v>
      </c>
    </row>
    <row r="32" spans="1:3" ht="14.1" customHeight="1">
      <c r="A32" s="23" t="s">
        <v>244</v>
      </c>
      <c r="B32" s="66">
        <v>15.204077094143811</v>
      </c>
      <c r="C32" s="66">
        <v>12.701842390462922</v>
      </c>
    </row>
    <row r="33" spans="1:4" ht="14.1" customHeight="1">
      <c r="A33" s="351" t="s">
        <v>245</v>
      </c>
      <c r="B33" s="378">
        <v>16.179675518605215</v>
      </c>
      <c r="C33" s="378">
        <v>13.190103309863789</v>
      </c>
    </row>
    <row r="34" spans="1:4" ht="14.1" customHeight="1">
      <c r="A34" s="23" t="s">
        <v>246</v>
      </c>
      <c r="B34" s="66">
        <v>17.057418309018001</v>
      </c>
      <c r="C34" s="66">
        <v>13.662953598031846</v>
      </c>
    </row>
    <row r="35" spans="1:4" ht="14.1" customHeight="1">
      <c r="A35" s="351" t="s">
        <v>247</v>
      </c>
      <c r="B35" s="378">
        <v>17.842105263157894</v>
      </c>
      <c r="C35" s="378">
        <v>14.053713049747659</v>
      </c>
    </row>
    <row r="36" spans="1:4" ht="14.1" customHeight="1">
      <c r="A36" s="23" t="s">
        <v>248</v>
      </c>
      <c r="B36" s="66">
        <v>15.477652839459511</v>
      </c>
      <c r="C36" s="66">
        <v>12.521978442015136</v>
      </c>
    </row>
    <row r="37" spans="1:4" ht="14.1" customHeight="1">
      <c r="A37" s="351" t="s">
        <v>249</v>
      </c>
      <c r="B37" s="378">
        <v>18.288740799681719</v>
      </c>
      <c r="C37" s="378">
        <v>14.167116110640263</v>
      </c>
    </row>
    <row r="38" spans="1:4" ht="14.1" customHeight="1">
      <c r="A38" s="23" t="s">
        <v>250</v>
      </c>
      <c r="B38" s="66">
        <v>17.926069641580721</v>
      </c>
      <c r="C38" s="66">
        <v>14.59511140671766</v>
      </c>
    </row>
    <row r="39" spans="1:4" ht="14.1" customHeight="1">
      <c r="A39" s="351" t="s">
        <v>251</v>
      </c>
      <c r="B39" s="378">
        <v>15.460037634941072</v>
      </c>
      <c r="C39" s="378">
        <v>12.821355236139631</v>
      </c>
    </row>
    <row r="40" spans="1:4" ht="14.1" customHeight="1">
      <c r="A40" s="23" t="s">
        <v>252</v>
      </c>
      <c r="B40" s="66">
        <v>17.796650979533762</v>
      </c>
      <c r="C40" s="66">
        <v>13.904061564771268</v>
      </c>
    </row>
    <row r="41" spans="1:4" ht="14.1" customHeight="1">
      <c r="A41" s="351" t="s">
        <v>253</v>
      </c>
      <c r="B41" s="378">
        <v>16.791573452647278</v>
      </c>
      <c r="C41" s="378">
        <v>12.805675614194724</v>
      </c>
    </row>
    <row r="42" spans="1:4" ht="14.1" customHeight="1">
      <c r="A42" s="23" t="s">
        <v>254</v>
      </c>
      <c r="B42" s="66">
        <v>15</v>
      </c>
      <c r="C42" s="66">
        <v>12.241813602015112</v>
      </c>
    </row>
    <row r="43" spans="1:4" ht="14.1" customHeight="1">
      <c r="A43" s="351" t="s">
        <v>255</v>
      </c>
      <c r="B43" s="378">
        <v>16.084683432754879</v>
      </c>
      <c r="C43" s="378">
        <v>12.800412688137238</v>
      </c>
    </row>
    <row r="44" spans="1:4" ht="14.1" customHeight="1">
      <c r="A44" s="23" t="s">
        <v>256</v>
      </c>
      <c r="B44" s="66">
        <v>14.730208743599842</v>
      </c>
      <c r="C44" s="66">
        <v>12.441783100465734</v>
      </c>
    </row>
    <row r="45" spans="1:4" ht="14.1" customHeight="1">
      <c r="A45" s="351" t="s">
        <v>257</v>
      </c>
      <c r="B45" s="378">
        <v>18.454959457958459</v>
      </c>
      <c r="C45" s="378">
        <v>15.130680265913851</v>
      </c>
    </row>
    <row r="46" spans="1:4" ht="14.1" customHeight="1">
      <c r="A46" s="23" t="s">
        <v>258</v>
      </c>
      <c r="B46" s="66">
        <v>18.855735554372981</v>
      </c>
      <c r="C46" s="66">
        <v>13.808479399662852</v>
      </c>
    </row>
    <row r="47" spans="1:4" ht="5.0999999999999996" customHeight="1">
      <c r="A47"/>
      <c r="B47"/>
      <c r="C47"/>
      <c r="D47"/>
    </row>
    <row r="48" spans="1:4" ht="14.1" customHeight="1">
      <c r="A48" s="491" t="s">
        <v>259</v>
      </c>
      <c r="B48" s="492">
        <v>17.448489048771822</v>
      </c>
      <c r="C48" s="493">
        <v>13.583599095375327</v>
      </c>
      <c r="D48" s="37"/>
    </row>
    <row r="49" spans="1:4" ht="5.0999999999999996" customHeight="1">
      <c r="A49" s="25" t="s">
        <v>3</v>
      </c>
      <c r="B49" s="69"/>
      <c r="C49" s="69"/>
    </row>
    <row r="50" spans="1:4" ht="14.1" customHeight="1">
      <c r="A50" s="23" t="s">
        <v>260</v>
      </c>
      <c r="B50" s="66">
        <v>10.462427745664739</v>
      </c>
      <c r="C50" s="66">
        <v>8.5781990521327014</v>
      </c>
    </row>
    <row r="51" spans="1:4" ht="14.1" customHeight="1">
      <c r="A51" s="351" t="s">
        <v>261</v>
      </c>
      <c r="B51" s="378">
        <v>20.665557404326123</v>
      </c>
      <c r="C51" s="378">
        <v>20</v>
      </c>
    </row>
    <row r="52" spans="1:4" ht="50.1" customHeight="1">
      <c r="A52" s="27"/>
      <c r="B52" s="27"/>
      <c r="C52" s="27"/>
      <c r="D52" s="27"/>
    </row>
    <row r="53" spans="1:4" ht="15" customHeight="1">
      <c r="A53" s="39" t="s">
        <v>556</v>
      </c>
      <c r="B53" s="39"/>
      <c r="C53" s="39"/>
      <c r="D53" s="39"/>
    </row>
    <row r="54" spans="1:4" ht="12" customHeight="1">
      <c r="A54" s="39" t="s">
        <v>592</v>
      </c>
      <c r="B54" s="39"/>
      <c r="C54" s="39"/>
      <c r="D54" s="39"/>
    </row>
    <row r="55" spans="1:4" ht="12" customHeight="1">
      <c r="A55" s="39" t="s">
        <v>573</v>
      </c>
      <c r="B55" s="39"/>
      <c r="C55" s="39"/>
      <c r="D55" s="39"/>
    </row>
    <row r="56" spans="1:4" ht="12" customHeight="1">
      <c r="A56" s="39" t="s">
        <v>557</v>
      </c>
      <c r="C56" s="39"/>
      <c r="D56" s="39"/>
    </row>
    <row r="57" spans="1:4" ht="12" customHeight="1">
      <c r="A57" s="39" t="s">
        <v>571</v>
      </c>
      <c r="C57" s="39"/>
      <c r="D57" s="39"/>
    </row>
    <row r="58" spans="1:4" ht="12" customHeight="1">
      <c r="A58" s="39" t="s">
        <v>572</v>
      </c>
      <c r="B58" s="39"/>
      <c r="C58" s="39"/>
      <c r="D58" s="39"/>
    </row>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2:L50"/>
  <sheetViews>
    <sheetView showGridLines="0" showZeros="0" workbookViewId="0"/>
  </sheetViews>
  <sheetFormatPr defaultColWidth="15.83203125" defaultRowHeight="12"/>
  <cols>
    <col min="1" max="1" width="5.83203125" style="1" customWidth="1"/>
    <col min="2" max="2" width="40.83203125" style="1" customWidth="1"/>
    <col min="3" max="5" width="15.83203125" style="1" customWidth="1"/>
    <col min="6" max="6" width="17.83203125" style="1" customWidth="1"/>
    <col min="7" max="9" width="14.83203125" style="1" customWidth="1"/>
    <col min="10" max="10" width="2.83203125" style="1" customWidth="1"/>
    <col min="11" max="11" width="17.83203125" style="1" customWidth="1"/>
    <col min="12" max="12" width="12.83203125" style="1" bestFit="1" customWidth="1"/>
    <col min="13" max="16384" width="15.83203125" style="1"/>
  </cols>
  <sheetData>
    <row r="2" spans="1:11">
      <c r="A2" s="71"/>
      <c r="B2" s="71"/>
      <c r="C2" s="72" t="s">
        <v>635</v>
      </c>
      <c r="D2" s="72"/>
      <c r="E2" s="72"/>
      <c r="F2" s="72"/>
      <c r="G2" s="72"/>
      <c r="H2" s="72"/>
      <c r="I2" s="72"/>
      <c r="J2" s="72"/>
      <c r="K2" s="71"/>
    </row>
    <row r="5" spans="1:11" ht="15.75">
      <c r="C5" s="332" t="s">
        <v>434</v>
      </c>
      <c r="D5" s="74"/>
      <c r="E5" s="74"/>
      <c r="F5" s="74"/>
      <c r="G5" s="74"/>
      <c r="H5" s="74"/>
      <c r="I5" s="74"/>
      <c r="J5" s="74"/>
      <c r="K5" s="4"/>
    </row>
    <row r="6" spans="1:11">
      <c r="C6" s="73"/>
      <c r="D6" s="74"/>
      <c r="E6" s="74"/>
      <c r="F6" s="74"/>
      <c r="G6" s="74"/>
      <c r="H6" s="74"/>
      <c r="I6" s="74"/>
      <c r="J6" s="74"/>
      <c r="K6" s="4"/>
    </row>
    <row r="7" spans="1:11">
      <c r="C7" s="73"/>
      <c r="D7" s="74"/>
      <c r="E7" s="74"/>
      <c r="F7" s="74"/>
      <c r="G7" s="74"/>
      <c r="H7" s="74"/>
      <c r="I7" s="74"/>
      <c r="J7" s="4"/>
      <c r="K7" s="4"/>
    </row>
    <row r="8" spans="1:11">
      <c r="C8" s="4"/>
      <c r="D8" s="4"/>
      <c r="E8" s="4"/>
      <c r="F8" s="4"/>
      <c r="G8" s="4"/>
      <c r="H8" s="4"/>
      <c r="I8" s="4"/>
      <c r="J8" s="4"/>
      <c r="K8" s="4"/>
    </row>
    <row r="9" spans="1:11">
      <c r="C9" s="4"/>
      <c r="D9" s="4"/>
      <c r="E9" s="4"/>
      <c r="F9" s="4"/>
      <c r="G9" s="4"/>
      <c r="H9" s="4"/>
      <c r="I9" s="4"/>
      <c r="J9" s="4"/>
      <c r="K9" s="4"/>
    </row>
    <row r="10" spans="1:11">
      <c r="C10" s="364" t="s">
        <v>145</v>
      </c>
      <c r="D10" s="365"/>
      <c r="E10" s="365"/>
      <c r="F10" s="365"/>
      <c r="G10" s="365"/>
      <c r="H10" s="365"/>
      <c r="I10" s="365"/>
      <c r="J10" s="366"/>
      <c r="K10" s="4"/>
    </row>
    <row r="11" spans="1:11">
      <c r="C11" s="4"/>
      <c r="D11" s="4"/>
      <c r="E11" s="4"/>
      <c r="F11" s="4"/>
      <c r="G11" s="4"/>
      <c r="H11" s="4"/>
      <c r="I11" s="4"/>
      <c r="J11" s="4"/>
      <c r="K11" s="4"/>
    </row>
    <row r="12" spans="1:11">
      <c r="A12" s="75"/>
      <c r="B12" s="76"/>
      <c r="C12" s="367"/>
      <c r="D12" s="367" t="s">
        <v>146</v>
      </c>
      <c r="E12" s="368"/>
      <c r="F12" s="367" t="s">
        <v>147</v>
      </c>
      <c r="G12" s="345" t="s">
        <v>126</v>
      </c>
      <c r="H12" s="513" t="s">
        <v>432</v>
      </c>
      <c r="I12" s="369"/>
      <c r="J12" s="359"/>
      <c r="K12" s="359"/>
    </row>
    <row r="13" spans="1:11">
      <c r="A13" s="637" t="s">
        <v>156</v>
      </c>
      <c r="B13" s="638"/>
      <c r="C13" s="370" t="s">
        <v>148</v>
      </c>
      <c r="D13" s="370" t="s">
        <v>149</v>
      </c>
      <c r="E13" s="350" t="s">
        <v>135</v>
      </c>
      <c r="F13" s="370" t="s">
        <v>150</v>
      </c>
      <c r="G13" s="348" t="s">
        <v>135</v>
      </c>
      <c r="H13" s="514" t="s">
        <v>433</v>
      </c>
      <c r="I13" s="349" t="s">
        <v>92</v>
      </c>
      <c r="J13" s="371"/>
      <c r="K13" s="370" t="s">
        <v>151</v>
      </c>
    </row>
    <row r="15" spans="1:11">
      <c r="A15" s="77">
        <v>100</v>
      </c>
      <c r="B15" s="37" t="s">
        <v>49</v>
      </c>
      <c r="C15" s="78">
        <f>'- 12 -'!B22</f>
        <v>953429937</v>
      </c>
      <c r="D15" s="79">
        <f>'- 12 -'!B23</f>
        <v>57583974</v>
      </c>
      <c r="E15" s="79">
        <f>'- 12 -'!B40</f>
        <v>26483985</v>
      </c>
      <c r="F15" s="79">
        <f>'- 12 -'!B46</f>
        <v>70142882</v>
      </c>
      <c r="G15" s="80"/>
      <c r="H15" s="206"/>
      <c r="I15" s="81"/>
      <c r="K15" s="78">
        <f>SUM(C15:F15)</f>
        <v>1107640778</v>
      </c>
    </row>
    <row r="16" spans="1:11" ht="24" customHeight="1">
      <c r="A16" s="77">
        <v>200</v>
      </c>
      <c r="B16" s="37" t="s">
        <v>402</v>
      </c>
      <c r="C16" s="78">
        <f>'- 12 -'!D22</f>
        <v>332197505</v>
      </c>
      <c r="D16" s="79">
        <f>'- 12 -'!D23</f>
        <v>33218050</v>
      </c>
      <c r="E16" s="79">
        <f>'- 12 -'!D40</f>
        <v>9249285</v>
      </c>
      <c r="F16" s="79">
        <f>'- 12 -'!D46</f>
        <v>4836100</v>
      </c>
      <c r="G16" s="80"/>
      <c r="H16" s="206"/>
      <c r="I16" s="81"/>
      <c r="K16" s="78">
        <f>SUM(C16:F16)</f>
        <v>379500940</v>
      </c>
    </row>
    <row r="17" spans="1:12" ht="24" customHeight="1">
      <c r="A17" s="77">
        <v>300</v>
      </c>
      <c r="B17" s="37" t="s">
        <v>206</v>
      </c>
      <c r="C17" s="78">
        <f>'- 12 -'!F22</f>
        <v>5788092</v>
      </c>
      <c r="D17" s="79">
        <f>'- 12 -'!F23</f>
        <v>406206</v>
      </c>
      <c r="E17" s="79">
        <f>'- 12 -'!F40</f>
        <v>689365</v>
      </c>
      <c r="F17" s="79">
        <f>'- 12 -'!F46</f>
        <v>241300</v>
      </c>
      <c r="G17" s="80"/>
      <c r="H17" s="206"/>
      <c r="I17" s="82">
        <f>'- 12 -'!F48</f>
        <v>35550</v>
      </c>
      <c r="J17" s="83" t="s">
        <v>184</v>
      </c>
      <c r="K17" s="78">
        <f>SUM(C17:F17,I17)</f>
        <v>7160513</v>
      </c>
    </row>
    <row r="18" spans="1:12" ht="24" customHeight="1">
      <c r="A18" s="77">
        <v>400</v>
      </c>
      <c r="B18" s="37" t="s">
        <v>152</v>
      </c>
      <c r="C18" s="78">
        <f>'- 12 -'!H22</f>
        <v>14163299</v>
      </c>
      <c r="D18" s="79">
        <f>'- 12 -'!H23</f>
        <v>1319773</v>
      </c>
      <c r="E18" s="79">
        <f>'- 12 -'!H40</f>
        <v>1520394</v>
      </c>
      <c r="F18" s="79">
        <f>'- 12 -'!H46</f>
        <v>1413126</v>
      </c>
      <c r="G18" s="80"/>
      <c r="H18" s="206"/>
      <c r="I18" s="81"/>
      <c r="K18" s="78">
        <f>SUM(C18:F18)</f>
        <v>18416592</v>
      </c>
    </row>
    <row r="19" spans="1:12" ht="24" customHeight="1">
      <c r="A19" s="77">
        <v>500</v>
      </c>
      <c r="B19" s="37" t="s">
        <v>176</v>
      </c>
      <c r="C19" s="78">
        <f>'- 12 -'!J22</f>
        <v>45257699</v>
      </c>
      <c r="D19" s="79">
        <f>'- 12 -'!J23</f>
        <v>6185765</v>
      </c>
      <c r="E19" s="79">
        <f>'- 12 -'!J40</f>
        <v>15829347</v>
      </c>
      <c r="F19" s="79">
        <f>'- 12 -'!J46</f>
        <v>2632562</v>
      </c>
      <c r="G19" s="80"/>
      <c r="H19" s="206"/>
      <c r="I19" s="82">
        <f>'- 12 -'!J48</f>
        <v>-35550</v>
      </c>
      <c r="J19" s="83" t="s">
        <v>184</v>
      </c>
      <c r="K19" s="78">
        <f>SUM(C19:F19,I19)</f>
        <v>69869823</v>
      </c>
    </row>
    <row r="20" spans="1:12" ht="12" customHeight="1">
      <c r="A20" s="77"/>
      <c r="B20" s="37"/>
      <c r="C20" s="84"/>
      <c r="D20" s="85"/>
      <c r="E20" s="85"/>
      <c r="F20" s="85"/>
      <c r="G20" s="80"/>
      <c r="H20" s="206"/>
      <c r="I20" s="81"/>
      <c r="K20" s="78"/>
      <c r="L20" s="636" t="s">
        <v>185</v>
      </c>
    </row>
    <row r="21" spans="1:12" ht="24" customHeight="1">
      <c r="A21" s="86">
        <v>600</v>
      </c>
      <c r="B21" s="511" t="s">
        <v>424</v>
      </c>
      <c r="C21" s="78">
        <f>'- 13 -'!B22</f>
        <v>45939850</v>
      </c>
      <c r="D21" s="79">
        <f>'- 13 -'!B23</f>
        <v>4212430</v>
      </c>
      <c r="E21" s="79">
        <f>'- 13 -'!B40</f>
        <v>13340847</v>
      </c>
      <c r="F21" s="79">
        <f>'- 13 -'!B46</f>
        <v>8326520</v>
      </c>
      <c r="G21" s="80"/>
      <c r="H21" s="206"/>
      <c r="I21" s="81"/>
      <c r="K21" s="78">
        <f>SUM(C21:F21)</f>
        <v>71819647</v>
      </c>
      <c r="L21" s="636"/>
    </row>
    <row r="22" spans="1:12" ht="24" customHeight="1">
      <c r="A22" s="77">
        <v>700</v>
      </c>
      <c r="B22" s="37" t="s">
        <v>153</v>
      </c>
      <c r="C22" s="78">
        <f>'- 13 -'!D22</f>
        <v>37572022</v>
      </c>
      <c r="D22" s="79">
        <f>'- 13 -'!D23</f>
        <v>5483691</v>
      </c>
      <c r="E22" s="79">
        <f>'- 13 -'!D40</f>
        <v>26204108</v>
      </c>
      <c r="F22" s="79">
        <f>'- 13 -'!D46</f>
        <v>16762102</v>
      </c>
      <c r="G22" s="80"/>
      <c r="H22" s="206"/>
      <c r="I22" s="81"/>
      <c r="K22" s="78">
        <f>SUM(C22:F22)</f>
        <v>86021923</v>
      </c>
      <c r="L22" s="87"/>
    </row>
    <row r="23" spans="1:12" ht="24" customHeight="1">
      <c r="A23" s="77">
        <v>800</v>
      </c>
      <c r="B23" s="37" t="s">
        <v>154</v>
      </c>
      <c r="C23" s="78">
        <f>'- 13 -'!F22</f>
        <v>103929606</v>
      </c>
      <c r="D23" s="79">
        <f>'- 13 -'!F23</f>
        <v>16502094</v>
      </c>
      <c r="E23" s="79">
        <f>'- 13 -'!F40</f>
        <v>89612665</v>
      </c>
      <c r="F23" s="79">
        <f>'- 13 -'!F46</f>
        <v>23223661</v>
      </c>
      <c r="G23" s="80"/>
      <c r="H23" s="206"/>
      <c r="I23" s="82">
        <f>'- 13 -'!F52</f>
        <v>0</v>
      </c>
      <c r="J23" s="89"/>
      <c r="K23" s="78">
        <f>SUM(C23:F23,I23)</f>
        <v>233268026</v>
      </c>
    </row>
    <row r="24" spans="1:12" ht="24" customHeight="1">
      <c r="A24" s="77">
        <v>900</v>
      </c>
      <c r="B24" s="37" t="s">
        <v>53</v>
      </c>
      <c r="C24" s="84"/>
      <c r="D24" s="85"/>
      <c r="E24" s="85"/>
      <c r="F24" s="85"/>
      <c r="G24" s="79">
        <v>2453000</v>
      </c>
      <c r="H24" s="79">
        <v>10000</v>
      </c>
      <c r="I24" s="88">
        <v>32645398</v>
      </c>
      <c r="J24" s="89" t="s">
        <v>331</v>
      </c>
      <c r="K24" s="78">
        <f>SUM(G24:I24)</f>
        <v>35108398</v>
      </c>
    </row>
    <row r="25" spans="1:12">
      <c r="A25" s="77"/>
      <c r="B25" s="37"/>
      <c r="C25" s="84"/>
      <c r="D25" s="85"/>
      <c r="E25" s="85"/>
      <c r="F25" s="85"/>
      <c r="G25" s="85"/>
      <c r="H25" s="31"/>
      <c r="I25" s="90"/>
      <c r="K25" s="84"/>
    </row>
    <row r="26" spans="1:12">
      <c r="B26" s="37"/>
      <c r="C26" s="91"/>
      <c r="D26" s="91"/>
      <c r="E26" s="91"/>
      <c r="F26" s="91"/>
      <c r="G26" s="91"/>
      <c r="H26" s="91"/>
      <c r="I26" s="91"/>
      <c r="K26" s="91"/>
    </row>
    <row r="27" spans="1:12">
      <c r="A27" s="92"/>
      <c r="B27" s="93" t="s">
        <v>151</v>
      </c>
      <c r="C27" s="94">
        <f>SUM(C15:C24)</f>
        <v>1538278010</v>
      </c>
      <c r="D27" s="95">
        <f>SUM(D15:D24)</f>
        <v>124911983</v>
      </c>
      <c r="E27" s="95">
        <f>SUM(E15:E24)</f>
        <v>182929996</v>
      </c>
      <c r="F27" s="95">
        <f>SUM(F15:F24)</f>
        <v>127578253</v>
      </c>
      <c r="G27" s="95">
        <f>G24</f>
        <v>2453000</v>
      </c>
      <c r="H27" s="95">
        <f>H24</f>
        <v>10000</v>
      </c>
      <c r="I27" s="96">
        <f>SUM(I15:I24)</f>
        <v>32645398</v>
      </c>
      <c r="J27" s="97"/>
      <c r="K27" s="94">
        <f>SUM(K15:K24)</f>
        <v>2008806640</v>
      </c>
      <c r="L27" s="1">
        <f>K27-'- 3 -'!D48</f>
        <v>0</v>
      </c>
    </row>
    <row r="28" spans="1:12">
      <c r="C28" s="91"/>
      <c r="D28" s="91"/>
      <c r="E28" s="91"/>
      <c r="F28" s="91"/>
      <c r="G28" s="91"/>
      <c r="H28" s="91"/>
      <c r="I28" s="91"/>
    </row>
    <row r="29" spans="1:12" ht="60" customHeight="1"/>
    <row r="30" spans="1:12">
      <c r="A30" s="333" t="s">
        <v>184</v>
      </c>
      <c r="B30" s="1" t="s">
        <v>330</v>
      </c>
      <c r="C30" s="37"/>
    </row>
    <row r="31" spans="1:12" hidden="1">
      <c r="A31" s="333" t="s">
        <v>331</v>
      </c>
      <c r="B31" s="154" t="s">
        <v>418</v>
      </c>
      <c r="C31" s="37"/>
    </row>
    <row r="32" spans="1:12">
      <c r="A32" s="333" t="s">
        <v>331</v>
      </c>
      <c r="B32" s="1" t="s">
        <v>332</v>
      </c>
      <c r="C32" s="91"/>
      <c r="K32" s="91"/>
    </row>
    <row r="33" spans="3:3">
      <c r="C33" s="91"/>
    </row>
    <row r="34" spans="3:3" ht="12.75" customHeight="1"/>
    <row r="35" spans="3:3" ht="12.75" customHeight="1"/>
    <row r="36" spans="3:3" ht="12.75" customHeight="1"/>
    <row r="37" spans="3:3" ht="12.75" customHeight="1"/>
    <row r="38" spans="3:3" ht="12.75" customHeight="1"/>
    <row r="39" spans="3:3" ht="12.75" customHeight="1"/>
    <row r="40" spans="3:3" ht="12.75" customHeight="1"/>
    <row r="41" spans="3:3" ht="12.75" customHeight="1"/>
    <row r="42" spans="3:3" ht="12.75" customHeight="1"/>
    <row r="43" spans="3:3" ht="12.75" customHeight="1"/>
    <row r="44" spans="3:3" ht="12.75" customHeight="1"/>
    <row r="45" spans="3:3" ht="12.75" customHeight="1"/>
    <row r="46" spans="3:3" ht="12.75" customHeight="1"/>
    <row r="47" spans="3:3" ht="12.75" customHeight="1"/>
    <row r="48" spans="3:3" ht="12.75" customHeight="1"/>
    <row r="49" ht="12.75" customHeight="1"/>
    <row r="50" ht="12.75" customHeight="1"/>
  </sheetData>
  <mergeCells count="2">
    <mergeCell ref="L20:L21"/>
    <mergeCell ref="A13:B13"/>
  </mergeCells>
  <phoneticPr fontId="0" type="noConversion"/>
  <pageMargins left="0.39370078740157483" right="0" top="0.70866141732283472" bottom="0.31496062992125984" header="0" footer="0"/>
  <pageSetup scale="86"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8">
    <pageSetUpPr fitToPage="1"/>
  </sheetPr>
  <dimension ref="A2:M52"/>
  <sheetViews>
    <sheetView showGridLines="0" showZeros="0" workbookViewId="0"/>
  </sheetViews>
  <sheetFormatPr defaultColWidth="15.83203125" defaultRowHeight="12"/>
  <cols>
    <col min="1" max="1" width="50.83203125" style="1" customWidth="1"/>
    <col min="2" max="2" width="15.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15.83203125" style="1" customWidth="1"/>
    <col min="9" max="9" width="8.83203125" style="1" customWidth="1"/>
    <col min="10" max="10" width="15.83203125" style="1" customWidth="1"/>
    <col min="11" max="11" width="8.83203125" style="1" customWidth="1"/>
    <col min="12" max="12" width="5.83203125" style="1" customWidth="1"/>
    <col min="13" max="16384" width="15.83203125" style="1"/>
  </cols>
  <sheetData>
    <row r="2" spans="1:11">
      <c r="A2" s="71"/>
      <c r="B2" s="71"/>
      <c r="C2" s="71"/>
      <c r="D2" s="127" t="s">
        <v>635</v>
      </c>
      <c r="E2" s="127"/>
      <c r="F2" s="127"/>
      <c r="G2" s="127"/>
      <c r="H2" s="128"/>
      <c r="I2" s="128"/>
      <c r="J2" s="129"/>
      <c r="K2" s="130" t="s">
        <v>7</v>
      </c>
    </row>
    <row r="3" spans="1:11" ht="9.9499999999999993" customHeight="1">
      <c r="J3" s="114"/>
      <c r="K3" s="114"/>
    </row>
    <row r="4" spans="1:11" ht="15.75">
      <c r="B4" s="334" t="s">
        <v>446</v>
      </c>
      <c r="C4" s="114"/>
      <c r="D4" s="114"/>
      <c r="E4" s="114"/>
      <c r="F4" s="114"/>
      <c r="G4" s="114"/>
      <c r="H4" s="114"/>
      <c r="I4" s="114"/>
      <c r="J4" s="114"/>
      <c r="K4" s="114"/>
    </row>
    <row r="5" spans="1:11" ht="15.75">
      <c r="B5" s="334" t="s">
        <v>447</v>
      </c>
      <c r="C5" s="114"/>
      <c r="D5" s="114"/>
      <c r="E5" s="114"/>
      <c r="F5" s="114"/>
      <c r="G5" s="114"/>
      <c r="H5" s="114"/>
      <c r="I5" s="114"/>
      <c r="J5" s="114"/>
      <c r="K5" s="114"/>
    </row>
    <row r="6" spans="1:11" ht="9.9499999999999993" customHeight="1"/>
    <row r="7" spans="1:11">
      <c r="B7" s="132" t="s">
        <v>156</v>
      </c>
      <c r="C7" s="128"/>
      <c r="D7" s="128"/>
      <c r="E7" s="128"/>
      <c r="F7" s="128"/>
      <c r="G7" s="128"/>
      <c r="H7" s="128"/>
      <c r="I7" s="128"/>
      <c r="J7" s="128"/>
      <c r="K7" s="133"/>
    </row>
    <row r="8" spans="1:11" ht="6" customHeight="1"/>
    <row r="9" spans="1:11">
      <c r="A9" s="4"/>
      <c r="B9" s="345" t="s">
        <v>61</v>
      </c>
      <c r="C9" s="347"/>
      <c r="D9" s="346" t="s">
        <v>403</v>
      </c>
      <c r="E9" s="347"/>
      <c r="F9" s="346" t="s">
        <v>205</v>
      </c>
      <c r="G9" s="347"/>
      <c r="H9" s="346" t="s">
        <v>58</v>
      </c>
      <c r="I9" s="347"/>
      <c r="J9" s="346" t="s">
        <v>175</v>
      </c>
      <c r="K9" s="347"/>
    </row>
    <row r="10" spans="1:11">
      <c r="A10" s="4"/>
      <c r="B10" s="348" t="s">
        <v>157</v>
      </c>
      <c r="C10" s="350"/>
      <c r="D10" s="349" t="s">
        <v>135</v>
      </c>
      <c r="E10" s="350"/>
      <c r="F10" s="349" t="s">
        <v>279</v>
      </c>
      <c r="G10" s="350"/>
      <c r="H10" s="349" t="s">
        <v>76</v>
      </c>
      <c r="I10" s="350"/>
      <c r="J10" s="349" t="s">
        <v>30</v>
      </c>
      <c r="K10" s="350"/>
    </row>
    <row r="11" spans="1:11">
      <c r="A11" s="134" t="s">
        <v>145</v>
      </c>
      <c r="B11" s="135" t="s">
        <v>80</v>
      </c>
      <c r="C11" s="135" t="s">
        <v>81</v>
      </c>
      <c r="D11" s="135" t="s">
        <v>80</v>
      </c>
      <c r="E11" s="135" t="s">
        <v>81</v>
      </c>
      <c r="F11" s="135" t="s">
        <v>80</v>
      </c>
      <c r="G11" s="135" t="s">
        <v>81</v>
      </c>
      <c r="H11" s="135" t="s">
        <v>80</v>
      </c>
      <c r="I11" s="135" t="s">
        <v>81</v>
      </c>
      <c r="J11" s="135" t="s">
        <v>80</v>
      </c>
      <c r="K11" s="136" t="s">
        <v>81</v>
      </c>
    </row>
    <row r="12" spans="1:11" ht="5.0999999999999996" customHeight="1">
      <c r="A12" s="137"/>
      <c r="B12" s="4"/>
      <c r="C12" s="4"/>
      <c r="D12" s="4"/>
      <c r="E12" s="4"/>
      <c r="F12" s="4"/>
      <c r="G12" s="4"/>
      <c r="H12" s="4"/>
      <c r="I12" s="4"/>
      <c r="J12" s="4"/>
      <c r="K12" s="4"/>
    </row>
    <row r="13" spans="1:11">
      <c r="A13" s="362" t="s">
        <v>148</v>
      </c>
      <c r="B13" s="138"/>
      <c r="C13" s="339"/>
      <c r="D13" s="138"/>
      <c r="E13" s="339"/>
      <c r="F13" s="138"/>
      <c r="G13" s="339"/>
      <c r="H13" s="138"/>
      <c r="I13" s="339"/>
      <c r="J13" s="138"/>
      <c r="K13" s="339"/>
    </row>
    <row r="14" spans="1:11">
      <c r="A14" s="139" t="s">
        <v>288</v>
      </c>
      <c r="B14" s="140"/>
      <c r="C14" s="336"/>
      <c r="D14" s="140"/>
      <c r="E14" s="336"/>
      <c r="F14" s="140"/>
      <c r="G14" s="336"/>
      <c r="H14" s="140"/>
      <c r="I14" s="336"/>
      <c r="J14" s="140">
        <v>3936091</v>
      </c>
      <c r="K14" s="336"/>
    </row>
    <row r="15" spans="1:11">
      <c r="A15" s="139" t="s">
        <v>289</v>
      </c>
      <c r="B15" s="140">
        <v>81347026</v>
      </c>
      <c r="C15" s="336">
        <f>B15/'- 13 -'!$J$54*100</f>
        <v>4.0495199677356704</v>
      </c>
      <c r="D15" s="140">
        <v>6428920</v>
      </c>
      <c r="E15" s="336">
        <f>D15/'- 13 -'!$J$54*100</f>
        <v>0.3200367756649789</v>
      </c>
      <c r="F15" s="140">
        <v>694052</v>
      </c>
      <c r="G15" s="336">
        <f>F15/'- 13 -'!$J$54*100</f>
        <v>3.4550463254143765E-2</v>
      </c>
      <c r="H15" s="140">
        <v>671928</v>
      </c>
      <c r="I15" s="336">
        <f>H15/'- 13 -'!$J$54*100</f>
        <v>3.344911285239479E-2</v>
      </c>
      <c r="J15" s="140">
        <v>19984468</v>
      </c>
      <c r="K15" s="336">
        <f>J15/'- 13 -'!$J$54*100</f>
        <v>0.99484278885099664</v>
      </c>
    </row>
    <row r="16" spans="1:11">
      <c r="A16" s="139" t="s">
        <v>290</v>
      </c>
      <c r="B16" s="140">
        <v>799635576</v>
      </c>
      <c r="C16" s="336">
        <f>B16/'- 13 -'!$J$54*100</f>
        <v>39.806498051002059</v>
      </c>
      <c r="D16" s="140">
        <v>140662141</v>
      </c>
      <c r="E16" s="336">
        <f>D16/'- 13 -'!$J$54*100</f>
        <v>7.0022737977409308</v>
      </c>
      <c r="F16" s="140">
        <v>4288083</v>
      </c>
      <c r="G16" s="336">
        <f>F16/'- 13 -'!$J$54*100</f>
        <v>0.21346419882403417</v>
      </c>
      <c r="H16" s="140">
        <v>8121628</v>
      </c>
      <c r="I16" s="336">
        <f>H16/'- 13 -'!$J$54*100</f>
        <v>0.40430113273620005</v>
      </c>
      <c r="J16" s="140"/>
      <c r="K16" s="336">
        <f>J16/'- 13 -'!$J$54*100</f>
        <v>0</v>
      </c>
    </row>
    <row r="17" spans="1:12">
      <c r="A17" s="139" t="s">
        <v>291</v>
      </c>
      <c r="B17" s="140">
        <v>21335146</v>
      </c>
      <c r="C17" s="336">
        <f>B17/'- 13 -'!$J$54*100</f>
        <v>1.0620806191680052</v>
      </c>
      <c r="D17" s="140">
        <v>151721557</v>
      </c>
      <c r="E17" s="336">
        <f>D17/'- 13 -'!$J$54*100</f>
        <v>7.5528203650302554</v>
      </c>
      <c r="F17" s="140">
        <v>287296</v>
      </c>
      <c r="G17" s="336">
        <f>F17/'- 13 -'!$J$54*100</f>
        <v>1.4301824490185874E-2</v>
      </c>
      <c r="H17" s="140">
        <v>2922550</v>
      </c>
      <c r="I17" s="336">
        <f>H17/'- 13 -'!$J$54*100</f>
        <v>0.145486874734743</v>
      </c>
      <c r="J17" s="140"/>
      <c r="K17" s="336">
        <f>J17/'- 13 -'!$J$54*100</f>
        <v>0</v>
      </c>
    </row>
    <row r="18" spans="1:12">
      <c r="A18" s="139" t="s">
        <v>292</v>
      </c>
      <c r="B18" s="140">
        <v>4505961</v>
      </c>
      <c r="C18" s="336">
        <f>B18/'- 13 -'!$J$54*100</f>
        <v>0.22431033979457574</v>
      </c>
      <c r="D18" s="140">
        <v>1460068</v>
      </c>
      <c r="E18" s="336">
        <f>D18/'- 13 -'!$J$54*100</f>
        <v>7.2683351942723573E-2</v>
      </c>
      <c r="F18" s="140">
        <v>202016</v>
      </c>
      <c r="G18" s="336">
        <f>F18/'- 13 -'!$J$54*100</f>
        <v>1.0056517933453267E-2</v>
      </c>
      <c r="H18" s="140">
        <v>1305694</v>
      </c>
      <c r="I18" s="336">
        <f>H18/'- 13 -'!$J$54*100</f>
        <v>6.4998490845291107E-2</v>
      </c>
      <c r="J18" s="140">
        <v>4781119</v>
      </c>
      <c r="K18" s="336">
        <f>J18/'- 13 -'!$J$54*100</f>
        <v>0.23800792494393588</v>
      </c>
    </row>
    <row r="19" spans="1:12">
      <c r="A19" s="141" t="s">
        <v>293</v>
      </c>
      <c r="B19" s="142">
        <v>35988907</v>
      </c>
      <c r="C19" s="337">
        <f>B19/'- 13 -'!$J$54*100</f>
        <v>1.7915565531981714</v>
      </c>
      <c r="D19" s="142">
        <v>2718488</v>
      </c>
      <c r="E19" s="337">
        <f>D19/'- 13 -'!$J$54*100</f>
        <v>0.1353285052861036</v>
      </c>
      <c r="F19" s="142">
        <v>316645</v>
      </c>
      <c r="G19" s="337">
        <f>F19/'- 13 -'!$J$54*100</f>
        <v>1.5762841166235889E-2</v>
      </c>
      <c r="H19" s="142">
        <v>716136</v>
      </c>
      <c r="I19" s="337">
        <f>H19/'- 13 -'!$J$54*100</f>
        <v>3.5649822423924282E-2</v>
      </c>
      <c r="J19" s="142">
        <v>14968431</v>
      </c>
      <c r="K19" s="337">
        <f>J19/'- 13 -'!$J$54*100</f>
        <v>0.74514045811796004</v>
      </c>
    </row>
    <row r="20" spans="1:12">
      <c r="A20" s="141" t="s">
        <v>294</v>
      </c>
      <c r="B20" s="143"/>
      <c r="C20" s="337"/>
      <c r="D20" s="143">
        <v>29057375</v>
      </c>
      <c r="E20" s="337">
        <f>D20/'- 13 -'!$J$54*100</f>
        <v>1.4464993504800441</v>
      </c>
      <c r="F20" s="143"/>
      <c r="G20" s="337"/>
      <c r="H20" s="143">
        <v>379363</v>
      </c>
      <c r="I20" s="337"/>
      <c r="J20" s="143"/>
      <c r="K20" s="337"/>
    </row>
    <row r="21" spans="1:12">
      <c r="A21" s="144" t="s">
        <v>295</v>
      </c>
      <c r="B21" s="145">
        <v>10617321</v>
      </c>
      <c r="C21" s="338">
        <f>B21/'- 13 -'!$J$54*100</f>
        <v>0.52853872486204045</v>
      </c>
      <c r="D21" s="145">
        <v>148956</v>
      </c>
      <c r="E21" s="338">
        <f>D21/'- 13 -'!$J$54*100</f>
        <v>7.4151487273060781E-3</v>
      </c>
      <c r="F21" s="145">
        <v>0</v>
      </c>
      <c r="G21" s="338">
        <f>F21/'- 13 -'!$J$54*100</f>
        <v>0</v>
      </c>
      <c r="H21" s="145">
        <v>46000</v>
      </c>
      <c r="I21" s="338">
        <f>H21/'- 13 -'!$J$54*100</f>
        <v>2.289916763715994E-3</v>
      </c>
      <c r="J21" s="145">
        <v>1587590</v>
      </c>
      <c r="K21" s="338">
        <f>J21/'- 13 -'!$J$54*100</f>
        <v>7.9031499019736412E-2</v>
      </c>
    </row>
    <row r="22" spans="1:12" ht="12.75" customHeight="1">
      <c r="A22" s="146" t="s">
        <v>296</v>
      </c>
      <c r="B22" s="152">
        <f>SUM(B14:B21)</f>
        <v>953429937</v>
      </c>
      <c r="C22" s="340">
        <f>B22/'- 13 -'!$J$54*100</f>
        <v>47.462504255760521</v>
      </c>
      <c r="D22" s="152">
        <f>SUM(D14:D21)</f>
        <v>332197505</v>
      </c>
      <c r="E22" s="340">
        <f>D22/'- 13 -'!$J$54*100</f>
        <v>16.537057294872344</v>
      </c>
      <c r="F22" s="152">
        <f>SUM(F14:F21)</f>
        <v>5788092</v>
      </c>
      <c r="G22" s="340">
        <f>F22/'- 13 -'!$J$54*100</f>
        <v>0.28813584566805295</v>
      </c>
      <c r="H22" s="152">
        <f>SUM(H14:H21)</f>
        <v>14163299</v>
      </c>
      <c r="I22" s="340">
        <f>H22/'- 13 -'!$J$54*100</f>
        <v>0.7050603436874342</v>
      </c>
      <c r="J22" s="152">
        <f>SUM(J14:J21)</f>
        <v>45257699</v>
      </c>
      <c r="K22" s="340">
        <f>J22/'- 13 -'!$J$54*100</f>
        <v>2.2529644266807081</v>
      </c>
    </row>
    <row r="23" spans="1:12">
      <c r="A23" s="362" t="s">
        <v>158</v>
      </c>
      <c r="B23" s="152">
        <v>57583974</v>
      </c>
      <c r="C23" s="340">
        <f>B23/'- 13 -'!$J$54*100</f>
        <v>2.8665762474779553</v>
      </c>
      <c r="D23" s="152">
        <v>33218050</v>
      </c>
      <c r="E23" s="340">
        <f>D23/'- 13 -'!$J$54*100</f>
        <v>1.6536210772381754</v>
      </c>
      <c r="F23" s="152">
        <v>406206</v>
      </c>
      <c r="G23" s="340">
        <f>F23/'- 13 -'!$J$54*100</f>
        <v>2.022125932439172E-2</v>
      </c>
      <c r="H23" s="152">
        <v>1319773</v>
      </c>
      <c r="I23" s="340">
        <f>H23/'- 13 -'!$J$54*100</f>
        <v>6.5699354717385847E-2</v>
      </c>
      <c r="J23" s="152">
        <v>6185765</v>
      </c>
      <c r="K23" s="340">
        <f>J23/'- 13 -'!$J$54*100</f>
        <v>0.30793232543277532</v>
      </c>
    </row>
    <row r="24" spans="1:12">
      <c r="A24" s="362" t="s">
        <v>135</v>
      </c>
      <c r="B24" s="140"/>
      <c r="C24" s="336"/>
      <c r="D24" s="140"/>
      <c r="E24" s="336"/>
      <c r="F24" s="140"/>
      <c r="G24" s="336"/>
      <c r="H24" s="140"/>
      <c r="I24" s="336"/>
      <c r="J24" s="140"/>
      <c r="K24" s="336"/>
    </row>
    <row r="25" spans="1:12">
      <c r="A25" s="141" t="s">
        <v>297</v>
      </c>
      <c r="B25" s="142">
        <v>5137935</v>
      </c>
      <c r="C25" s="337">
        <f>B25/'- 13 -'!$J$54*100</f>
        <v>0.25577051059528561</v>
      </c>
      <c r="D25" s="142">
        <v>5988037</v>
      </c>
      <c r="E25" s="337">
        <f>D25/'- 13 -'!$J$54*100</f>
        <v>0.2980892675663398</v>
      </c>
      <c r="F25" s="142">
        <v>84061</v>
      </c>
      <c r="G25" s="337">
        <f>F25/'- 13 -'!$J$54*100</f>
        <v>4.184623762494134E-3</v>
      </c>
      <c r="H25" s="142">
        <v>941869</v>
      </c>
      <c r="I25" s="337">
        <f>H25/'- 13 -'!$J$54*100</f>
        <v>4.6886991572269991E-2</v>
      </c>
      <c r="J25" s="142">
        <v>3743955</v>
      </c>
      <c r="K25" s="337">
        <f>J25/'- 13 -'!$J$54*100</f>
        <v>0.18637707211083293</v>
      </c>
    </row>
    <row r="26" spans="1:12" ht="12" customHeight="1">
      <c r="A26" s="141" t="s">
        <v>298</v>
      </c>
      <c r="B26" s="142">
        <v>4078681</v>
      </c>
      <c r="C26" s="337">
        <f>B26/'- 13 -'!$J$54*100</f>
        <v>0.20303999990760685</v>
      </c>
      <c r="D26" s="142">
        <v>307350</v>
      </c>
      <c r="E26" s="337">
        <f>D26/'- 13 -'!$J$54*100</f>
        <v>1.5300128637567627E-2</v>
      </c>
      <c r="F26" s="142">
        <v>55567</v>
      </c>
      <c r="G26" s="337">
        <f>F26/'- 13 -'!$J$54*100</f>
        <v>2.7661696697697099E-3</v>
      </c>
      <c r="H26" s="142">
        <v>42170</v>
      </c>
      <c r="I26" s="337">
        <f>H26/'- 13 -'!$J$54*100</f>
        <v>2.0992563027370319E-3</v>
      </c>
      <c r="J26" s="142">
        <v>1283131</v>
      </c>
      <c r="K26" s="337">
        <f>J26/'- 13 -'!$J$54*100</f>
        <v>6.3875286672688422E-2</v>
      </c>
      <c r="L26" s="639" t="s">
        <v>210</v>
      </c>
    </row>
    <row r="27" spans="1:12" ht="12.75" customHeight="1">
      <c r="A27" s="141" t="s">
        <v>299</v>
      </c>
      <c r="B27" s="142"/>
      <c r="C27" s="337">
        <f>B27/'- 13 -'!$J$54*100</f>
        <v>0</v>
      </c>
      <c r="D27" s="142"/>
      <c r="E27" s="337">
        <f>D27/'- 13 -'!$J$54*100</f>
        <v>0</v>
      </c>
      <c r="F27" s="142">
        <v>43832</v>
      </c>
      <c r="G27" s="337">
        <f>F27/'- 13 -'!$J$54*100</f>
        <v>2.1819919910260753E-3</v>
      </c>
      <c r="H27" s="142"/>
      <c r="I27" s="337">
        <f>H27/'- 13 -'!$J$54*100</f>
        <v>0</v>
      </c>
      <c r="J27" s="142"/>
      <c r="K27" s="337">
        <f>J27/'- 13 -'!$J$54*100</f>
        <v>0</v>
      </c>
      <c r="L27" s="639"/>
    </row>
    <row r="28" spans="1:12" ht="12.75" customHeight="1">
      <c r="A28" s="141" t="s">
        <v>378</v>
      </c>
      <c r="B28" s="142">
        <v>2425946</v>
      </c>
      <c r="C28" s="337">
        <f>B28/'- 13 -'!$J$54*100</f>
        <v>0.12076553072325566</v>
      </c>
      <c r="D28" s="142">
        <v>2173680</v>
      </c>
      <c r="E28" s="337">
        <f>D28/'- 13 -'!$J$54*100</f>
        <v>0.10820752762943874</v>
      </c>
      <c r="F28" s="142">
        <v>89375</v>
      </c>
      <c r="G28" s="337">
        <f>F28/'- 13 -'!$J$54*100</f>
        <v>4.4491589295025426E-3</v>
      </c>
      <c r="H28" s="142">
        <v>135937</v>
      </c>
      <c r="I28" s="337">
        <f>H28/'- 13 -'!$J$54*100</f>
        <v>6.7670525023752412E-3</v>
      </c>
      <c r="J28" s="142">
        <v>2614656</v>
      </c>
      <c r="K28" s="337">
        <f>J28/'- 13 -'!$J$54*100</f>
        <v>0.13015966534240447</v>
      </c>
      <c r="L28" s="639"/>
    </row>
    <row r="29" spans="1:12" ht="12.75" customHeight="1">
      <c r="A29" s="141" t="s">
        <v>300</v>
      </c>
      <c r="B29" s="142"/>
      <c r="C29" s="337">
        <f>B29/'- 13 -'!$J$54*100</f>
        <v>0</v>
      </c>
      <c r="D29" s="142"/>
      <c r="E29" s="337">
        <f>D29/'- 13 -'!$J$54*100</f>
        <v>0</v>
      </c>
      <c r="F29" s="142"/>
      <c r="G29" s="337">
        <f>F29/'- 13 -'!$J$54*100</f>
        <v>0</v>
      </c>
      <c r="H29" s="142"/>
      <c r="I29" s="337">
        <f>H29/'- 13 -'!$J$54*100</f>
        <v>0</v>
      </c>
      <c r="J29" s="142"/>
      <c r="K29" s="337">
        <f>J29/'- 13 -'!$J$54*100</f>
        <v>0</v>
      </c>
      <c r="L29" s="639"/>
    </row>
    <row r="30" spans="1:12" ht="12.75" customHeight="1">
      <c r="A30" s="141" t="s">
        <v>301</v>
      </c>
      <c r="B30" s="142">
        <v>570615</v>
      </c>
      <c r="C30" s="337">
        <f>B30/'- 13 -'!$J$54*100</f>
        <v>2.8405670741908737E-2</v>
      </c>
      <c r="D30" s="142">
        <v>126275</v>
      </c>
      <c r="E30" s="337">
        <f>D30/'- 13 -'!$J$54*100</f>
        <v>6.2860704203964593E-3</v>
      </c>
      <c r="F30" s="142">
        <v>0</v>
      </c>
      <c r="G30" s="337">
        <f>F30/'- 13 -'!$J$54*100</f>
        <v>0</v>
      </c>
      <c r="H30" s="142"/>
      <c r="I30" s="337">
        <f>H30/'- 13 -'!$J$54*100</f>
        <v>0</v>
      </c>
      <c r="J30" s="142"/>
      <c r="K30" s="337">
        <f>J30/'- 13 -'!$J$54*100</f>
        <v>0</v>
      </c>
      <c r="L30" s="335"/>
    </row>
    <row r="31" spans="1:12" ht="12.75" customHeight="1">
      <c r="A31" s="141" t="s">
        <v>302</v>
      </c>
      <c r="B31" s="142">
        <v>602787</v>
      </c>
      <c r="C31" s="337">
        <f>B31/'- 13 -'!$J$54*100</f>
        <v>3.0007218614132022E-2</v>
      </c>
      <c r="D31" s="142">
        <v>16975</v>
      </c>
      <c r="E31" s="337">
        <f>D31/'- 13 -'!$J$54*100</f>
        <v>8.45029066610413E-4</v>
      </c>
      <c r="F31" s="142">
        <v>2600</v>
      </c>
      <c r="G31" s="337">
        <f>F31/'- 13 -'!$J$54*100</f>
        <v>1.2943007794916488E-4</v>
      </c>
      <c r="H31" s="142">
        <v>120200</v>
      </c>
      <c r="I31" s="337">
        <f>H31/'- 13 -'!$J$54*100</f>
        <v>5.9836520651883156E-3</v>
      </c>
      <c r="J31" s="142">
        <v>288443</v>
      </c>
      <c r="K31" s="337">
        <f>J31/'- 13 -'!$J$54*100</f>
        <v>1.435892306688114E-2</v>
      </c>
    </row>
    <row r="32" spans="1:12">
      <c r="A32" s="141" t="s">
        <v>303</v>
      </c>
      <c r="B32" s="142">
        <v>95307</v>
      </c>
      <c r="C32" s="337">
        <f>B32/'- 13 -'!$J$54*100</f>
        <v>4.7444586304234843E-3</v>
      </c>
      <c r="D32" s="142">
        <v>18491</v>
      </c>
      <c r="E32" s="337">
        <f>D32/'- 13 -'!$J$54*100</f>
        <v>9.204967582146184E-4</v>
      </c>
      <c r="F32" s="142">
        <v>1786</v>
      </c>
      <c r="G32" s="337">
        <f>F32/'- 13 -'!$J$54*100</f>
        <v>8.8908507391234032E-5</v>
      </c>
      <c r="H32" s="142"/>
      <c r="I32" s="337">
        <f>H32/'- 13 -'!$J$54*100</f>
        <v>0</v>
      </c>
      <c r="J32" s="142">
        <v>1283528</v>
      </c>
      <c r="K32" s="337">
        <f>J32/'- 13 -'!$J$54*100</f>
        <v>6.3895049649975263E-2</v>
      </c>
    </row>
    <row r="33" spans="1:13">
      <c r="A33" s="141" t="s">
        <v>304</v>
      </c>
      <c r="B33" s="142">
        <v>2794368</v>
      </c>
      <c r="C33" s="337">
        <f>B33/'- 13 -'!$J$54*100</f>
        <v>0.13910587233025076</v>
      </c>
      <c r="D33" s="142">
        <v>81840</v>
      </c>
      <c r="E33" s="337">
        <f>D33/'- 13 -'!$J$54*100</f>
        <v>4.0740606074460214E-3</v>
      </c>
      <c r="F33" s="142">
        <v>37300</v>
      </c>
      <c r="G33" s="337">
        <f>F33/'- 13 -'!$J$54*100</f>
        <v>1.8568238105784037E-3</v>
      </c>
      <c r="H33" s="142">
        <v>12700</v>
      </c>
      <c r="I33" s="337">
        <f>H33/'- 13 -'!$J$54*100</f>
        <v>6.3221614998245918E-4</v>
      </c>
      <c r="J33" s="142">
        <v>185035</v>
      </c>
      <c r="K33" s="337">
        <f>J33/'- 13 -'!$J$54*100</f>
        <v>9.2111901820475864E-3</v>
      </c>
    </row>
    <row r="34" spans="1:13">
      <c r="A34" s="141" t="s">
        <v>305</v>
      </c>
      <c r="B34" s="142">
        <v>2339304</v>
      </c>
      <c r="C34" s="337">
        <f>B34/'- 13 -'!$J$54*100</f>
        <v>0.1164524227179974</v>
      </c>
      <c r="D34" s="142">
        <v>182840</v>
      </c>
      <c r="E34" s="337">
        <f>D34/'- 13 -'!$J$54*100</f>
        <v>9.1019213277789644E-3</v>
      </c>
      <c r="F34" s="142">
        <v>320852</v>
      </c>
      <c r="G34" s="337">
        <f>F34/'- 13 -'!$J$54*100</f>
        <v>1.5972268988517481E-2</v>
      </c>
      <c r="H34" s="142">
        <v>45001</v>
      </c>
      <c r="I34" s="337">
        <f>H34/'- 13 -'!$J$54*100</f>
        <v>2.2401857453039882E-3</v>
      </c>
      <c r="J34" s="142">
        <v>462645</v>
      </c>
      <c r="K34" s="337">
        <f>J34/'- 13 -'!$J$54*100</f>
        <v>2.3030837851073609E-2</v>
      </c>
    </row>
    <row r="35" spans="1:13">
      <c r="A35" s="506" t="s">
        <v>420</v>
      </c>
      <c r="B35" s="142"/>
      <c r="C35" s="337">
        <f>B35/'- 13 -'!$J$54*100</f>
        <v>0</v>
      </c>
      <c r="D35" s="142"/>
      <c r="E35" s="337">
        <f>D35/'- 13 -'!$J$54*100</f>
        <v>0</v>
      </c>
      <c r="F35" s="142">
        <v>2915</v>
      </c>
      <c r="G35" s="337">
        <f>F35/'- 13 -'!$J$54*100</f>
        <v>1.4511102970069832E-4</v>
      </c>
      <c r="H35" s="142"/>
      <c r="I35" s="337">
        <f>H35/'- 13 -'!$J$54*100</f>
        <v>0</v>
      </c>
      <c r="J35" s="142"/>
      <c r="K35" s="337">
        <f>J35/'- 13 -'!$J$54*100</f>
        <v>0</v>
      </c>
    </row>
    <row r="36" spans="1:13">
      <c r="A36" s="141" t="s">
        <v>306</v>
      </c>
      <c r="B36" s="142">
        <v>315286</v>
      </c>
      <c r="C36" s="337">
        <f>B36/'- 13 -'!$J$54*100</f>
        <v>1.5695189060107848E-2</v>
      </c>
      <c r="D36" s="142">
        <v>37480</v>
      </c>
      <c r="E36" s="337">
        <f>D36/'- 13 -'!$J$54*100</f>
        <v>1.865784354436423E-3</v>
      </c>
      <c r="F36" s="142">
        <v>10376</v>
      </c>
      <c r="G36" s="337">
        <f>F36/'- 13 -'!$J$54*100</f>
        <v>5.1652557261559035E-4</v>
      </c>
      <c r="H36" s="142">
        <v>116500</v>
      </c>
      <c r="I36" s="337">
        <f>H36/'- 13 -'!$J$54*100</f>
        <v>5.7994631081068112E-3</v>
      </c>
      <c r="J36" s="142">
        <v>565092</v>
      </c>
      <c r="K36" s="337">
        <f>J36/'- 13 -'!$J$54*100</f>
        <v>2.8130731387865187E-2</v>
      </c>
    </row>
    <row r="37" spans="1:13">
      <c r="A37" s="141" t="s">
        <v>307</v>
      </c>
      <c r="B37" s="142">
        <v>1206781</v>
      </c>
      <c r="C37" s="337">
        <f>B37/'- 13 -'!$J$54*100</f>
        <v>6.0074522652911973E-2</v>
      </c>
      <c r="D37" s="142">
        <v>104069</v>
      </c>
      <c r="E37" s="337">
        <f>D37/'- 13 -'!$J$54*100</f>
        <v>5.180637993112169E-3</v>
      </c>
      <c r="F37" s="142">
        <v>200</v>
      </c>
      <c r="G37" s="337">
        <f>F37/'- 13 -'!$J$54*100</f>
        <v>9.9561598422434528E-6</v>
      </c>
      <c r="H37" s="142">
        <v>18255</v>
      </c>
      <c r="I37" s="337">
        <f>H37/'- 13 -'!$J$54*100</f>
        <v>9.0874848960077119E-4</v>
      </c>
      <c r="J37" s="142">
        <v>2093308</v>
      </c>
      <c r="K37" s="337">
        <f>J37/'- 13 -'!$J$54*100</f>
        <v>0.10420654523523479</v>
      </c>
    </row>
    <row r="38" spans="1:13">
      <c r="A38" s="148" t="s">
        <v>308</v>
      </c>
      <c r="B38" s="142">
        <v>374813</v>
      </c>
      <c r="C38" s="337">
        <f>B38/'- 13 -'!$J$54*100</f>
        <v>1.8658490694753976E-2</v>
      </c>
      <c r="D38" s="142">
        <v>196873</v>
      </c>
      <c r="E38" s="337">
        <f>D38/'- 13 -'!$J$54*100</f>
        <v>9.8004952831099758E-3</v>
      </c>
      <c r="F38" s="142">
        <v>31090</v>
      </c>
      <c r="G38" s="337">
        <f>F38/'- 13 -'!$J$54*100</f>
        <v>1.5476850474767446E-3</v>
      </c>
      <c r="H38" s="142">
        <v>75562</v>
      </c>
      <c r="I38" s="337">
        <f>H38/'- 13 -'!$J$54*100</f>
        <v>3.7615367499979988E-3</v>
      </c>
      <c r="J38" s="142">
        <v>1563567</v>
      </c>
      <c r="K38" s="337">
        <f>J38/'- 13 -'!$J$54*100</f>
        <v>7.7835614880285342E-2</v>
      </c>
    </row>
    <row r="39" spans="1:13">
      <c r="A39" s="149" t="s">
        <v>309</v>
      </c>
      <c r="B39" s="145">
        <v>6542162</v>
      </c>
      <c r="C39" s="338">
        <f>B39/'- 13 -'!$J$54*100</f>
        <v>0.32567405292925555</v>
      </c>
      <c r="D39" s="145">
        <v>15375</v>
      </c>
      <c r="E39" s="338">
        <f>D39/'- 13 -'!$J$54*100</f>
        <v>7.6537978787246546E-4</v>
      </c>
      <c r="F39" s="145">
        <v>9411</v>
      </c>
      <c r="G39" s="338">
        <f>F39/'- 13 -'!$J$54*100</f>
        <v>4.6848710137676561E-4</v>
      </c>
      <c r="H39" s="145">
        <v>12200</v>
      </c>
      <c r="I39" s="338">
        <f>H39/'- 13 -'!$J$54*100</f>
        <v>6.0732575037685064E-4</v>
      </c>
      <c r="J39" s="145">
        <v>1745987</v>
      </c>
      <c r="K39" s="338">
        <f>J39/'- 13 -'!$J$54*100</f>
        <v>8.6916628272395602E-2</v>
      </c>
    </row>
    <row r="40" spans="1:13">
      <c r="A40" s="146" t="s">
        <v>310</v>
      </c>
      <c r="B40" s="152">
        <f>SUM(B25:B39)</f>
        <v>26483985</v>
      </c>
      <c r="C40" s="340">
        <f>B40/'- 13 -'!$J$54*100</f>
        <v>1.3183939395978899</v>
      </c>
      <c r="D40" s="152">
        <f>SUM(D25:D39)</f>
        <v>9249285</v>
      </c>
      <c r="E40" s="340">
        <f>D40/'- 13 -'!$J$54*100</f>
        <v>0.46043679943232363</v>
      </c>
      <c r="F40" s="152">
        <f>SUM(F25:F39)</f>
        <v>689365</v>
      </c>
      <c r="G40" s="340">
        <f>F40/'- 13 -'!$J$54*100</f>
        <v>3.431714064824079E-2</v>
      </c>
      <c r="H40" s="152">
        <f>SUM(H25:H39)</f>
        <v>1520394</v>
      </c>
      <c r="I40" s="340">
        <f>H40/'- 13 -'!$J$54*100</f>
        <v>7.5686428435939465E-2</v>
      </c>
      <c r="J40" s="152">
        <f>SUM(J25:J39)</f>
        <v>15829347</v>
      </c>
      <c r="K40" s="340">
        <f>J40/'- 13 -'!$J$54*100</f>
        <v>0.78799754465168437</v>
      </c>
    </row>
    <row r="41" spans="1:13">
      <c r="A41" s="362" t="s">
        <v>311</v>
      </c>
      <c r="B41" s="150"/>
      <c r="C41" s="341"/>
      <c r="D41" s="150"/>
      <c r="E41" s="341"/>
      <c r="F41" s="150"/>
      <c r="G41" s="341"/>
      <c r="H41" s="150"/>
      <c r="I41" s="341"/>
      <c r="J41" s="150"/>
      <c r="K41" s="341"/>
    </row>
    <row r="42" spans="1:13">
      <c r="A42" s="141" t="s">
        <v>312</v>
      </c>
      <c r="B42" s="142">
        <v>32869460</v>
      </c>
      <c r="C42" s="337">
        <f>B42/'- 13 -'!$J$54*100</f>
        <v>1.6362679884411373</v>
      </c>
      <c r="D42" s="142">
        <v>3012656</v>
      </c>
      <c r="E42" s="337">
        <f>D42/'- 13 -'!$J$54*100</f>
        <v>0.14997242342846895</v>
      </c>
      <c r="F42" s="142">
        <v>111713</v>
      </c>
      <c r="G42" s="337">
        <f>F42/'- 13 -'!$J$54*100</f>
        <v>5.5611624222827146E-3</v>
      </c>
      <c r="H42" s="142">
        <v>1242783</v>
      </c>
      <c r="I42" s="337">
        <f>H42/'- 13 -'!$J$54*100</f>
        <v>6.186673098611422E-2</v>
      </c>
      <c r="J42" s="142">
        <v>1504549</v>
      </c>
      <c r="K42" s="337">
        <f>J42/'- 13 -'!$J$54*100</f>
        <v>7.4897651672437726E-2</v>
      </c>
    </row>
    <row r="43" spans="1:13">
      <c r="A43" s="141" t="s">
        <v>313</v>
      </c>
      <c r="B43" s="142">
        <v>11476659</v>
      </c>
      <c r="C43" s="337">
        <f>B43/'- 13 -'!$J$54*100</f>
        <v>0.57131725729460947</v>
      </c>
      <c r="D43" s="142">
        <v>708050</v>
      </c>
      <c r="E43" s="337">
        <f>D43/'- 13 -'!$J$54*100</f>
        <v>3.5247294881502383E-2</v>
      </c>
      <c r="F43" s="142">
        <v>67090</v>
      </c>
      <c r="G43" s="337">
        <f>F43/'- 13 -'!$J$54*100</f>
        <v>3.3397938190805661E-3</v>
      </c>
      <c r="H43" s="142">
        <v>101068</v>
      </c>
      <c r="I43" s="337">
        <f>H43/'- 13 -'!$J$54*100</f>
        <v>5.0312458146793059E-3</v>
      </c>
      <c r="J43" s="142">
        <v>131950</v>
      </c>
      <c r="K43" s="337">
        <f>J43/'- 13 -'!$J$54*100</f>
        <v>6.5685764559201181E-3</v>
      </c>
    </row>
    <row r="44" spans="1:13">
      <c r="A44" s="141" t="s">
        <v>314</v>
      </c>
      <c r="B44" s="142">
        <v>8990131</v>
      </c>
      <c r="C44" s="337">
        <f>B44/'- 13 -'!$J$54*100</f>
        <v>0.44753590619353983</v>
      </c>
      <c r="D44" s="142">
        <v>509469</v>
      </c>
      <c r="E44" s="337">
        <f>D44/'- 13 -'!$J$54*100</f>
        <v>2.5361773993339651E-2</v>
      </c>
      <c r="F44" s="142">
        <v>11495</v>
      </c>
      <c r="G44" s="337">
        <f>F44/'- 13 -'!$J$54*100</f>
        <v>5.7223028693294243E-4</v>
      </c>
      <c r="H44" s="142">
        <v>22600</v>
      </c>
      <c r="I44" s="337">
        <f>H44/'- 13 -'!$J$54*100</f>
        <v>1.12504606217351E-3</v>
      </c>
      <c r="J44" s="142">
        <v>352221</v>
      </c>
      <c r="K44" s="337">
        <f>J44/'- 13 -'!$J$54*100</f>
        <v>1.7533842878974158E-2</v>
      </c>
    </row>
    <row r="45" spans="1:13">
      <c r="A45" s="149" t="s">
        <v>315</v>
      </c>
      <c r="B45" s="145">
        <v>16806632</v>
      </c>
      <c r="C45" s="338">
        <f>B45/'- 13 -'!$J$54*100</f>
        <v>0.83664757300881876</v>
      </c>
      <c r="D45" s="145">
        <v>605925</v>
      </c>
      <c r="E45" s="338">
        <f>D45/'- 13 -'!$J$54*100</f>
        <v>3.0163430762056818E-2</v>
      </c>
      <c r="F45" s="145">
        <v>51002</v>
      </c>
      <c r="G45" s="338">
        <f>F45/'- 13 -'!$J$54*100</f>
        <v>2.5389203213705028E-3</v>
      </c>
      <c r="H45" s="145">
        <v>46675</v>
      </c>
      <c r="I45" s="338">
        <f>H45/'- 13 -'!$J$54*100</f>
        <v>2.3235188031835658E-3</v>
      </c>
      <c r="J45" s="145">
        <v>643842</v>
      </c>
      <c r="K45" s="338">
        <f>J45/'- 13 -'!$J$54*100</f>
        <v>3.2050969325748545E-2</v>
      </c>
    </row>
    <row r="46" spans="1:13">
      <c r="A46" s="146" t="s">
        <v>316</v>
      </c>
      <c r="B46" s="152">
        <f>SUM(B42:B45)</f>
        <v>70142882</v>
      </c>
      <c r="C46" s="340">
        <f>B46/'- 13 -'!$J$54*100</f>
        <v>3.4917687249381055</v>
      </c>
      <c r="D46" s="152">
        <f>SUM(D42:D45)</f>
        <v>4836100</v>
      </c>
      <c r="E46" s="340">
        <f>D46/'- 13 -'!$J$54*100</f>
        <v>0.24074492306536779</v>
      </c>
      <c r="F46" s="152">
        <f>SUM(F42:F45)</f>
        <v>241300</v>
      </c>
      <c r="G46" s="340">
        <f>F46/'- 13 -'!$J$54*100</f>
        <v>1.2012106849666726E-2</v>
      </c>
      <c r="H46" s="152">
        <f>SUM(H42:H45)</f>
        <v>1413126</v>
      </c>
      <c r="I46" s="340">
        <f>H46/'- 13 -'!$J$54*100</f>
        <v>7.0346541666150605E-2</v>
      </c>
      <c r="J46" s="152">
        <f>SUM(J42:J45)</f>
        <v>2632562</v>
      </c>
      <c r="K46" s="340">
        <f>J46/'- 13 -'!$J$54*100</f>
        <v>0.13105104033308054</v>
      </c>
    </row>
    <row r="47" spans="1:13">
      <c r="A47" s="362" t="s">
        <v>92</v>
      </c>
      <c r="B47" s="150"/>
      <c r="C47" s="341"/>
      <c r="D47" s="150"/>
      <c r="E47" s="341"/>
      <c r="F47" s="150"/>
      <c r="G47" s="341"/>
      <c r="H47" s="150"/>
      <c r="I47" s="341"/>
      <c r="J47" s="150"/>
      <c r="K47" s="341"/>
    </row>
    <row r="48" spans="1:13" ht="15" customHeight="1">
      <c r="A48" s="149" t="s">
        <v>415</v>
      </c>
      <c r="B48" s="151"/>
      <c r="C48" s="338"/>
      <c r="D48" s="151"/>
      <c r="E48" s="338"/>
      <c r="F48" s="145">
        <v>35550</v>
      </c>
      <c r="G48" s="338"/>
      <c r="H48" s="151"/>
      <c r="I48" s="338"/>
      <c r="J48" s="145">
        <v>-35550</v>
      </c>
      <c r="K48" s="338"/>
      <c r="M48" s="1">
        <f>F48+J48+'- 13 -'!F48</f>
        <v>0</v>
      </c>
    </row>
    <row r="49" spans="1:11">
      <c r="A49" s="146" t="s">
        <v>319</v>
      </c>
      <c r="B49" s="146"/>
      <c r="C49" s="340"/>
      <c r="D49" s="146"/>
      <c r="E49" s="340"/>
      <c r="F49" s="152">
        <f>F48</f>
        <v>35550</v>
      </c>
      <c r="G49" s="340"/>
      <c r="H49" s="146"/>
      <c r="I49" s="340"/>
      <c r="J49" s="152">
        <f>J48</f>
        <v>-35550</v>
      </c>
      <c r="K49" s="340"/>
    </row>
    <row r="50" spans="1:11" ht="5.0999999999999996" customHeight="1">
      <c r="A50" s="27"/>
      <c r="B50" s="31"/>
      <c r="C50" s="342"/>
      <c r="D50" s="91"/>
      <c r="E50" s="342"/>
      <c r="F50" s="91"/>
      <c r="G50" s="342"/>
      <c r="H50" s="91"/>
      <c r="I50" s="342"/>
      <c r="J50" s="91"/>
      <c r="K50" s="342"/>
    </row>
    <row r="51" spans="1:11">
      <c r="A51" s="363" t="s">
        <v>320</v>
      </c>
      <c r="B51" s="483">
        <f>SUM(B47,B46,B40,B23,B22)</f>
        <v>1107640778</v>
      </c>
      <c r="C51" s="484">
        <f>B51/'- 13 -'!$J$54*100</f>
        <v>55.139243167774474</v>
      </c>
      <c r="D51" s="483">
        <f>SUM(D47,D46,D40,D23,D22)</f>
        <v>379500940</v>
      </c>
      <c r="E51" s="484">
        <f>D51/'- 13 -'!$J$54*100</f>
        <v>18.891860094608209</v>
      </c>
      <c r="F51" s="483">
        <f>SUM(F49,F46,F40,F23,F22)</f>
        <v>7160513</v>
      </c>
      <c r="G51" s="484">
        <f>F51/'- 13 -'!$J$54*100</f>
        <v>0.35645605990231094</v>
      </c>
      <c r="H51" s="483">
        <f>SUM(H47,H46,H40,H23,H22)</f>
        <v>18416592</v>
      </c>
      <c r="I51" s="484">
        <f>H51/'- 13 -'!$J$54*100</f>
        <v>0.91679266850691021</v>
      </c>
      <c r="J51" s="483">
        <f>SUM(J49,J46,J40,J23,J22)</f>
        <v>69869823</v>
      </c>
      <c r="K51" s="484">
        <f>J51/'- 13 -'!$J$54*100</f>
        <v>3.47817562968629</v>
      </c>
    </row>
    <row r="52" spans="1:11" ht="20.100000000000001" customHeight="1">
      <c r="A52" s="155" t="s">
        <v>416</v>
      </c>
    </row>
  </sheetData>
  <mergeCells count="1">
    <mergeCell ref="L26:L29"/>
  </mergeCells>
  <phoneticPr fontId="0" type="noConversion"/>
  <printOptions verticalCentered="1"/>
  <pageMargins left="0.74803149606299213" right="0" top="0.31496062992125984" bottom="0.31496062992125984"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58</vt:i4>
      </vt:variant>
    </vt:vector>
  </HeadingPairs>
  <TitlesOfParts>
    <vt:vector size="112" baseType="lpstr">
      <vt:lpstr>README</vt:lpstr>
      <vt:lpstr>- 3 -</vt:lpstr>
      <vt:lpstr>- 4 -</vt:lpstr>
      <vt:lpstr>- 6 -</vt:lpstr>
      <vt:lpstr>- 7 -</vt:lpstr>
      <vt:lpstr>- 8 -</vt:lpstr>
      <vt:lpstr>- 9 -</vt:lpstr>
      <vt:lpstr>- 10 -</vt:lpstr>
      <vt:lpstr>- 12 -</vt:lpstr>
      <vt:lpstr>- 13 -</vt:lpstr>
      <vt:lpstr>- 15 -</vt:lpstr>
      <vt:lpstr>- 16 -</vt:lpstr>
      <vt:lpstr>- 17 -</vt:lpstr>
      <vt:lpstr>- 18 -</vt:lpstr>
      <vt:lpstr>- 19 -</vt:lpstr>
      <vt:lpstr>- 20 -</vt:lpstr>
      <vt:lpstr>- 21 -</vt:lpstr>
      <vt:lpstr>- 22 -</vt:lpstr>
      <vt:lpstr>- 23 -</vt:lpstr>
      <vt:lpstr>- 24 -</vt:lpstr>
      <vt:lpstr>- 25 -</vt:lpstr>
      <vt:lpstr>- 26 -</vt:lpstr>
      <vt:lpstr>- 27 -</vt:lpstr>
      <vt:lpstr>- 28 -</vt:lpstr>
      <vt:lpstr>- 29 -</vt:lpstr>
      <vt:lpstr>- 30 -</vt:lpstr>
      <vt:lpstr>- 31 -</vt:lpstr>
      <vt:lpstr>- 32 -</vt:lpstr>
      <vt:lpstr>- 33 -</vt:lpstr>
      <vt:lpstr>- 34 -</vt:lpstr>
      <vt:lpstr>- 35 -</vt:lpstr>
      <vt:lpstr>- 36 -</vt:lpstr>
      <vt:lpstr>- 37 -</vt:lpstr>
      <vt:lpstr>- 38 -</vt:lpstr>
      <vt:lpstr>- 39 -</vt:lpstr>
      <vt:lpstr>- 41 -</vt:lpstr>
      <vt:lpstr>- 42 -</vt:lpstr>
      <vt:lpstr>- 43 -</vt:lpstr>
      <vt:lpstr>- 44 -</vt:lpstr>
      <vt:lpstr>- 45 -</vt:lpstr>
      <vt:lpstr>- 46 -</vt:lpstr>
      <vt:lpstr>- 48 -</vt:lpstr>
      <vt:lpstr>- 49 - </vt:lpstr>
      <vt:lpstr>- 51 -</vt:lpstr>
      <vt:lpstr>- 52 -</vt:lpstr>
      <vt:lpstr>- 53 -</vt:lpstr>
      <vt:lpstr>- 54 -</vt:lpstr>
      <vt:lpstr>- 55 -</vt:lpstr>
      <vt:lpstr>- 56 -</vt:lpstr>
      <vt:lpstr>- 57 -</vt:lpstr>
      <vt:lpstr>- 58 -</vt:lpstr>
      <vt:lpstr>- 59 -</vt:lpstr>
      <vt:lpstr>- 60 -</vt:lpstr>
      <vt:lpstr>- 61 -</vt:lpstr>
      <vt:lpstr>OPYEAR</vt:lpstr>
      <vt:lpstr>'- 10 -'!Print_Area</vt:lpstr>
      <vt:lpstr>'- 12 -'!Print_Area</vt:lpstr>
      <vt:lpstr>'- 13 -'!Print_Area</vt:lpstr>
      <vt:lpstr>'- 15 -'!Print_Area</vt:lpstr>
      <vt:lpstr>'- 16 -'!Print_Area</vt:lpstr>
      <vt:lpstr>'- 17 -'!Print_Area</vt:lpstr>
      <vt:lpstr>'- 18 -'!Print_Area</vt:lpstr>
      <vt:lpstr>'- 19 -'!Print_Area</vt:lpstr>
      <vt:lpstr>'- 20 -'!Print_Area</vt:lpstr>
      <vt:lpstr>'- 21 -'!Print_Area</vt:lpstr>
      <vt:lpstr>'- 22 -'!Print_Area</vt:lpstr>
      <vt:lpstr>'- 23 -'!Print_Area</vt:lpstr>
      <vt:lpstr>'- 24 -'!Print_Area</vt:lpstr>
      <vt:lpstr>'- 25 -'!Print_Area</vt:lpstr>
      <vt:lpstr>'- 26 -'!Print_Area</vt:lpstr>
      <vt:lpstr>'- 27 -'!Print_Area</vt:lpstr>
      <vt:lpstr>'- 28 -'!Print_Area</vt:lpstr>
      <vt:lpstr>'- 29 -'!Print_Area</vt:lpstr>
      <vt:lpstr>'- 3 -'!Print_Area</vt:lpstr>
      <vt:lpstr>'- 30 -'!Print_Area</vt:lpstr>
      <vt:lpstr>'- 31 -'!Print_Area</vt:lpstr>
      <vt:lpstr>'- 32 -'!Print_Area</vt:lpstr>
      <vt:lpstr>'- 33 -'!Print_Area</vt:lpstr>
      <vt:lpstr>'- 34 -'!Print_Area</vt:lpstr>
      <vt:lpstr>'- 35 -'!Print_Area</vt:lpstr>
      <vt:lpstr>'- 36 -'!Print_Area</vt:lpstr>
      <vt:lpstr>'- 37 -'!Print_Area</vt:lpstr>
      <vt:lpstr>'- 38 -'!Print_Area</vt:lpstr>
      <vt:lpstr>'- 39 -'!Print_Area</vt:lpstr>
      <vt:lpstr>'- 4 -'!Print_Area</vt:lpstr>
      <vt:lpstr>'- 41 -'!Print_Area</vt:lpstr>
      <vt:lpstr>'- 42 -'!Print_Area</vt:lpstr>
      <vt:lpstr>'- 43 -'!Print_Area</vt:lpstr>
      <vt:lpstr>'- 44 -'!Print_Area</vt:lpstr>
      <vt:lpstr>'- 45 -'!Print_Area</vt:lpstr>
      <vt:lpstr>'- 46 -'!Print_Area</vt:lpstr>
      <vt:lpstr>'- 48 -'!Print_Area</vt:lpstr>
      <vt:lpstr>'- 49 - '!Print_Area</vt:lpstr>
      <vt:lpstr>'- 51 -'!Print_Area</vt:lpstr>
      <vt:lpstr>'- 52 -'!Print_Area</vt:lpstr>
      <vt:lpstr>'- 53 -'!Print_Area</vt:lpstr>
      <vt:lpstr>'- 54 -'!Print_Area</vt:lpstr>
      <vt:lpstr>'- 55 -'!Print_Area</vt:lpstr>
      <vt:lpstr>'- 56 -'!Print_Area</vt:lpstr>
      <vt:lpstr>'- 57 -'!Print_Area</vt:lpstr>
      <vt:lpstr>'- 58 -'!Print_Area</vt:lpstr>
      <vt:lpstr>'- 59 -'!Print_Area</vt:lpstr>
      <vt:lpstr>'- 6 -'!Print_Area</vt:lpstr>
      <vt:lpstr>'- 60 -'!Print_Area</vt:lpstr>
      <vt:lpstr>'- 61 -'!Print_Area</vt:lpstr>
      <vt:lpstr>'- 7 -'!Print_Area</vt:lpstr>
      <vt:lpstr>'- 8 -'!Print_Area</vt:lpstr>
      <vt:lpstr>'- 9 -'!Print_Area</vt:lpstr>
      <vt:lpstr>README!Print_Area</vt:lpstr>
      <vt:lpstr>REVYEAR</vt:lpstr>
      <vt:lpstr>STATDATE</vt:lpstr>
      <vt:lpstr>TAXYEAR</vt:lpstr>
    </vt:vector>
  </TitlesOfParts>
  <Company>Government of Manitoba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Pizarro, Gonzalo (EDU)</dc:creator>
  <cp:lastModifiedBy>chanderson</cp:lastModifiedBy>
  <cp:lastPrinted>2012-09-17T14:09:03Z</cp:lastPrinted>
  <dcterms:created xsi:type="dcterms:W3CDTF">1999-01-19T20:49:35Z</dcterms:created>
  <dcterms:modified xsi:type="dcterms:W3CDTF">2012-10-19T15:25:36Z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-1281398377</vt:i4>
  </property>
  <property fmtid="{D5CDD505-2E9C-101B-9397-08002B2CF9AE}" pid="3" name="_NewReviewCycle">
    <vt:lpwstr/>
  </property>
  <property fmtid="{D5CDD505-2E9C-101B-9397-08002B2CF9AE}" pid="4" name="_EmailSubject">
    <vt:lpwstr>FRAME Report Budget 2012-13 to be posted.</vt:lpwstr>
  </property>
  <property fmtid="{D5CDD505-2E9C-101B-9397-08002B2CF9AE}" pid="5" name="_AuthorEmail">
    <vt:lpwstr>Gonzalo.Pizarro@gov.mb.ca</vt:lpwstr>
  </property>
  <property fmtid="{D5CDD505-2E9C-101B-9397-08002B2CF9AE}" pid="6" name="_AuthorEmailDisplayName">
    <vt:lpwstr>Pizarro, Gonzalo (EDU)</vt:lpwstr>
  </property>
</Properties>
</file>