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wmf" ContentType="image/x-wmf"/>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externalLinks/externalLink3.xml" ContentType="application/vnd.openxmlformats-officedocument.spreadsheetml.externalLink+xml"/>
  <Override PartName="/xl/worksheets/sheet1.xml" ContentType="application/vnd.openxmlformats-officedocument.spreadsheetml.worksheet+xml"/>
  <Override PartName="/xl/worksheets/sheet49.xml" ContentType="application/vnd.openxmlformats-officedocument.spreadsheetml.worksheet+xml"/>
  <Override PartName="/xl/externalLinks/externalLink1.xml" ContentType="application/vnd.openxmlformats-officedocument.spreadsheetml.externalLink+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5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15330" windowHeight="4425" tabRatio="864"/>
  </bookViews>
  <sheets>
    <sheet name="README" sheetId="38671" r:id="rId1"/>
    <sheet name="i" sheetId="38660" state="hidden" r:id="rId2"/>
    <sheet name="- 3 -" sheetId="5" r:id="rId3"/>
    <sheet name="- 4 -" sheetId="6" r:id="rId4"/>
    <sheet name="- 6 -" sheetId="14" r:id="rId5"/>
    <sheet name="- 7 -" sheetId="15" r:id="rId6"/>
    <sheet name="- 8 -" sheetId="16" r:id="rId7"/>
    <sheet name="- 9 -" sheetId="17" r:id="rId8"/>
    <sheet name="- 10 -" sheetId="21" r:id="rId9"/>
    <sheet name="- 12 -" sheetId="22" r:id="rId10"/>
    <sheet name="- 13 -" sheetId="23" r:id="rId11"/>
    <sheet name="- 15 -" sheetId="18" r:id="rId12"/>
    <sheet name="- 16 -" sheetId="19" r:id="rId13"/>
    <sheet name="- 17 -" sheetId="20" r:id="rId14"/>
    <sheet name="- 18 -" sheetId="8" r:id="rId15"/>
    <sheet name="- 19 -" sheetId="9" r:id="rId16"/>
    <sheet name="- 20 -" sheetId="7" r:id="rId17"/>
    <sheet name="- 21 -" sheetId="10" r:id="rId18"/>
    <sheet name="- 22 -" sheetId="11" r:id="rId19"/>
    <sheet name="- 23 -" sheetId="38661" r:id="rId20"/>
    <sheet name="- 24 -" sheetId="82" r:id="rId21"/>
    <sheet name="- 25 -" sheetId="25" r:id="rId22"/>
    <sheet name="- 26 -" sheetId="26" r:id="rId23"/>
    <sheet name="- 27 -" sheetId="27" r:id="rId24"/>
    <sheet name="- 28 -" sheetId="38655" r:id="rId25"/>
    <sheet name="- 29 -" sheetId="38656" r:id="rId26"/>
    <sheet name="- 30 -" sheetId="34" r:id="rId27"/>
    <sheet name="- 31 -" sheetId="35" r:id="rId28"/>
    <sheet name="- 32 -" sheetId="36" r:id="rId29"/>
    <sheet name="- 33 -" sheetId="37" r:id="rId30"/>
    <sheet name="- 34 -" sheetId="38" r:id="rId31"/>
    <sheet name="- 35 -" sheetId="39" r:id="rId32"/>
    <sheet name="- 36 -" sheetId="40" r:id="rId33"/>
    <sheet name="- 37 -" sheetId="41" r:id="rId34"/>
    <sheet name="- 38 -" sheetId="54" r:id="rId35"/>
    <sheet name="- 39 -" sheetId="76" r:id="rId36"/>
    <sheet name="- 41 -" sheetId="42" r:id="rId37"/>
    <sheet name="- 42 -" sheetId="43" r:id="rId38"/>
    <sheet name="- 43 -" sheetId="44" r:id="rId39"/>
    <sheet name="- 44 -" sheetId="45" r:id="rId40"/>
    <sheet name="- 45 -" sheetId="70" r:id="rId41"/>
    <sheet name="- 46 -" sheetId="33" r:id="rId42"/>
    <sheet name="- 47 -" sheetId="32" r:id="rId43"/>
    <sheet name="- 48 -" sheetId="48" r:id="rId44"/>
    <sheet name="- 49 -" sheetId="38663" r:id="rId45"/>
    <sheet name="- 50 -" sheetId="38665" r:id="rId46"/>
    <sheet name="- 51 -" sheetId="38670" r:id="rId47"/>
    <sheet name="- 52 -" sheetId="38662" r:id="rId48"/>
    <sheet name="- 54 -" sheetId="38651" r:id="rId49"/>
    <sheet name="- 55 - " sheetId="38668" r:id="rId50"/>
    <sheet name="- 56 -" sheetId="38654" r:id="rId51"/>
    <sheet name="- 58 -" sheetId="81" r:id="rId52"/>
    <sheet name="- 59 -" sheetId="47" r:id="rId53"/>
    <sheet name="- 60 -" sheetId="46" r:id="rId54"/>
    <sheet name="- 61 -" sheetId="52" r:id="rId55"/>
    <sheet name="- 62 -" sheetId="78" r:id="rId56"/>
    <sheet name="- 63 -" sheetId="38658" r:id="rId57"/>
    <sheet name="- 64 -" sheetId="38659" r:id="rId58"/>
    <sheet name="- 65 -" sheetId="38666" r:id="rId59"/>
    <sheet name="- 66 -" sheetId="38667" r:id="rId60"/>
    <sheet name="- 67 -" sheetId="38648" r:id="rId61"/>
    <sheet name="Data" sheetId="3188" state="hidden" r:id="rId62"/>
  </sheets>
  <externalReferences>
    <externalReference r:id="rId63"/>
    <externalReference r:id="rId64"/>
    <externalReference r:id="rId65"/>
    <externalReference r:id="rId66"/>
  </externalReferences>
  <definedNames>
    <definedName name="_Fill" localSheetId="46" hidden="1">#REF!</definedName>
    <definedName name="_Fill" localSheetId="58" hidden="1">#REF!</definedName>
    <definedName name="_Fill" localSheetId="0" hidden="1">#REF!</definedName>
    <definedName name="_Fill" hidden="1">#REF!</definedName>
    <definedName name="_Order1" hidden="1">0</definedName>
    <definedName name="capyear" localSheetId="44">'- 49 -'!$B$3</definedName>
    <definedName name="capyear" localSheetId="49">#REF!</definedName>
    <definedName name="capyear" localSheetId="58">#REF!</definedName>
    <definedName name="capyear" localSheetId="59">#REF!</definedName>
    <definedName name="capyear">'- 47 -'!$B$3</definedName>
    <definedName name="CurrY" localSheetId="0">[1]Data!$B$5</definedName>
    <definedName name="CurrY">Data!$B$5</definedName>
    <definedName name="DATE_ENTRY" localSheetId="46">#REF!</definedName>
    <definedName name="DATE_ENTRY" localSheetId="0">#REF!</definedName>
    <definedName name="DATE_ENTRY">#REF!</definedName>
    <definedName name="DIV">[2]Data!$A$9:$A$696</definedName>
    <definedName name="DIVNUM">[3]DATA!$B$1</definedName>
    <definedName name="FALLYR" localSheetId="0">[1]Data!$B$6</definedName>
    <definedName name="FALLYR">Data!$B$6</definedName>
    <definedName name="HTML_CodePage" hidden="1">1252</definedName>
    <definedName name="HTML_Control" localSheetId="19" hidden="1">{"'- 4 -'!$A$1:$G$76","'-3 -'!$A$1:$G$77"}</definedName>
    <definedName name="HTML_Control" localSheetId="20" hidden="1">{"'- 4 -'!$A$1:$G$76","'-3 -'!$A$1:$G$77"}</definedName>
    <definedName name="HTML_Control" localSheetId="44" hidden="1">{"'- 4 -'!$A$1:$G$76","'-3 -'!$A$1:$G$77"}</definedName>
    <definedName name="HTML_Control" localSheetId="45" hidden="1">{"'- 4 -'!$A$1:$G$76","'-3 -'!$A$1:$G$77"}</definedName>
    <definedName name="HTML_Control" localSheetId="47" hidden="1">{"'- 4 -'!$A$1:$G$76","'-3 -'!$A$1:$G$77"}</definedName>
    <definedName name="HTML_Control" localSheetId="49" hidden="1">{"'- 4 -'!$A$1:$G$76","'-3 -'!$A$1:$G$77"}</definedName>
    <definedName name="HTML_Control" localSheetId="52" hidden="1">{"'- 4 -'!$A$1:$G$76","'-3 -'!$A$1:$G$77"}</definedName>
    <definedName name="HTML_Control" localSheetId="56" hidden="1">{"'- 4 -'!$A$1:$G$76","'-3 -'!$A$1:$G$77"}</definedName>
    <definedName name="HTML_Control" localSheetId="57" hidden="1">{"'- 4 -'!$A$1:$G$76","'-3 -'!$A$1:$G$77"}</definedName>
    <definedName name="HTML_Control" localSheetId="58" hidden="1">{"'- 4 -'!$A$1:$G$76","'-3 -'!$A$1:$G$77"}</definedName>
    <definedName name="HTML_Control" localSheetId="59" hidden="1">{"'- 4 -'!$A$1:$G$76","'-3 -'!$A$1:$G$77"}</definedName>
    <definedName name="HTML_Control" localSheetId="60" hidden="1">{"'- 4 -'!$A$1:$G$76","'-3 -'!$A$1:$G$77"}</definedName>
    <definedName name="HTML_Control" localSheetId="0" hidden="1">{"'- 4 -'!$A$1:$G$76","'-3 -'!$A$1:$G$77"}</definedName>
    <definedName name="HTML_Control" hidden="1">{"'- 4 -'!$A$1:$G$76","'-3 -'!$A$1:$G$77"}</definedName>
    <definedName name="HTML_Description" hidden="1">""</definedName>
    <definedName name="HTML_Email" hidden="1">""</definedName>
    <definedName name="HTML_Header" hidden="1">"- 8 -"</definedName>
    <definedName name="HTML_LastUpdate" hidden="1">"1999-01-20"</definedName>
    <definedName name="HTML_LineAfter" hidden="1">FALSE</definedName>
    <definedName name="HTML_LineBefore" hidden="1">FALSE</definedName>
    <definedName name="HTML_Name" hidden="1">"Chris J. Anderson"</definedName>
    <definedName name="HTML_OBDlg2" hidden="1">TRUE</definedName>
    <definedName name="HTML_OBDlg4" hidden="1">TRUE</definedName>
    <definedName name="HTML_OS" hidden="1">0</definedName>
    <definedName name="HTML_PathFile" hidden="1">"C:\frame\FIN98\MyHTML.htm"</definedName>
    <definedName name="HTML_Title" hidden="1">"98AFRAME"</definedName>
    <definedName name="LIST">[3]DATA!$D$1:$D$39</definedName>
    <definedName name="LOADED1" localSheetId="46">#REF!</definedName>
    <definedName name="LOADED1" localSheetId="0">#REF!</definedName>
    <definedName name="LOADED1">#REF!</definedName>
    <definedName name="LOADED2" localSheetId="46">#REF!</definedName>
    <definedName name="LOADED2">#REF!</definedName>
    <definedName name="LOADED3" localSheetId="46">#REF!</definedName>
    <definedName name="LOADED3">#REF!</definedName>
    <definedName name="NOW" localSheetId="46">#REF!</definedName>
    <definedName name="NOW">#REF!</definedName>
    <definedName name="OD_FINISH" localSheetId="46">#REF!</definedName>
    <definedName name="OD_FINISH">#REF!</definedName>
    <definedName name="OD_FIRST" localSheetId="46">#REF!</definedName>
    <definedName name="OD_FIRST">#REF!</definedName>
    <definedName name="OD_LAST" localSheetId="46">#REF!</definedName>
    <definedName name="OD_LAST">#REF!</definedName>
    <definedName name="OD_START" localSheetId="46">#REF!</definedName>
    <definedName name="OD_START">#REF!</definedName>
    <definedName name="ONE_AM" localSheetId="46">#REF!</definedName>
    <definedName name="ONE_AM">#REF!</definedName>
    <definedName name="ONE_PM" localSheetId="46">#REF!</definedName>
    <definedName name="ONE_PM">#REF!</definedName>
    <definedName name="OPYEAR" localSheetId="0">'[1]- 3 -'!$A$3</definedName>
    <definedName name="OPYEAR">'- 3 -'!$A$3</definedName>
    <definedName name="PrevY" localSheetId="0">[1]Data!$B$4</definedName>
    <definedName name="PrevY">Data!$B$4</definedName>
    <definedName name="_xlnm.Print_Area" localSheetId="8">'- 10 -'!$A$2:$L$28</definedName>
    <definedName name="_xlnm.Print_Area" localSheetId="9">'- 12 -'!$A$2:$L$52</definedName>
    <definedName name="_xlnm.Print_Area" localSheetId="10">'- 13 -'!$A$2:$L$54</definedName>
    <definedName name="_xlnm.Print_Area" localSheetId="11">'- 15 -'!$A$1:$I$52</definedName>
    <definedName name="_xlnm.Print_Area" localSheetId="12">'- 16 -'!$A$1:$I$52</definedName>
    <definedName name="_xlnm.Print_Area" localSheetId="13">'- 17 -'!$A$1:$J$52</definedName>
    <definedName name="_xlnm.Print_Area" localSheetId="14">'- 18 -'!$A$1:$G$52</definedName>
    <definedName name="_xlnm.Print_Area" localSheetId="15">'- 19 -'!$A$1:$J$53</definedName>
    <definedName name="_xlnm.Print_Area" localSheetId="16">'- 20 -'!$A$1:$I$53</definedName>
    <definedName name="_xlnm.Print_Area" localSheetId="17">'- 21 -'!$A$1:$J$55</definedName>
    <definedName name="_xlnm.Print_Area" localSheetId="18">'- 22 -'!$A$1:$I$54</definedName>
    <definedName name="_xlnm.Print_Area" localSheetId="20">'- 24 -'!$A$1:$F$52</definedName>
    <definedName name="_xlnm.Print_Area" localSheetId="21">'- 25 -'!$A$1:$I$52</definedName>
    <definedName name="_xlnm.Print_Area" localSheetId="22">'- 26 -'!$A$1:$J$52</definedName>
    <definedName name="_xlnm.Print_Area" localSheetId="23">'- 27 -'!$A$1:$E$52</definedName>
    <definedName name="_xlnm.Print_Area" localSheetId="24">'- 28 -'!$A$1:$J$52</definedName>
    <definedName name="_xlnm.Print_Area" localSheetId="25">'- 29 -'!$A$1:$J$53</definedName>
    <definedName name="_xlnm.Print_Area" localSheetId="2">'- 3 -'!$A$2:$F$58</definedName>
    <definedName name="_xlnm.Print_Area" localSheetId="26">'- 30 -'!$A$1:$G$52</definedName>
    <definedName name="_xlnm.Print_Area" localSheetId="27">'- 31 -'!$A$1:$G$52</definedName>
    <definedName name="_xlnm.Print_Area" localSheetId="28">'- 32 -'!$A$1:$G$52</definedName>
    <definedName name="_xlnm.Print_Area" localSheetId="29">'- 33 -'!$A$1:$F$52</definedName>
    <definedName name="_xlnm.Print_Area" localSheetId="30">'- 34 -'!$A$1:$G$52</definedName>
    <definedName name="_xlnm.Print_Area" localSheetId="31">'- 35 -'!$A$1:$H$52</definedName>
    <definedName name="_xlnm.Print_Area" localSheetId="32">'- 36 -'!$A$1:$E$52</definedName>
    <definedName name="_xlnm.Print_Area" localSheetId="33">'- 37 -'!$A$1:$G$54</definedName>
    <definedName name="_xlnm.Print_Area" localSheetId="34">'- 38 -'!$A$1:$J$56</definedName>
    <definedName name="_xlnm.Print_Area" localSheetId="35">'- 39 -'!$A$1:$H$54</definedName>
    <definedName name="_xlnm.Print_Area" localSheetId="3">'- 4 -'!$A$1:$E$56</definedName>
    <definedName name="_xlnm.Print_Area" localSheetId="36">'- 41 -'!$A$1:$H$55</definedName>
    <definedName name="_xlnm.Print_Area" localSheetId="37">'- 42 -'!$A$1:$I$62</definedName>
    <definedName name="_xlnm.Print_Area" localSheetId="38">'- 43 -'!$A$1:$I$57</definedName>
    <definedName name="_xlnm.Print_Area" localSheetId="39">'- 44 -'!$A$1:$I$52</definedName>
    <definedName name="_xlnm.Print_Area" localSheetId="40">'- 45 -'!$A$2:$E$60</definedName>
    <definedName name="_xlnm.Print_Area" localSheetId="41">'- 46 -'!$A$1:$F$56</definedName>
    <definedName name="_xlnm.Print_Area" localSheetId="42">'- 47 -'!$A$1:$F$54</definedName>
    <definedName name="_xlnm.Print_Area" localSheetId="43">'- 48 -'!$A$1:$E$59</definedName>
    <definedName name="_xlnm.Print_Area" localSheetId="44">'- 49 -'!$A$1:$G$57</definedName>
    <definedName name="_xlnm.Print_Area" localSheetId="45">'- 50 -'!$A$1:$H$55</definedName>
    <definedName name="_xlnm.Print_Area" localSheetId="46">'- 51 -'!$A$1:$E$59</definedName>
    <definedName name="_xlnm.Print_Area" localSheetId="47">'- 52 -'!$A$1:$D$58</definedName>
    <definedName name="_xlnm.Print_Area" localSheetId="48">'- 54 -'!$A$1:$G$57</definedName>
    <definedName name="_xlnm.Print_Area" localSheetId="49">'- 55 - '!$A$1:$F$53</definedName>
    <definedName name="_xlnm.Print_Area" localSheetId="50">'- 56 -'!$A$1:$F$52</definedName>
    <definedName name="_xlnm.Print_Area" localSheetId="51">'- 58 -'!$A$1:$G$54</definedName>
    <definedName name="_xlnm.Print_Area" localSheetId="52">'- 59 -'!$A$1:$G$54</definedName>
    <definedName name="_xlnm.Print_Area" localSheetId="4">'- 6 -'!$A$1:$H$54</definedName>
    <definedName name="_xlnm.Print_Area" localSheetId="53">'- 60 -'!$A$1:$F$55</definedName>
    <definedName name="_xlnm.Print_Area" localSheetId="54">'- 61 -'!$A$1:$F$53</definedName>
    <definedName name="_xlnm.Print_Area" localSheetId="55">'- 62 -'!$A$1:$F$59</definedName>
    <definedName name="_xlnm.Print_Area" localSheetId="56">'- 63 -'!$A$2:$G$64</definedName>
    <definedName name="_xlnm.Print_Area" localSheetId="57">'- 64 -'!$A$2:$G$55</definedName>
    <definedName name="_xlnm.Print_Area" localSheetId="58">'- 65 -'!$A$1:$I$56</definedName>
    <definedName name="_xlnm.Print_Area" localSheetId="59">'- 66 -'!$A$2:$G$54</definedName>
    <definedName name="_xlnm.Print_Area" localSheetId="60">'- 67 -'!$A$1:$I$58</definedName>
    <definedName name="_xlnm.Print_Area" localSheetId="5">'- 7 -'!$A$1:$G$56</definedName>
    <definedName name="_xlnm.Print_Area" localSheetId="6">'- 8 -'!$A$1:$G$59</definedName>
    <definedName name="_xlnm.Print_Area" localSheetId="7">'- 9 -'!$A$1:$D$58</definedName>
    <definedName name="_xlnm.Print_Area" localSheetId="61">Data!$1:$1048576</definedName>
    <definedName name="_xlnm.Print_Area" localSheetId="1">i!$A$1:$E$37</definedName>
    <definedName name="REVYEAR" localSheetId="0">'[1]- 42 -'!$B$1</definedName>
    <definedName name="REVYEAR">'- 42 -'!$B$1</definedName>
    <definedName name="SPRINGYR" localSheetId="0">[1]Data!$B$7</definedName>
    <definedName name="SPRINGYR">Data!$B$7</definedName>
    <definedName name="STAMP" localSheetId="46">#REF!</definedName>
    <definedName name="STAMP" localSheetId="0">#REF!</definedName>
    <definedName name="STAMP">#REF!</definedName>
    <definedName name="STATDATE" localSheetId="0">'[1]- 6 -'!$B$3</definedName>
    <definedName name="STATDATE">'- 6 -'!$B$3</definedName>
    <definedName name="TAXYEAR" localSheetId="49">'[4]- 46 -'!$B$3</definedName>
    <definedName name="TAXYEAR" localSheetId="0">'[1]- 52 -'!$B$3</definedName>
    <definedName name="TAXYEAR">'- 52 -'!$B$3</definedName>
    <definedName name="TOTAL1" localSheetId="46">#REF!</definedName>
    <definedName name="TOTAL1" localSheetId="0">#REF!</definedName>
    <definedName name="TOTAL1">#REF!</definedName>
    <definedName name="TOTAL2" localSheetId="46">#REF!</definedName>
    <definedName name="TOTAL2">#REF!</definedName>
    <definedName name="TOTAL3" localSheetId="46">#REF!</definedName>
    <definedName name="TOTAL3">#REF!</definedName>
    <definedName name="TWO" localSheetId="46">#REF!</definedName>
    <definedName name="TWO">#REF!</definedName>
  </definedNames>
  <calcPr calcId="125725"/>
</workbook>
</file>

<file path=xl/calcChain.xml><?xml version="1.0" encoding="utf-8"?>
<calcChain xmlns="http://schemas.openxmlformats.org/spreadsheetml/2006/main">
  <c r="B36" i="38660"/>
  <c r="A57" i="78" l="1"/>
  <c r="C48" i="38654" l="1"/>
  <c r="C46"/>
  <c r="C45"/>
  <c r="C44"/>
  <c r="C43"/>
  <c r="C42"/>
  <c r="C41"/>
  <c r="C40"/>
  <c r="C39"/>
  <c r="C38"/>
  <c r="C37"/>
  <c r="C36"/>
  <c r="C35"/>
  <c r="C34"/>
  <c r="C33"/>
  <c r="C32"/>
  <c r="C31"/>
  <c r="C30"/>
  <c r="C29"/>
  <c r="C28"/>
  <c r="C27"/>
  <c r="C26"/>
  <c r="C25"/>
  <c r="C24"/>
  <c r="C23"/>
  <c r="C22"/>
  <c r="C21"/>
  <c r="C20"/>
  <c r="C19"/>
  <c r="C18"/>
  <c r="C17"/>
  <c r="C16"/>
  <c r="C15"/>
  <c r="C14"/>
  <c r="C13"/>
  <c r="C12"/>
  <c r="C11"/>
  <c r="F48"/>
  <c r="F46"/>
  <c r="F45"/>
  <c r="F44"/>
  <c r="F43"/>
  <c r="F42"/>
  <c r="F41"/>
  <c r="F40"/>
  <c r="F39"/>
  <c r="F38"/>
  <c r="F37"/>
  <c r="F36"/>
  <c r="F35"/>
  <c r="F34"/>
  <c r="F33"/>
  <c r="F32"/>
  <c r="F31"/>
  <c r="F30"/>
  <c r="F29"/>
  <c r="F28"/>
  <c r="F27"/>
  <c r="F26"/>
  <c r="F25"/>
  <c r="F24"/>
  <c r="F23"/>
  <c r="F22"/>
  <c r="F21"/>
  <c r="F20"/>
  <c r="F19"/>
  <c r="F18"/>
  <c r="F17"/>
  <c r="F16"/>
  <c r="F15"/>
  <c r="F14"/>
  <c r="F13"/>
  <c r="F12"/>
  <c r="F11"/>
  <c r="D51" i="70" l="1"/>
  <c r="D50"/>
  <c r="D46"/>
  <c r="D45"/>
  <c r="D44"/>
  <c r="D43"/>
  <c r="D42"/>
  <c r="D41"/>
  <c r="D40"/>
  <c r="D39"/>
  <c r="D38"/>
  <c r="D37"/>
  <c r="D36"/>
  <c r="D35"/>
  <c r="D34"/>
  <c r="D33"/>
  <c r="D32"/>
  <c r="D31"/>
  <c r="D30"/>
  <c r="D29"/>
  <c r="D28"/>
  <c r="D27"/>
  <c r="D26"/>
  <c r="D25"/>
  <c r="D24"/>
  <c r="D23"/>
  <c r="D22"/>
  <c r="D21"/>
  <c r="D20"/>
  <c r="D19"/>
  <c r="D18"/>
  <c r="D17"/>
  <c r="D16"/>
  <c r="D15"/>
  <c r="D14"/>
  <c r="D13"/>
  <c r="D12"/>
  <c r="H47" i="23" l="1"/>
  <c r="I16" i="21"/>
  <c r="H48" i="22"/>
  <c r="T48" i="3188" l="1"/>
  <c r="I50" i="41"/>
  <c r="I48"/>
  <c r="I46"/>
  <c r="I45"/>
  <c r="I44"/>
  <c r="I43"/>
  <c r="I42"/>
  <c r="I41"/>
  <c r="I40"/>
  <c r="I39"/>
  <c r="I38"/>
  <c r="I37"/>
  <c r="I36"/>
  <c r="I35"/>
  <c r="I34"/>
  <c r="I33"/>
  <c r="I32"/>
  <c r="I31"/>
  <c r="I30"/>
  <c r="I29"/>
  <c r="I28"/>
  <c r="I27"/>
  <c r="I26"/>
  <c r="I25"/>
  <c r="I24"/>
  <c r="I23"/>
  <c r="I22"/>
  <c r="I21"/>
  <c r="I20"/>
  <c r="I19"/>
  <c r="I18"/>
  <c r="I17"/>
  <c r="I16"/>
  <c r="I15"/>
  <c r="I14"/>
  <c r="I13"/>
  <c r="I12"/>
  <c r="I11"/>
  <c r="I9"/>
  <c r="B46" i="38668"/>
  <c r="B45"/>
  <c r="B44"/>
  <c r="B43"/>
  <c r="B42"/>
  <c r="B41"/>
  <c r="B40"/>
  <c r="B39"/>
  <c r="B38"/>
  <c r="B37"/>
  <c r="B36"/>
  <c r="B35"/>
  <c r="B34"/>
  <c r="B33"/>
  <c r="B32"/>
  <c r="B31"/>
  <c r="B30"/>
  <c r="B29"/>
  <c r="B28"/>
  <c r="B27"/>
  <c r="B26"/>
  <c r="B25"/>
  <c r="B24"/>
  <c r="B23"/>
  <c r="B22"/>
  <c r="B21"/>
  <c r="B20"/>
  <c r="B19"/>
  <c r="B18"/>
  <c r="B17"/>
  <c r="B16"/>
  <c r="B15"/>
  <c r="B14"/>
  <c r="B13"/>
  <c r="B12"/>
  <c r="B48" s="1"/>
  <c r="D46"/>
  <c r="D45"/>
  <c r="D44"/>
  <c r="D43"/>
  <c r="D42"/>
  <c r="D41"/>
  <c r="D40"/>
  <c r="D39"/>
  <c r="D38"/>
  <c r="D37"/>
  <c r="D36"/>
  <c r="D35"/>
  <c r="D34"/>
  <c r="D33"/>
  <c r="D32"/>
  <c r="D31"/>
  <c r="D30"/>
  <c r="D29"/>
  <c r="D28"/>
  <c r="D27"/>
  <c r="D26"/>
  <c r="D25"/>
  <c r="D24"/>
  <c r="D23"/>
  <c r="D22"/>
  <c r="D21"/>
  <c r="D20"/>
  <c r="D19"/>
  <c r="D18"/>
  <c r="D17"/>
  <c r="D16"/>
  <c r="D15"/>
  <c r="D14"/>
  <c r="D13"/>
  <c r="D12"/>
  <c r="D11"/>
  <c r="B11"/>
  <c r="I51" i="38648"/>
  <c r="I50"/>
  <c r="I14"/>
  <c r="I21" i="21"/>
  <c r="F45" i="23"/>
  <c r="F21" i="21" s="1"/>
  <c r="B45" i="23"/>
  <c r="F19" i="21" s="1"/>
  <c r="J28" i="23"/>
  <c r="D21" i="21"/>
  <c r="D19"/>
  <c r="B21" i="23"/>
  <c r="C19" i="21" s="1"/>
  <c r="J48" i="22"/>
  <c r="H45"/>
  <c r="F16" i="21" s="1"/>
  <c r="D45" i="22"/>
  <c r="F14" i="21" s="1"/>
  <c r="J34" i="23"/>
  <c r="F39" i="22"/>
  <c r="E15" i="21" s="1"/>
  <c r="D17"/>
  <c r="D16"/>
  <c r="D15"/>
  <c r="D14"/>
  <c r="D13"/>
  <c r="H21" i="22"/>
  <c r="C16" i="21" s="1"/>
  <c r="H50" i="23"/>
  <c r="J50" s="1"/>
  <c r="B7" i="3188"/>
  <c r="F13" i="38658"/>
  <c r="F17"/>
  <c r="F22"/>
  <c r="F23"/>
  <c r="F25"/>
  <c r="F26"/>
  <c r="F28"/>
  <c r="F32"/>
  <c r="F43"/>
  <c r="B89" i="3188"/>
  <c r="A53" i="81" s="1"/>
  <c r="B9" i="38648"/>
  <c r="B9" i="38667" s="1"/>
  <c r="F9" s="1"/>
  <c r="C9" i="38648"/>
  <c r="D9"/>
  <c r="H9"/>
  <c r="K6" i="38667"/>
  <c r="L6"/>
  <c r="J7"/>
  <c r="K7"/>
  <c r="L7"/>
  <c r="J47"/>
  <c r="K47"/>
  <c r="L47"/>
  <c r="A3" i="38666"/>
  <c r="B2" i="38659"/>
  <c r="J20"/>
  <c r="E2" i="38658"/>
  <c r="I16"/>
  <c r="I20"/>
  <c r="K51"/>
  <c r="B5" i="78"/>
  <c r="B4" i="52"/>
  <c r="B4" i="46"/>
  <c r="B4" i="47"/>
  <c r="B3" i="38654"/>
  <c r="G11" i="38648"/>
  <c r="G12"/>
  <c r="F12" i="38651"/>
  <c r="G13" i="38648"/>
  <c r="F13" i="38651"/>
  <c r="G14" i="38648"/>
  <c r="G15"/>
  <c r="F15" i="38651"/>
  <c r="G15" s="1"/>
  <c r="I15" i="38648" s="1"/>
  <c r="G16"/>
  <c r="F16" i="38651"/>
  <c r="G17" i="38648"/>
  <c r="F17" i="38651"/>
  <c r="G18" i="38648"/>
  <c r="F18" i="38651"/>
  <c r="G19" i="38648"/>
  <c r="F19" i="38651"/>
  <c r="G19" s="1"/>
  <c r="G20" i="38648"/>
  <c r="F20" i="38651"/>
  <c r="G21" i="38648"/>
  <c r="F21" i="38651"/>
  <c r="G22" i="38648"/>
  <c r="F22" i="38651"/>
  <c r="G23" i="38648"/>
  <c r="F23" i="38651"/>
  <c r="G23" s="1"/>
  <c r="G24" i="38648"/>
  <c r="F24" i="38651"/>
  <c r="G25" i="38648"/>
  <c r="F25" i="38651"/>
  <c r="G26" i="38648"/>
  <c r="F26" i="38651"/>
  <c r="G27" i="38648"/>
  <c r="F27" i="38651"/>
  <c r="G27" s="1"/>
  <c r="G28" i="38648"/>
  <c r="F28" i="38651"/>
  <c r="G29" i="38648"/>
  <c r="F29" i="38651"/>
  <c r="G30" i="38648"/>
  <c r="F30" i="38651"/>
  <c r="G31" i="38648"/>
  <c r="F31" i="38651"/>
  <c r="G32" i="38648"/>
  <c r="F32" i="38651"/>
  <c r="G32" s="1"/>
  <c r="J31" s="1"/>
  <c r="G33" i="38648"/>
  <c r="F33" i="38651"/>
  <c r="G34" i="38648"/>
  <c r="F34" i="38651"/>
  <c r="G34" s="1"/>
  <c r="J33" s="1"/>
  <c r="G35" i="38648"/>
  <c r="F35" i="38651"/>
  <c r="G36" i="38648"/>
  <c r="F36" i="38651"/>
  <c r="G37" i="38648"/>
  <c r="F37" i="38651"/>
  <c r="G38" i="38648"/>
  <c r="F38" i="38651"/>
  <c r="G39" i="38648"/>
  <c r="F39" i="38651"/>
  <c r="G40" i="38648"/>
  <c r="F40" i="38651"/>
  <c r="G41" i="38648"/>
  <c r="F41" i="38651"/>
  <c r="G41" s="1"/>
  <c r="G42" i="38648"/>
  <c r="F42" i="38651"/>
  <c r="G43" i="38648"/>
  <c r="F43" i="38651"/>
  <c r="G44" i="38648"/>
  <c r="F44" i="38651"/>
  <c r="G45" i="38648"/>
  <c r="F45" i="38651"/>
  <c r="G46" i="38648"/>
  <c r="F46" i="38651"/>
  <c r="G48" i="38648"/>
  <c r="A3" i="38651"/>
  <c r="A3" i="38668" s="1"/>
  <c r="E11" i="38651"/>
  <c r="I11"/>
  <c r="E12"/>
  <c r="I12"/>
  <c r="E13"/>
  <c r="I13"/>
  <c r="E14"/>
  <c r="I14"/>
  <c r="E15"/>
  <c r="I15"/>
  <c r="E16"/>
  <c r="I16"/>
  <c r="E17"/>
  <c r="I17"/>
  <c r="E18"/>
  <c r="I18"/>
  <c r="E19"/>
  <c r="I19"/>
  <c r="E20"/>
  <c r="I20"/>
  <c r="E21"/>
  <c r="I21"/>
  <c r="E22"/>
  <c r="I22"/>
  <c r="E23"/>
  <c r="I23"/>
  <c r="E24"/>
  <c r="I24"/>
  <c r="E25"/>
  <c r="I25"/>
  <c r="E26"/>
  <c r="E48" s="1"/>
  <c r="I26"/>
  <c r="E27"/>
  <c r="I27"/>
  <c r="E28"/>
  <c r="I28"/>
  <c r="E29"/>
  <c r="I29"/>
  <c r="E30"/>
  <c r="I30"/>
  <c r="E31"/>
  <c r="I31"/>
  <c r="E32"/>
  <c r="I32"/>
  <c r="E33"/>
  <c r="I33"/>
  <c r="E34"/>
  <c r="I34"/>
  <c r="E35"/>
  <c r="I35"/>
  <c r="E36"/>
  <c r="I36"/>
  <c r="E37"/>
  <c r="I37"/>
  <c r="E38"/>
  <c r="I38"/>
  <c r="E39"/>
  <c r="I39"/>
  <c r="E40"/>
  <c r="I40"/>
  <c r="E41"/>
  <c r="I41"/>
  <c r="E42"/>
  <c r="I42"/>
  <c r="E43"/>
  <c r="I43"/>
  <c r="E44"/>
  <c r="I44"/>
  <c r="E45"/>
  <c r="I45"/>
  <c r="E46"/>
  <c r="B48"/>
  <c r="C48"/>
  <c r="C53" s="1"/>
  <c r="D48"/>
  <c r="E50"/>
  <c r="E51"/>
  <c r="B53"/>
  <c r="D53"/>
  <c r="A5" i="38662"/>
  <c r="B11"/>
  <c r="C11" s="1"/>
  <c r="B12"/>
  <c r="C12" s="1"/>
  <c r="B12" i="38654" s="1"/>
  <c r="D12" s="1"/>
  <c r="B13" i="38662"/>
  <c r="C13" s="1"/>
  <c r="B13" i="38654" s="1"/>
  <c r="D13" s="1"/>
  <c r="B14" i="38662"/>
  <c r="C14" s="1"/>
  <c r="B14" i="38654" s="1"/>
  <c r="D14" s="1"/>
  <c r="B15" i="38662"/>
  <c r="C15" s="1"/>
  <c r="B15" i="38654" s="1"/>
  <c r="D15" s="1"/>
  <c r="B16" i="38662"/>
  <c r="C16" s="1"/>
  <c r="B16" i="38654" s="1"/>
  <c r="D16" s="1"/>
  <c r="B17" i="38662"/>
  <c r="C17" s="1"/>
  <c r="B17" i="38654" s="1"/>
  <c r="D17" s="1"/>
  <c r="B18" i="38662"/>
  <c r="C18" s="1"/>
  <c r="B18" i="38654" s="1"/>
  <c r="D18" s="1"/>
  <c r="B19" i="38662"/>
  <c r="C19" s="1"/>
  <c r="B19" i="38654" s="1"/>
  <c r="D19" s="1"/>
  <c r="B20" i="38662"/>
  <c r="C20" s="1"/>
  <c r="B20" i="38654" s="1"/>
  <c r="D20" s="1"/>
  <c r="B21" i="38662"/>
  <c r="C21" s="1"/>
  <c r="B21" i="38654" s="1"/>
  <c r="D21" s="1"/>
  <c r="B22" i="38662"/>
  <c r="C22" s="1"/>
  <c r="B22" i="38654" s="1"/>
  <c r="D22" s="1"/>
  <c r="B23" i="38662"/>
  <c r="C23" s="1"/>
  <c r="B23" i="38654" s="1"/>
  <c r="D23" s="1"/>
  <c r="B24" i="38662"/>
  <c r="C24" s="1"/>
  <c r="B24" i="38654" s="1"/>
  <c r="D24" s="1"/>
  <c r="B25" i="38662"/>
  <c r="C25" s="1"/>
  <c r="B25" i="38654" s="1"/>
  <c r="D25" s="1"/>
  <c r="B26" i="38662"/>
  <c r="C26" s="1"/>
  <c r="B26" i="38654" s="1"/>
  <c r="D26" s="1"/>
  <c r="B27" i="38662"/>
  <c r="C27" s="1"/>
  <c r="B27" i="38654" s="1"/>
  <c r="D27" s="1"/>
  <c r="B28" i="38662"/>
  <c r="C28" s="1"/>
  <c r="B28" i="38654" s="1"/>
  <c r="D28" s="1"/>
  <c r="B29" i="38662"/>
  <c r="C29" s="1"/>
  <c r="B29" i="38654" s="1"/>
  <c r="D29" s="1"/>
  <c r="B30" i="38662"/>
  <c r="C30" s="1"/>
  <c r="B30" i="38654" s="1"/>
  <c r="D30" s="1"/>
  <c r="B31" i="38662"/>
  <c r="C31" s="1"/>
  <c r="B31" i="38654" s="1"/>
  <c r="D31" s="1"/>
  <c r="B32" i="38662"/>
  <c r="C32" s="1"/>
  <c r="B32" i="38654" s="1"/>
  <c r="D32" s="1"/>
  <c r="B33" i="38662"/>
  <c r="C33" s="1"/>
  <c r="B33" i="38654" s="1"/>
  <c r="D33" s="1"/>
  <c r="B34" i="38662"/>
  <c r="C34" s="1"/>
  <c r="B34" i="38654" s="1"/>
  <c r="D34" s="1"/>
  <c r="B35" i="38662"/>
  <c r="C35" s="1"/>
  <c r="B35" i="38654" s="1"/>
  <c r="D35" s="1"/>
  <c r="B36" i="38662"/>
  <c r="C36" s="1"/>
  <c r="B36" i="38654" s="1"/>
  <c r="D36" s="1"/>
  <c r="B37" i="38662"/>
  <c r="C37" s="1"/>
  <c r="B37" i="38654" s="1"/>
  <c r="D37" s="1"/>
  <c r="B38" i="38662"/>
  <c r="C38" s="1"/>
  <c r="B38" i="38654" s="1"/>
  <c r="D38" s="1"/>
  <c r="B39" i="38662"/>
  <c r="C39" s="1"/>
  <c r="B39" i="38654" s="1"/>
  <c r="D39" s="1"/>
  <c r="B40" i="38662"/>
  <c r="C40" s="1"/>
  <c r="B40" i="38654" s="1"/>
  <c r="D40" s="1"/>
  <c r="B41" i="38662"/>
  <c r="C41" s="1"/>
  <c r="B41" i="38654" s="1"/>
  <c r="D41" s="1"/>
  <c r="B42" i="38662"/>
  <c r="C42" s="1"/>
  <c r="B42" i="38654" s="1"/>
  <c r="D42" s="1"/>
  <c r="B43" i="38662"/>
  <c r="C43" s="1"/>
  <c r="B43" i="38654" s="1"/>
  <c r="D43" s="1"/>
  <c r="B44" i="38662"/>
  <c r="C44" s="1"/>
  <c r="B44" i="38654" s="1"/>
  <c r="D44" s="1"/>
  <c r="B45" i="38662"/>
  <c r="C45" s="1"/>
  <c r="B45" i="38654" s="1"/>
  <c r="D45" s="1"/>
  <c r="B46" i="38662"/>
  <c r="C46" s="1"/>
  <c r="B46" i="38654" s="1"/>
  <c r="D46" s="1"/>
  <c r="B50" i="38662"/>
  <c r="B51"/>
  <c r="C51" s="1"/>
  <c r="A2" i="38665"/>
  <c r="A2" i="38670" s="1"/>
  <c r="B2" i="38663"/>
  <c r="B2" i="48"/>
  <c r="B2" i="32"/>
  <c r="B2" i="33" s="1"/>
  <c r="C3" i="70"/>
  <c r="E7"/>
  <c r="B1" i="43"/>
  <c r="B2" i="52" s="1"/>
  <c r="D14" i="40"/>
  <c r="D27"/>
  <c r="D50"/>
  <c r="D50" i="39"/>
  <c r="F50"/>
  <c r="H50"/>
  <c r="D11" i="16"/>
  <c r="D12"/>
  <c r="D13"/>
  <c r="D14"/>
  <c r="D15"/>
  <c r="D16"/>
  <c r="D17"/>
  <c r="D18"/>
  <c r="D19"/>
  <c r="D20"/>
  <c r="D21"/>
  <c r="D22"/>
  <c r="D23"/>
  <c r="D24"/>
  <c r="D25"/>
  <c r="D26"/>
  <c r="D27"/>
  <c r="D28"/>
  <c r="D29"/>
  <c r="D30"/>
  <c r="D31"/>
  <c r="D32"/>
  <c r="D33"/>
  <c r="D34"/>
  <c r="D35"/>
  <c r="D36"/>
  <c r="D37"/>
  <c r="D38"/>
  <c r="D39"/>
  <c r="D40"/>
  <c r="D41"/>
  <c r="D42"/>
  <c r="D43"/>
  <c r="D44"/>
  <c r="D45"/>
  <c r="D46"/>
  <c r="B48"/>
  <c r="C48"/>
  <c r="F48"/>
  <c r="G48"/>
  <c r="D50"/>
  <c r="D51"/>
  <c r="B3" i="14"/>
  <c r="B3" i="17" s="1"/>
  <c r="A3" i="5"/>
  <c r="B3" i="40" s="1"/>
  <c r="E18" i="38660"/>
  <c r="E22"/>
  <c r="B31"/>
  <c r="B32"/>
  <c r="B34"/>
  <c r="B35"/>
  <c r="B37"/>
  <c r="B3" i="38"/>
  <c r="B3" i="20"/>
  <c r="B3" i="37"/>
  <c r="B3" i="38661"/>
  <c r="B3" i="9"/>
  <c r="B3" i="15"/>
  <c r="C2" i="23"/>
  <c r="F11" i="38651"/>
  <c r="G11" s="1"/>
  <c r="B2" i="81"/>
  <c r="B2" i="47"/>
  <c r="D9" i="38667"/>
  <c r="G9" s="1"/>
  <c r="G30" i="8"/>
  <c r="E30" i="7"/>
  <c r="D30" s="1"/>
  <c r="G30" i="9"/>
  <c r="G30" i="47"/>
  <c r="H30" i="20"/>
  <c r="C30" i="38670"/>
  <c r="B30" s="1"/>
  <c r="J51" i="9"/>
  <c r="G51"/>
  <c r="C51" i="15"/>
  <c r="E51" s="1"/>
  <c r="G50" i="8"/>
  <c r="E46" i="7"/>
  <c r="J45" i="9"/>
  <c r="G44" i="8"/>
  <c r="J44" i="9"/>
  <c r="J43"/>
  <c r="J42"/>
  <c r="G41" i="8"/>
  <c r="E41" i="7"/>
  <c r="J41" i="9"/>
  <c r="G41"/>
  <c r="E40" i="7"/>
  <c r="J39" i="9"/>
  <c r="G39"/>
  <c r="G37" i="8"/>
  <c r="G37" i="9"/>
  <c r="J36"/>
  <c r="G36"/>
  <c r="G35"/>
  <c r="C35" i="15"/>
  <c r="G34" i="9"/>
  <c r="J33"/>
  <c r="G33"/>
  <c r="G32"/>
  <c r="J31"/>
  <c r="G31"/>
  <c r="G28" i="8"/>
  <c r="J28" i="9"/>
  <c r="G28"/>
  <c r="J27"/>
  <c r="G26"/>
  <c r="G25"/>
  <c r="G24"/>
  <c r="J23"/>
  <c r="G23"/>
  <c r="G22" i="8"/>
  <c r="J22" i="9"/>
  <c r="G22"/>
  <c r="G21" i="8"/>
  <c r="J21" i="9"/>
  <c r="J20"/>
  <c r="J19"/>
  <c r="G18" i="8"/>
  <c r="J18" i="9"/>
  <c r="G18"/>
  <c r="G17"/>
  <c r="J16"/>
  <c r="G16"/>
  <c r="J15"/>
  <c r="E12" i="7"/>
  <c r="H51" i="39"/>
  <c r="F51"/>
  <c r="D51" i="40"/>
  <c r="D51" i="39"/>
  <c r="H27"/>
  <c r="F27"/>
  <c r="C51" i="38670"/>
  <c r="C50"/>
  <c r="B50" s="1"/>
  <c r="C46"/>
  <c r="B46" s="1"/>
  <c r="C45"/>
  <c r="B45" s="1"/>
  <c r="C44"/>
  <c r="B44" s="1"/>
  <c r="C43"/>
  <c r="B43" s="1"/>
  <c r="C42"/>
  <c r="B42" s="1"/>
  <c r="C41"/>
  <c r="B41" s="1"/>
  <c r="C40"/>
  <c r="B40" s="1"/>
  <c r="C39"/>
  <c r="B39" s="1"/>
  <c r="C38"/>
  <c r="B38" s="1"/>
  <c r="C37"/>
  <c r="B37" s="1"/>
  <c r="C36"/>
  <c r="B36" s="1"/>
  <c r="C35"/>
  <c r="B35" s="1"/>
  <c r="C34"/>
  <c r="B34" s="1"/>
  <c r="C33"/>
  <c r="B33" s="1"/>
  <c r="C32"/>
  <c r="B32" s="1"/>
  <c r="C31"/>
  <c r="B31" s="1"/>
  <c r="C28"/>
  <c r="B28" s="1"/>
  <c r="C27"/>
  <c r="B27" s="1"/>
  <c r="C26"/>
  <c r="B26" s="1"/>
  <c r="C25"/>
  <c r="B25" s="1"/>
  <c r="C24"/>
  <c r="B24" s="1"/>
  <c r="C23"/>
  <c r="B23" s="1"/>
  <c r="C22"/>
  <c r="B22" s="1"/>
  <c r="C21"/>
  <c r="B21" s="1"/>
  <c r="C20"/>
  <c r="B20" s="1"/>
  <c r="C19"/>
  <c r="B19" s="1"/>
  <c r="C18"/>
  <c r="B18" s="1"/>
  <c r="C17"/>
  <c r="B17" s="1"/>
  <c r="C16"/>
  <c r="B16" s="1"/>
  <c r="C15"/>
  <c r="B15" s="1"/>
  <c r="C14"/>
  <c r="B14" s="1"/>
  <c r="C13"/>
  <c r="B13" s="1"/>
  <c r="C12"/>
  <c r="B12" s="1"/>
  <c r="E31" i="33"/>
  <c r="B33" i="41"/>
  <c r="E51" i="38648"/>
  <c r="B45" i="39"/>
  <c r="F51" i="41"/>
  <c r="E41" i="38658"/>
  <c r="F38" i="41"/>
  <c r="F36"/>
  <c r="G36" s="1"/>
  <c r="B30"/>
  <c r="F23"/>
  <c r="E22" i="38658"/>
  <c r="B17" i="41"/>
  <c r="B38"/>
  <c r="B36"/>
  <c r="E32" i="38658"/>
  <c r="B15" i="41"/>
  <c r="B23" i="39"/>
  <c r="F23" s="1"/>
  <c r="B23" i="41"/>
  <c r="B19" i="39"/>
  <c r="H19" s="1"/>
  <c r="B37" i="41"/>
  <c r="E36" i="38658"/>
  <c r="E34"/>
  <c r="F19" i="41"/>
  <c r="G19" s="1"/>
  <c r="E21" i="38658"/>
  <c r="E17"/>
  <c r="B31" i="39"/>
  <c r="B34" i="41"/>
  <c r="B25"/>
  <c r="B19"/>
  <c r="H19" i="18"/>
  <c r="B17" i="19"/>
  <c r="B44" i="39"/>
  <c r="F44" s="1"/>
  <c r="B41"/>
  <c r="B37"/>
  <c r="F37" s="1"/>
  <c r="B28"/>
  <c r="B26"/>
  <c r="B20"/>
  <c r="B18"/>
  <c r="B15"/>
  <c r="F15" s="1"/>
  <c r="E47" i="38658"/>
  <c r="F40" i="41"/>
  <c r="E42" i="38658"/>
  <c r="E33"/>
  <c r="F27" i="41"/>
  <c r="B27"/>
  <c r="D27" s="1"/>
  <c r="F26"/>
  <c r="G26" s="1"/>
  <c r="E28" i="38658"/>
  <c r="E18"/>
  <c r="B27" i="39"/>
  <c r="D27" s="1"/>
  <c r="B13"/>
  <c r="F13" s="1"/>
  <c r="B46" i="41"/>
  <c r="F44"/>
  <c r="G44" s="1"/>
  <c r="E35" i="38658"/>
  <c r="F18" i="41"/>
  <c r="G18" s="1"/>
  <c r="B18"/>
  <c r="E19" i="38658"/>
  <c r="B14" i="41"/>
  <c r="B14" i="76"/>
  <c r="E14" s="1"/>
  <c r="B23"/>
  <c r="B26"/>
  <c r="E26" s="1"/>
  <c r="B35"/>
  <c r="B36"/>
  <c r="B37"/>
  <c r="B40"/>
  <c r="E40" s="1"/>
  <c r="B44"/>
  <c r="B15"/>
  <c r="B20"/>
  <c r="B22"/>
  <c r="B24"/>
  <c r="B32"/>
  <c r="E32" s="1"/>
  <c r="B33"/>
  <c r="B39"/>
  <c r="B16"/>
  <c r="B28"/>
  <c r="B34"/>
  <c r="E34" s="1"/>
  <c r="E43" i="7"/>
  <c r="I43" s="1"/>
  <c r="E45"/>
  <c r="G45" s="1"/>
  <c r="D21" i="32"/>
  <c r="D27"/>
  <c r="E34" i="33"/>
  <c r="D44" i="32"/>
  <c r="D51"/>
  <c r="G13" i="38663"/>
  <c r="G17"/>
  <c r="G25"/>
  <c r="G46"/>
  <c r="D27" i="19"/>
  <c r="B21" i="76"/>
  <c r="B12"/>
  <c r="E12" s="1"/>
  <c r="B42" i="41"/>
  <c r="D42" s="1"/>
  <c r="B28"/>
  <c r="B20"/>
  <c r="E14" i="33"/>
  <c r="E16"/>
  <c r="D33" i="32"/>
  <c r="D37"/>
  <c r="D45"/>
  <c r="E50" i="33"/>
  <c r="G24" i="19"/>
  <c r="L24" i="38667" s="1"/>
  <c r="B51" i="39"/>
  <c r="B50"/>
  <c r="B38"/>
  <c r="E44" i="38658"/>
  <c r="F39" i="41"/>
  <c r="E30" i="20"/>
  <c r="E25" i="38658"/>
  <c r="F20" i="41"/>
  <c r="G20" s="1"/>
  <c r="F14"/>
  <c r="G14" s="1"/>
  <c r="E15" i="38658"/>
  <c r="D31" i="32"/>
  <c r="E34" i="38648"/>
  <c r="F43" i="41"/>
  <c r="K15" i="3188"/>
  <c r="C15" i="5" s="1"/>
  <c r="D15" s="1"/>
  <c r="D37" i="9"/>
  <c r="G33" i="8"/>
  <c r="D27" i="9"/>
  <c r="G46" i="8"/>
  <c r="E52" i="38658"/>
  <c r="G17" i="8"/>
  <c r="D40" i="9"/>
  <c r="J24"/>
  <c r="J32"/>
  <c r="D28"/>
  <c r="D16"/>
  <c r="E26" i="38648"/>
  <c r="J25" i="9"/>
  <c r="E42" i="38648"/>
  <c r="D25" i="9"/>
  <c r="D23"/>
  <c r="K50" i="3188"/>
  <c r="C50" i="5" s="1"/>
  <c r="D34" i="9"/>
  <c r="K24" i="3188"/>
  <c r="C24" i="5" s="1"/>
  <c r="D24" s="1"/>
  <c r="G40" i="8"/>
  <c r="D31" i="9"/>
  <c r="D21"/>
  <c r="E34" i="18"/>
  <c r="K34" i="38667" s="1"/>
  <c r="H26" i="18"/>
  <c r="J40" i="9"/>
  <c r="D38"/>
  <c r="D35"/>
  <c r="K34" i="3188"/>
  <c r="C34" i="5" s="1"/>
  <c r="G31" i="8"/>
  <c r="G26"/>
  <c r="G20"/>
  <c r="G19"/>
  <c r="H24" i="18"/>
  <c r="I24" s="1"/>
  <c r="D44" i="9"/>
  <c r="D22"/>
  <c r="F31" i="41"/>
  <c r="G31" s="1"/>
  <c r="F16"/>
  <c r="G16" s="1"/>
  <c r="F15"/>
  <c r="G15" s="1"/>
  <c r="E16" i="38648"/>
  <c r="E19"/>
  <c r="D33" i="9"/>
  <c r="G43" i="8"/>
  <c r="B41" i="19"/>
  <c r="F46" i="41"/>
  <c r="E45" i="38658"/>
  <c r="J38" i="9"/>
  <c r="G44"/>
  <c r="E33" i="38648"/>
  <c r="B44" i="19"/>
  <c r="D24"/>
  <c r="B16" i="41"/>
  <c r="D16" s="1"/>
  <c r="D41" i="9"/>
  <c r="G51" i="8"/>
  <c r="E35" i="18"/>
  <c r="E38"/>
  <c r="K38" i="38667" s="1"/>
  <c r="B12" i="20"/>
  <c r="E37" i="38658"/>
  <c r="D36" i="19"/>
  <c r="B19" i="76"/>
  <c r="E19" s="1"/>
  <c r="B25" i="40"/>
  <c r="D25" s="1"/>
  <c r="B50" i="41"/>
  <c r="D50" s="1"/>
  <c r="B41"/>
  <c r="D41" s="1"/>
  <c r="F24"/>
  <c r="G24" s="1"/>
  <c r="B21"/>
  <c r="B12"/>
  <c r="E48" i="38658"/>
  <c r="E43"/>
  <c r="B39" i="41"/>
  <c r="D39" s="1"/>
  <c r="E29" i="38658"/>
  <c r="B24" i="41"/>
  <c r="E23" i="38658"/>
  <c r="F12" i="41"/>
  <c r="B51" i="76"/>
  <c r="E51" s="1"/>
  <c r="G51" i="19"/>
  <c r="D13"/>
  <c r="D13" i="32"/>
  <c r="D24" i="9"/>
  <c r="D12" i="32"/>
  <c r="F30" i="41"/>
  <c r="G30" s="1"/>
  <c r="B42" i="39"/>
  <c r="D42" s="1"/>
  <c r="B13" i="41"/>
  <c r="B27" i="76"/>
  <c r="D14" i="32"/>
  <c r="D21" i="19"/>
  <c r="E20" i="18"/>
  <c r="E23"/>
  <c r="F23" s="1"/>
  <c r="B22"/>
  <c r="J22" i="38667" s="1"/>
  <c r="H43" i="18"/>
  <c r="E32" i="38648"/>
  <c r="D26" i="9"/>
  <c r="E13" i="38648"/>
  <c r="D13" i="9"/>
  <c r="E40" i="38648"/>
  <c r="J34" i="9"/>
  <c r="J35"/>
  <c r="E36" i="38648"/>
  <c r="E38"/>
  <c r="E41"/>
  <c r="E39"/>
  <c r="E46"/>
  <c r="G14" i="9"/>
  <c r="E44" i="38648"/>
  <c r="E17"/>
  <c r="E21"/>
  <c r="E25"/>
  <c r="B24" i="18"/>
  <c r="D32" i="19"/>
  <c r="D15" i="9"/>
  <c r="B32" i="39"/>
  <c r="E26" i="18"/>
  <c r="B43" i="41"/>
  <c r="E43" i="38648"/>
  <c r="E45"/>
  <c r="E50"/>
  <c r="E18"/>
  <c r="E23"/>
  <c r="E35"/>
  <c r="E14"/>
  <c r="E27"/>
  <c r="E37"/>
  <c r="E24"/>
  <c r="E30"/>
  <c r="E31"/>
  <c r="E12"/>
  <c r="E28"/>
  <c r="E22"/>
  <c r="E20"/>
  <c r="E15"/>
  <c r="E14" i="70"/>
  <c r="B21" i="38659"/>
  <c r="B24"/>
  <c r="B48"/>
  <c r="E45" i="70"/>
  <c r="B40" i="38659"/>
  <c r="B38"/>
  <c r="E33" i="70"/>
  <c r="E42"/>
  <c r="B15" i="38659"/>
  <c r="B28"/>
  <c r="E24" i="70"/>
  <c r="B52" i="38659"/>
  <c r="E25" i="70"/>
  <c r="D36" i="32"/>
  <c r="D20"/>
  <c r="B38" i="76"/>
  <c r="E38" s="1"/>
  <c r="G12" i="9"/>
  <c r="G42"/>
  <c r="G50"/>
  <c r="B22" i="19"/>
  <c r="G34" i="47"/>
  <c r="G25"/>
  <c r="G17"/>
  <c r="D32" i="32"/>
  <c r="F35" i="41"/>
  <c r="G35" s="1"/>
  <c r="B46" i="19"/>
  <c r="D42" i="32"/>
  <c r="F34" i="41"/>
  <c r="G34" s="1"/>
  <c r="D46" i="9"/>
  <c r="B39" i="19"/>
  <c r="B34"/>
  <c r="B15" i="40"/>
  <c r="D15" s="1"/>
  <c r="J44" i="23"/>
  <c r="G33" i="47"/>
  <c r="I43" i="38666"/>
  <c r="D44" i="19"/>
  <c r="F24" i="38658"/>
  <c r="G35" i="38651"/>
  <c r="I35" i="38648" s="1"/>
  <c r="G33" i="38651"/>
  <c r="I33" i="38648" s="1"/>
  <c r="G31" i="38651"/>
  <c r="I31" i="38648" s="1"/>
  <c r="G18" i="38651"/>
  <c r="I18" i="38648" s="1"/>
  <c r="G43" i="38651"/>
  <c r="I43" i="38648" s="1"/>
  <c r="G39" i="38651"/>
  <c r="I39" i="38648" s="1"/>
  <c r="G26" i="38651"/>
  <c r="I26" i="38648" s="1"/>
  <c r="G12" i="38651"/>
  <c r="J12" s="1"/>
  <c r="I17" i="21"/>
  <c r="E40" i="38658"/>
  <c r="H25" i="18"/>
  <c r="D34" i="32"/>
  <c r="H15" i="18"/>
  <c r="J41" i="23"/>
  <c r="J13"/>
  <c r="F51"/>
  <c r="J45" i="22"/>
  <c r="F17" i="21" s="1"/>
  <c r="D21" i="23"/>
  <c r="B26" i="19"/>
  <c r="C26" s="1"/>
  <c r="G27" i="47"/>
  <c r="G20"/>
  <c r="I40" i="38666"/>
  <c r="J15" i="23"/>
  <c r="B30" i="19"/>
  <c r="G32" i="47"/>
  <c r="G19"/>
  <c r="D30" i="32"/>
  <c r="C26" i="15"/>
  <c r="H50" i="38658"/>
  <c r="I42" i="38666"/>
  <c r="I33"/>
  <c r="I24"/>
  <c r="I14"/>
  <c r="F39" i="23"/>
  <c r="E21" i="21" s="1"/>
  <c r="G20" i="19"/>
  <c r="L20" i="38667" s="1"/>
  <c r="E19" i="33"/>
  <c r="G50" i="47"/>
  <c r="D15" i="32"/>
  <c r="B44" i="38659"/>
  <c r="E19" i="70"/>
  <c r="K22" i="21"/>
  <c r="H44" i="39"/>
  <c r="E17" i="70"/>
  <c r="H20" i="18"/>
  <c r="J19" i="23"/>
  <c r="J37"/>
  <c r="J42"/>
  <c r="G14" i="38663"/>
  <c r="E46" i="33"/>
  <c r="E16" i="7"/>
  <c r="G16" s="1"/>
  <c r="J43" i="23"/>
  <c r="F42" i="41"/>
  <c r="B13" i="76"/>
  <c r="E13" s="1"/>
  <c r="B23" i="20"/>
  <c r="G20" i="38663"/>
  <c r="D33" i="19"/>
  <c r="D50" i="32"/>
  <c r="D35"/>
  <c r="D24"/>
  <c r="E22" i="70"/>
  <c r="B22" i="39"/>
  <c r="F22" s="1"/>
  <c r="D28" i="19"/>
  <c r="B15" i="20"/>
  <c r="G51" i="47"/>
  <c r="B33" i="18"/>
  <c r="J33" i="38667" s="1"/>
  <c r="F28" i="41"/>
  <c r="G40" i="19"/>
  <c r="L40" i="38667" s="1"/>
  <c r="G50" i="38663"/>
  <c r="G43"/>
  <c r="D46" i="32"/>
  <c r="H18" i="18"/>
  <c r="G32" i="38663"/>
  <c r="G40"/>
  <c r="G51"/>
  <c r="E22" i="7"/>
  <c r="G22" s="1"/>
  <c r="E34"/>
  <c r="I34" s="1"/>
  <c r="E51" i="33"/>
  <c r="E18" i="7"/>
  <c r="H18" s="1"/>
  <c r="F33" i="41"/>
  <c r="G18" i="38663"/>
  <c r="G27" i="19"/>
  <c r="L27" i="38667" s="1"/>
  <c r="B40" i="19"/>
  <c r="E44" i="18"/>
  <c r="K19" i="3188"/>
  <c r="C19" i="5" s="1"/>
  <c r="D19" s="1"/>
  <c r="C19" i="35" s="1"/>
  <c r="B23" i="19"/>
  <c r="B34" i="38659"/>
  <c r="B46" i="39"/>
  <c r="H46" s="1"/>
  <c r="B17"/>
  <c r="D17" s="1"/>
  <c r="B40" i="41"/>
  <c r="D40" s="1"/>
  <c r="G27" i="9"/>
  <c r="C27" i="15"/>
  <c r="E28" i="7"/>
  <c r="H28" s="1"/>
  <c r="D20" i="21"/>
  <c r="J22" i="23"/>
  <c r="E18" i="70"/>
  <c r="F51" i="52"/>
  <c r="J24" i="23"/>
  <c r="J38"/>
  <c r="D43" i="9"/>
  <c r="B25" i="76"/>
  <c r="E25" s="1"/>
  <c r="D25" i="19"/>
  <c r="B36" i="39"/>
  <c r="E37" i="7"/>
  <c r="D37" s="1"/>
  <c r="C37" i="15"/>
  <c r="E37" s="1"/>
  <c r="G37" i="38655" s="1"/>
  <c r="B50" i="76"/>
  <c r="E50" s="1"/>
  <c r="B41" i="40"/>
  <c r="D41" s="1"/>
  <c r="E19" i="20"/>
  <c r="D45" i="9"/>
  <c r="B50" i="20"/>
  <c r="B51" i="40"/>
  <c r="L48" i="3188"/>
  <c r="H48" i="23"/>
  <c r="J48" s="1"/>
  <c r="G25" i="21"/>
  <c r="H38" i="20"/>
  <c r="H44"/>
  <c r="E18" i="33"/>
  <c r="G15" i="38663"/>
  <c r="G23"/>
  <c r="F33" i="38658"/>
  <c r="B39" i="23"/>
  <c r="E19" i="21" s="1"/>
  <c r="K43" i="3188"/>
  <c r="C43" i="5" s="1"/>
  <c r="D43" s="1"/>
  <c r="I43" i="26" s="1"/>
  <c r="F25" i="41"/>
  <c r="G25" s="1"/>
  <c r="G16" i="38663"/>
  <c r="D39" i="32"/>
  <c r="J46" i="9"/>
  <c r="B30" i="38659"/>
  <c r="B27"/>
  <c r="B36"/>
  <c r="H13" i="18"/>
  <c r="G16" i="8"/>
  <c r="E26" i="15"/>
  <c r="F26" i="11" s="1"/>
  <c r="B46" i="38659"/>
  <c r="E46" s="1"/>
  <c r="J46" s="1"/>
  <c r="H44" i="18"/>
  <c r="G22" i="47"/>
  <c r="B45" i="19"/>
  <c r="D41" i="32"/>
  <c r="B19" i="38659"/>
  <c r="B45"/>
  <c r="E43" i="70"/>
  <c r="H36" i="39"/>
  <c r="B42" i="38659"/>
  <c r="E39" i="70"/>
  <c r="E16"/>
  <c r="B18" i="38659"/>
  <c r="B25"/>
  <c r="E23" i="70"/>
  <c r="J21" i="22"/>
  <c r="D21"/>
  <c r="C14" i="21" s="1"/>
  <c r="F21" i="22"/>
  <c r="C15" i="21" s="1"/>
  <c r="B45" i="22"/>
  <c r="D39" i="23"/>
  <c r="E20" i="21" s="1"/>
  <c r="J27" i="23"/>
  <c r="D45"/>
  <c r="F20" i="21" s="1"/>
  <c r="G37" i="47"/>
  <c r="C31" i="15"/>
  <c r="D31" i="18" s="1"/>
  <c r="D18" i="7"/>
  <c r="D22" i="39"/>
  <c r="B14" i="38659"/>
  <c r="E12" i="70"/>
  <c r="B35" i="38659"/>
  <c r="E41" i="70"/>
  <c r="B43" i="38659"/>
  <c r="G39" i="19"/>
  <c r="L39" i="38667" s="1"/>
  <c r="B31" i="76"/>
  <c r="E32" i="20"/>
  <c r="F41" i="41"/>
  <c r="E40" i="18"/>
  <c r="K40" i="38667" s="1"/>
  <c r="B40" i="18"/>
  <c r="B16" i="39"/>
  <c r="H16" s="1"/>
  <c r="D19" i="19"/>
  <c r="D31"/>
  <c r="F37" i="41"/>
  <c r="B51" i="19"/>
  <c r="B13" i="18"/>
  <c r="J13" i="38667" s="1"/>
  <c r="B23" i="18"/>
  <c r="J23" i="38667" s="1"/>
  <c r="B31" i="18"/>
  <c r="J31" i="38667" s="1"/>
  <c r="E16" i="20"/>
  <c r="B16" i="40"/>
  <c r="D16" s="1"/>
  <c r="E37" i="76"/>
  <c r="G37" s="1"/>
  <c r="G35" i="8"/>
  <c r="D37"/>
  <c r="D30" i="9"/>
  <c r="E35" i="76"/>
  <c r="G12" i="8"/>
  <c r="B21" i="18"/>
  <c r="D22" i="32"/>
  <c r="E17" i="18"/>
  <c r="K17" i="38667" s="1"/>
  <c r="B22" i="41"/>
  <c r="D22" s="1"/>
  <c r="B51"/>
  <c r="E51" i="20"/>
  <c r="F16" i="52"/>
  <c r="F22"/>
  <c r="F31"/>
  <c r="F35"/>
  <c r="F37"/>
  <c r="F41"/>
  <c r="F46"/>
  <c r="G34" i="19"/>
  <c r="G46"/>
  <c r="L46" i="38667" s="1"/>
  <c r="F26" i="45"/>
  <c r="E12" i="33"/>
  <c r="G38" i="19"/>
  <c r="D41"/>
  <c r="B41" i="76"/>
  <c r="E41" s="1"/>
  <c r="G12" i="19"/>
  <c r="L12" i="38667" s="1"/>
  <c r="G13" i="19"/>
  <c r="B30" i="76"/>
  <c r="B18"/>
  <c r="E18" s="1"/>
  <c r="D18" i="19"/>
  <c r="B45" i="76"/>
  <c r="D45" i="19"/>
  <c r="E45" s="1"/>
  <c r="B26" i="41"/>
  <c r="E26" i="20"/>
  <c r="G26" s="1"/>
  <c r="E46" i="38658"/>
  <c r="B13" i="20"/>
  <c r="B24" i="39"/>
  <c r="B27" i="40"/>
  <c r="B37" i="20"/>
  <c r="B37" i="40"/>
  <c r="D37" s="1"/>
  <c r="G37" i="19"/>
  <c r="L37" i="38667" s="1"/>
  <c r="B20" i="20"/>
  <c r="B20" i="40"/>
  <c r="D20" s="1"/>
  <c r="B25" i="39"/>
  <c r="H25" s="1"/>
  <c r="B30"/>
  <c r="F30" s="1"/>
  <c r="B30" i="40"/>
  <c r="D30" s="1"/>
  <c r="B33" i="20"/>
  <c r="H40" i="18"/>
  <c r="E28"/>
  <c r="E30"/>
  <c r="E31"/>
  <c r="K31" i="38667" s="1"/>
  <c r="E32" i="18"/>
  <c r="E33"/>
  <c r="K33" i="38667" s="1"/>
  <c r="E41" i="18"/>
  <c r="B32" i="41"/>
  <c r="E39" i="38658"/>
  <c r="F32" i="41"/>
  <c r="K13" i="3188"/>
  <c r="C13" i="5" s="1"/>
  <c r="D13" s="1"/>
  <c r="C13" i="20" s="1"/>
  <c r="B19" i="40"/>
  <c r="D19" s="1"/>
  <c r="H22" i="18"/>
  <c r="E22" i="5" s="1"/>
  <c r="E15" i="20"/>
  <c r="E50" i="18"/>
  <c r="B12" i="39"/>
  <c r="E30" i="38658"/>
  <c r="E24"/>
  <c r="E27"/>
  <c r="E25" i="20"/>
  <c r="B45" i="41"/>
  <c r="F14" i="52"/>
  <c r="F13"/>
  <c r="G13" i="47"/>
  <c r="F12" i="52"/>
  <c r="H13" i="20"/>
  <c r="H15"/>
  <c r="H28"/>
  <c r="H33"/>
  <c r="E26" i="70"/>
  <c r="E28"/>
  <c r="E30"/>
  <c r="E32"/>
  <c r="E34"/>
  <c r="E38"/>
  <c r="E40"/>
  <c r="E44"/>
  <c r="E46"/>
  <c r="G26" i="38667"/>
  <c r="J26" i="26"/>
  <c r="D26" i="27"/>
  <c r="D26" i="76" s="1"/>
  <c r="G26" i="38655"/>
  <c r="K44" i="38667"/>
  <c r="B20" i="19"/>
  <c r="B33" i="38659"/>
  <c r="E33" s="1"/>
  <c r="J33" s="1"/>
  <c r="E31" i="70"/>
  <c r="B26" i="18"/>
  <c r="D26" s="1"/>
  <c r="E12"/>
  <c r="K12" i="38667" s="1"/>
  <c r="G36" i="19"/>
  <c r="L36" i="38667" s="1"/>
  <c r="B30" i="20"/>
  <c r="B14" i="19"/>
  <c r="G16" i="47"/>
  <c r="G15"/>
  <c r="G14"/>
  <c r="G12"/>
  <c r="K46" i="3188"/>
  <c r="C46" i="5" s="1"/>
  <c r="D46" s="1"/>
  <c r="K36" i="3188"/>
  <c r="C36" i="5" s="1"/>
  <c r="D36" s="1"/>
  <c r="E36" i="38" s="1"/>
  <c r="K30" i="3188"/>
  <c r="C30" i="5" s="1"/>
  <c r="D30" s="1"/>
  <c r="C30" i="34" s="1"/>
  <c r="K28" i="3188"/>
  <c r="C28" i="5" s="1"/>
  <c r="D28" s="1"/>
  <c r="K26" i="3188"/>
  <c r="C26" i="5" s="1"/>
  <c r="D26" s="1"/>
  <c r="E26" i="35" s="1"/>
  <c r="K22" i="3188"/>
  <c r="C22" i="5" s="1"/>
  <c r="D22" s="1"/>
  <c r="K20" i="3188"/>
  <c r="C20" i="5" s="1"/>
  <c r="D20" s="1"/>
  <c r="K18" i="3188"/>
  <c r="C18" i="5" s="1"/>
  <c r="D18" s="1"/>
  <c r="K16" i="3188"/>
  <c r="C16" i="5" s="1"/>
  <c r="D16" s="1"/>
  <c r="K14" i="3188"/>
  <c r="C14" i="5" s="1"/>
  <c r="D14" s="1"/>
  <c r="K12" i="3188"/>
  <c r="C12" i="5" s="1"/>
  <c r="D12" s="1"/>
  <c r="B18" i="40"/>
  <c r="D18" s="1"/>
  <c r="G45" i="19"/>
  <c r="B28" i="18"/>
  <c r="J28" i="38667" s="1"/>
  <c r="E23" i="20"/>
  <c r="E37"/>
  <c r="G37" s="1"/>
  <c r="B32" i="38659"/>
  <c r="E32" s="1"/>
  <c r="J32" s="1"/>
  <c r="B23"/>
  <c r="E21" i="70"/>
  <c r="F50" i="41"/>
  <c r="G50" s="1"/>
  <c r="D19" i="9"/>
  <c r="B21" i="19"/>
  <c r="G45" i="8"/>
  <c r="J14" i="9"/>
  <c r="C14" i="15"/>
  <c r="D14" i="8" s="1"/>
  <c r="G15" i="9"/>
  <c r="C15" i="15"/>
  <c r="E15" s="1"/>
  <c r="G19" i="9"/>
  <c r="C19" i="15"/>
  <c r="E19" s="1"/>
  <c r="G20" i="9"/>
  <c r="C20" i="15"/>
  <c r="E20" s="1"/>
  <c r="G21" i="9"/>
  <c r="C21" i="15"/>
  <c r="E21" s="1"/>
  <c r="C23"/>
  <c r="E23" s="1"/>
  <c r="E23" i="7"/>
  <c r="F23" s="1"/>
  <c r="C32" i="15"/>
  <c r="G40" i="9"/>
  <c r="C40" i="15"/>
  <c r="E40" s="1"/>
  <c r="C45"/>
  <c r="E45" s="1"/>
  <c r="G45" i="9"/>
  <c r="J50"/>
  <c r="C50" i="15"/>
  <c r="E50" s="1"/>
  <c r="G30" i="38663"/>
  <c r="J30" i="9"/>
  <c r="C30" i="15"/>
  <c r="E30" s="1"/>
  <c r="I15" i="21"/>
  <c r="F48" i="22"/>
  <c r="J14" i="23"/>
  <c r="F21"/>
  <c r="C21" i="21" s="1"/>
  <c r="B37" i="19"/>
  <c r="B32" i="18"/>
  <c r="J29" i="23"/>
  <c r="J17"/>
  <c r="J30"/>
  <c r="J31"/>
  <c r="J32"/>
  <c r="J33"/>
  <c r="J35"/>
  <c r="B47" i="38659"/>
  <c r="B22"/>
  <c r="E20" i="70"/>
  <c r="D39" i="9"/>
  <c r="F42" i="39"/>
  <c r="B12" i="19"/>
  <c r="D34"/>
  <c r="J12" i="9"/>
  <c r="C12" i="15"/>
  <c r="E13" i="7"/>
  <c r="H25" i="21"/>
  <c r="H49" i="23"/>
  <c r="B51" i="18"/>
  <c r="D51" i="9"/>
  <c r="F28" i="45"/>
  <c r="F43"/>
  <c r="G17" i="19"/>
  <c r="E50" i="20"/>
  <c r="E27"/>
  <c r="E34"/>
  <c r="E23" i="76"/>
  <c r="D36" i="9"/>
  <c r="B17" i="20"/>
  <c r="K45" i="3188"/>
  <c r="C45" i="5" s="1"/>
  <c r="D45" s="1"/>
  <c r="F45" i="9" s="1"/>
  <c r="D23" i="19"/>
  <c r="B13"/>
  <c r="B25"/>
  <c r="E25" i="5" s="1"/>
  <c r="B27" i="19"/>
  <c r="B28"/>
  <c r="B39" i="20"/>
  <c r="F44" i="52"/>
  <c r="G44" i="47"/>
  <c r="F43" i="52"/>
  <c r="F42"/>
  <c r="F40"/>
  <c r="G38" i="47"/>
  <c r="G19" i="38663"/>
  <c r="G21"/>
  <c r="G27"/>
  <c r="G36"/>
  <c r="G42"/>
  <c r="G45"/>
  <c r="G26"/>
  <c r="G22"/>
  <c r="B12" i="40"/>
  <c r="D12" s="1"/>
  <c r="H42" i="18"/>
  <c r="H21" i="20"/>
  <c r="H23"/>
  <c r="H25"/>
  <c r="H27"/>
  <c r="H32"/>
  <c r="H34"/>
  <c r="H36"/>
  <c r="H41"/>
  <c r="B51" i="38670"/>
  <c r="B39" i="22"/>
  <c r="E13" i="21" s="1"/>
  <c r="J20" i="23"/>
  <c r="J26"/>
  <c r="D19" i="8"/>
  <c r="L45" i="38667"/>
  <c r="D30" i="39"/>
  <c r="H30"/>
  <c r="L38" i="38667"/>
  <c r="H13" i="7"/>
  <c r="G13"/>
  <c r="D50" i="8"/>
  <c r="D23"/>
  <c r="F36" i="38656"/>
  <c r="K28" i="38667"/>
  <c r="L13"/>
  <c r="L34"/>
  <c r="J21"/>
  <c r="D23" i="18"/>
  <c r="F26" i="9"/>
  <c r="E26" i="36"/>
  <c r="I30" i="10"/>
  <c r="C45" i="25"/>
  <c r="E45" i="82"/>
  <c r="E45" i="11"/>
  <c r="I45" i="9"/>
  <c r="G45" i="34"/>
  <c r="F45" i="54"/>
  <c r="F45" i="26"/>
  <c r="C45" i="9"/>
  <c r="G45" i="36"/>
  <c r="G45" i="38"/>
  <c r="E45" i="36"/>
  <c r="C45" i="19"/>
  <c r="H45" i="11"/>
  <c r="I45" i="38655"/>
  <c r="F45"/>
  <c r="C45" i="37"/>
  <c r="C45" i="38661"/>
  <c r="C45" i="54"/>
  <c r="G45" i="25"/>
  <c r="F45" i="10"/>
  <c r="C45" i="38656"/>
  <c r="E45" i="25"/>
  <c r="F30" i="10"/>
  <c r="C30" i="8"/>
  <c r="I30" i="25"/>
  <c r="C30" i="37"/>
  <c r="C43" i="38656"/>
  <c r="C43" i="27"/>
  <c r="C43" i="76" s="1"/>
  <c r="E43" i="36"/>
  <c r="G43" i="38"/>
  <c r="F43" i="38655"/>
  <c r="C43" i="7"/>
  <c r="G16" i="19"/>
  <c r="L16" i="38667" s="1"/>
  <c r="F15" i="52"/>
  <c r="B40" i="39"/>
  <c r="D40" s="1"/>
  <c r="B40" i="40"/>
  <c r="D40" s="1"/>
  <c r="F26" i="52"/>
  <c r="G38" i="9"/>
  <c r="C38" i="15"/>
  <c r="E38" s="1"/>
  <c r="E39" i="7"/>
  <c r="I39" s="1"/>
  <c r="C39" i="15"/>
  <c r="E39" s="1"/>
  <c r="J39" i="54" s="1"/>
  <c r="F19" i="38655"/>
  <c r="I19" i="25"/>
  <c r="F19" i="38656"/>
  <c r="G26" i="54"/>
  <c r="G26" i="38656"/>
  <c r="D26" i="54"/>
  <c r="C19" i="34"/>
  <c r="C19" i="38655"/>
  <c r="G37" i="10"/>
  <c r="D37" i="27"/>
  <c r="D37" i="76" s="1"/>
  <c r="D37" i="38661"/>
  <c r="E13" i="70"/>
  <c r="G19" i="38"/>
  <c r="F45" i="41"/>
  <c r="D18" i="9"/>
  <c r="C22" i="15"/>
  <c r="D22" i="8" s="1"/>
  <c r="F20" i="45"/>
  <c r="F37"/>
  <c r="F46"/>
  <c r="G35" i="19"/>
  <c r="L35" i="38667" s="1"/>
  <c r="E33" i="20"/>
  <c r="E18"/>
  <c r="D26" i="8"/>
  <c r="G13"/>
  <c r="D32" i="9"/>
  <c r="K40" i="3188"/>
  <c r="C40" i="5" s="1"/>
  <c r="D40" s="1"/>
  <c r="F44" i="45"/>
  <c r="B43" i="18"/>
  <c r="F22" i="45"/>
  <c r="E32" i="7"/>
  <c r="H32" s="1"/>
  <c r="G33" i="19"/>
  <c r="L33" i="38667" s="1"/>
  <c r="G31" i="19"/>
  <c r="L31" i="38667" s="1"/>
  <c r="M31" s="1"/>
  <c r="I31" s="1"/>
  <c r="D50" i="19"/>
  <c r="F50" s="1"/>
  <c r="B50"/>
  <c r="B22" i="40"/>
  <c r="D22" s="1"/>
  <c r="E12" i="20"/>
  <c r="E39" i="18"/>
  <c r="E42"/>
  <c r="E28" i="20"/>
  <c r="B45" i="40"/>
  <c r="D45" s="1"/>
  <c r="G18" i="19"/>
  <c r="L18" i="38667" s="1"/>
  <c r="G46" i="47"/>
  <c r="F45" i="52"/>
  <c r="G45" i="47"/>
  <c r="G41"/>
  <c r="G39"/>
  <c r="F38" i="52"/>
  <c r="G36" i="47"/>
  <c r="G35"/>
  <c r="F34" i="52"/>
  <c r="F32"/>
  <c r="G31" i="47"/>
  <c r="F28" i="52"/>
  <c r="G28" i="47"/>
  <c r="F27" i="52"/>
  <c r="G26" i="47"/>
  <c r="F25" i="52"/>
  <c r="F23"/>
  <c r="G23" i="47"/>
  <c r="F21" i="52"/>
  <c r="G21" i="47"/>
  <c r="K41" i="3188"/>
  <c r="C41" i="5" s="1"/>
  <c r="D41" s="1"/>
  <c r="K25" i="3188"/>
  <c r="C25" i="5" s="1"/>
  <c r="D25" s="1"/>
  <c r="K23" i="3188"/>
  <c r="C23" i="5" s="1"/>
  <c r="D23" s="1"/>
  <c r="K21" i="3188"/>
  <c r="C21" i="5" s="1"/>
  <c r="D21" s="1"/>
  <c r="K17" i="3188"/>
  <c r="C17" i="5" s="1"/>
  <c r="D17" s="1"/>
  <c r="E15" i="33"/>
  <c r="D17" i="32"/>
  <c r="E32" i="33"/>
  <c r="E39"/>
  <c r="J26" i="9"/>
  <c r="G38" i="8"/>
  <c r="G39"/>
  <c r="B41" i="38659"/>
  <c r="D17" i="19"/>
  <c r="B17" i="76"/>
  <c r="E17" s="1"/>
  <c r="E17" i="20"/>
  <c r="F17" i="41"/>
  <c r="G27" i="8"/>
  <c r="B27" i="18"/>
  <c r="B34"/>
  <c r="J34" i="38667" s="1"/>
  <c r="E27" i="18"/>
  <c r="K27" i="38667" s="1"/>
  <c r="D23" i="39"/>
  <c r="G13" i="9"/>
  <c r="C13" i="15"/>
  <c r="G42" i="8"/>
  <c r="C42" i="15"/>
  <c r="D42" i="8" s="1"/>
  <c r="I30" i="7"/>
  <c r="E41" i="20"/>
  <c r="E46"/>
  <c r="D51" i="19"/>
  <c r="F33" i="45"/>
  <c r="F38"/>
  <c r="B35" i="20"/>
  <c r="B18" i="19"/>
  <c r="B24"/>
  <c r="B32"/>
  <c r="B36"/>
  <c r="D39"/>
  <c r="B33"/>
  <c r="E20" i="20"/>
  <c r="E39"/>
  <c r="H23" i="39"/>
  <c r="E51" i="70"/>
  <c r="K42" i="3188"/>
  <c r="C42" i="5" s="1"/>
  <c r="D42" s="1"/>
  <c r="E37" i="18"/>
  <c r="K37" i="38667" s="1"/>
  <c r="E20" i="33"/>
  <c r="E13"/>
  <c r="E31" i="20"/>
  <c r="B40"/>
  <c r="E19" i="35"/>
  <c r="D37" i="19"/>
  <c r="H30" i="18"/>
  <c r="E30" i="5" s="1"/>
  <c r="H45" i="18"/>
  <c r="E33" i="76"/>
  <c r="H35" i="18"/>
  <c r="F20" i="52"/>
  <c r="D16" i="32"/>
  <c r="E41" i="33"/>
  <c r="G23" i="8"/>
  <c r="E24" i="7"/>
  <c r="C25" i="15"/>
  <c r="G36" i="8"/>
  <c r="C41" i="15"/>
  <c r="D41" i="8" s="1"/>
  <c r="C44" i="15"/>
  <c r="E44" s="1"/>
  <c r="I44" i="11" s="1"/>
  <c r="E50" i="7"/>
  <c r="F50" s="1"/>
  <c r="F30" i="52"/>
  <c r="H50" i="7"/>
  <c r="E42" i="15"/>
  <c r="F42" i="11" s="1"/>
  <c r="J27" i="38667"/>
  <c r="K42"/>
  <c r="I32" i="7"/>
  <c r="E24" i="5"/>
  <c r="D22" i="18"/>
  <c r="D39" i="8"/>
  <c r="D42" i="54"/>
  <c r="H45" i="19"/>
  <c r="F26" i="18"/>
  <c r="I30" i="26"/>
  <c r="H30" i="11"/>
  <c r="I30" i="9"/>
  <c r="C30" i="36"/>
  <c r="E30" i="11"/>
  <c r="E19" i="36"/>
  <c r="C19" i="82"/>
  <c r="G19" i="36"/>
  <c r="I19" i="9"/>
  <c r="C19" i="7"/>
  <c r="E19" i="25"/>
  <c r="F43" i="10"/>
  <c r="D26" i="38656"/>
  <c r="E50" i="70"/>
  <c r="F39" i="45"/>
  <c r="E44" i="76"/>
  <c r="B43" i="19"/>
  <c r="F14" i="45"/>
  <c r="B32" i="20"/>
  <c r="B30" i="18"/>
  <c r="C26" i="38656"/>
  <c r="C26" i="35"/>
  <c r="H26" i="11"/>
  <c r="G26" i="38"/>
  <c r="G26" i="36"/>
  <c r="E26" i="25"/>
  <c r="C26" i="9"/>
  <c r="C26" i="11"/>
  <c r="G26" i="25"/>
  <c r="F43" i="7"/>
  <c r="H43"/>
  <c r="F37" i="11"/>
  <c r="E37" i="41"/>
  <c r="D37" i="38656"/>
  <c r="D37" i="38655"/>
  <c r="J49" i="23"/>
  <c r="B39" i="39"/>
  <c r="D39" s="1"/>
  <c r="B39" i="40"/>
  <c r="D39" s="1"/>
  <c r="E36" i="70"/>
  <c r="B26" i="38659"/>
  <c r="G50" i="19"/>
  <c r="I50" s="1"/>
  <c r="B13" i="40"/>
  <c r="D13" s="1"/>
  <c r="B46"/>
  <c r="D46" s="1"/>
  <c r="B31" i="20"/>
  <c r="H38" i="18"/>
  <c r="G41" i="38663"/>
  <c r="E21" i="7"/>
  <c r="F21" s="1"/>
  <c r="B28" i="40"/>
  <c r="D28" s="1"/>
  <c r="B19" i="19"/>
  <c r="B38"/>
  <c r="B42"/>
  <c r="B15"/>
  <c r="D12"/>
  <c r="H12" i="18"/>
  <c r="H31" i="20"/>
  <c r="D35" i="19"/>
  <c r="F13" i="41"/>
  <c r="G13" s="1"/>
  <c r="E13" i="20"/>
  <c r="G14" i="8"/>
  <c r="E36" i="7"/>
  <c r="C36" i="15"/>
  <c r="D36" i="8" s="1"/>
  <c r="G43" i="9"/>
  <c r="C43" i="15"/>
  <c r="D43" i="8" s="1"/>
  <c r="G26" i="19"/>
  <c r="L26" i="38667" s="1"/>
  <c r="B46" i="20"/>
  <c r="D14" i="19"/>
  <c r="E14" i="20"/>
  <c r="K33" i="3188"/>
  <c r="C33" i="5" s="1"/>
  <c r="D33" s="1"/>
  <c r="G34" i="38663"/>
  <c r="G38"/>
  <c r="G44"/>
  <c r="J13" i="9"/>
  <c r="G15" i="8"/>
  <c r="G25"/>
  <c r="G32"/>
  <c r="J37" i="9"/>
  <c r="C50" i="38659"/>
  <c r="I32" i="38666"/>
  <c r="I15"/>
  <c r="J25" i="23"/>
  <c r="B51" i="20"/>
  <c r="E37" i="33"/>
  <c r="G28" i="19"/>
  <c r="L28" i="38667" s="1"/>
  <c r="H50" i="18"/>
  <c r="E50" i="5" s="1"/>
  <c r="B19" i="20"/>
  <c r="C19" s="1"/>
  <c r="B26" i="40"/>
  <c r="D26" s="1"/>
  <c r="D38" i="19"/>
  <c r="H17" i="18"/>
  <c r="B22" i="20"/>
  <c r="D20" i="19"/>
  <c r="D28" i="32"/>
  <c r="H19" i="20"/>
  <c r="H24"/>
  <c r="H37"/>
  <c r="E43" i="33"/>
  <c r="C18" i="15"/>
  <c r="E18" s="1"/>
  <c r="C34"/>
  <c r="E35" i="7"/>
  <c r="J18" i="23"/>
  <c r="G36" i="7"/>
  <c r="G21"/>
  <c r="E26" i="38659"/>
  <c r="J26" s="1"/>
  <c r="E43" i="15"/>
  <c r="I43" i="11" s="1"/>
  <c r="F13" i="20"/>
  <c r="C41" i="38661"/>
  <c r="I41" i="9"/>
  <c r="F41" i="10"/>
  <c r="C41" i="82"/>
  <c r="C41" i="38"/>
  <c r="C41" i="26"/>
  <c r="I41"/>
  <c r="F41" i="38655"/>
  <c r="G44" i="26"/>
  <c r="F23" i="54"/>
  <c r="F23" i="26"/>
  <c r="E23" i="82"/>
  <c r="F23" i="38655"/>
  <c r="C23" i="9"/>
  <c r="E23" i="38"/>
  <c r="E23" i="37"/>
  <c r="C23" i="38656"/>
  <c r="C23" i="7"/>
  <c r="F23" i="38656"/>
  <c r="E23" i="36"/>
  <c r="C23" i="27"/>
  <c r="C23" i="76" s="1"/>
  <c r="E23" i="11"/>
  <c r="C23" i="26"/>
  <c r="E23" i="34"/>
  <c r="I23" i="26"/>
  <c r="C23" i="38"/>
  <c r="I23" i="9"/>
  <c r="G23" i="38"/>
  <c r="I23" i="10"/>
  <c r="G23" i="25"/>
  <c r="F23" i="9"/>
  <c r="H23" i="11"/>
  <c r="G23" i="36"/>
  <c r="C23" i="38655"/>
  <c r="C23" i="8"/>
  <c r="C23" i="37"/>
  <c r="I23" i="25"/>
  <c r="I23" i="38655"/>
  <c r="C23" i="34"/>
  <c r="E23" i="35"/>
  <c r="F23" i="10"/>
  <c r="C23"/>
  <c r="I23" i="20"/>
  <c r="E23" i="25"/>
  <c r="C23" i="11"/>
  <c r="C23" i="35"/>
  <c r="C23" i="25"/>
  <c r="C23" i="38661"/>
  <c r="C23" i="54"/>
  <c r="C23" i="36"/>
  <c r="I23" i="54"/>
  <c r="F23" i="8"/>
  <c r="C23" i="82"/>
  <c r="G23" i="34"/>
  <c r="F23" i="20"/>
  <c r="C43" i="41"/>
  <c r="C30" i="20"/>
  <c r="J37" i="26"/>
  <c r="J38" i="54"/>
  <c r="I26" i="9"/>
  <c r="C26" i="37"/>
  <c r="E26" i="11"/>
  <c r="G26" i="34"/>
  <c r="F26" i="8"/>
  <c r="I26" i="10"/>
  <c r="F26" i="38656"/>
  <c r="C26" i="82"/>
  <c r="C26" i="34"/>
  <c r="F13" i="8"/>
  <c r="C13" i="34"/>
  <c r="J26" i="10"/>
  <c r="F50" i="52"/>
  <c r="E21" i="18"/>
  <c r="G21" s="1"/>
  <c r="C13" i="36" l="1"/>
  <c r="F13" i="38656"/>
  <c r="C13" i="35"/>
  <c r="E19" i="19"/>
  <c r="G37" i="26"/>
  <c r="D43" i="54"/>
  <c r="F44" i="19"/>
  <c r="E36" i="15"/>
  <c r="J37" i="20"/>
  <c r="E17" i="5"/>
  <c r="I37" i="11"/>
  <c r="J37" i="38655"/>
  <c r="J37" i="10"/>
  <c r="E37" i="16"/>
  <c r="G37" i="38656"/>
  <c r="E43" i="5"/>
  <c r="C19" i="10"/>
  <c r="E19" i="38"/>
  <c r="I19" i="54"/>
  <c r="C19" i="38"/>
  <c r="C19" i="38661"/>
  <c r="C19" i="26"/>
  <c r="F37" i="19"/>
  <c r="C36"/>
  <c r="G17" i="41"/>
  <c r="G45"/>
  <c r="G19" i="25"/>
  <c r="D37" i="10"/>
  <c r="G37" i="54"/>
  <c r="D37" i="26"/>
  <c r="J37" i="54"/>
  <c r="D37"/>
  <c r="G37" i="38667"/>
  <c r="I19" i="26"/>
  <c r="C19" i="27"/>
  <c r="C19" i="76" s="1"/>
  <c r="H19" i="11"/>
  <c r="D21" i="8"/>
  <c r="D25" i="39"/>
  <c r="I36" i="25"/>
  <c r="F36" i="9"/>
  <c r="H51" i="23"/>
  <c r="H53" s="1"/>
  <c r="D34" i="7"/>
  <c r="D37" i="20"/>
  <c r="G37" i="41"/>
  <c r="G41"/>
  <c r="I18" i="7"/>
  <c r="D15" i="39"/>
  <c r="H34" i="7"/>
  <c r="F19" i="20"/>
  <c r="G33" i="41"/>
  <c r="A2" i="42"/>
  <c r="E15" i="5"/>
  <c r="D43" i="41"/>
  <c r="D13"/>
  <c r="E13" i="19"/>
  <c r="G43" i="41"/>
  <c r="G39"/>
  <c r="G26" i="76"/>
  <c r="G27" i="41"/>
  <c r="D25"/>
  <c r="D37"/>
  <c r="D15"/>
  <c r="D17"/>
  <c r="G23"/>
  <c r="B2" i="78"/>
  <c r="D2" i="22"/>
  <c r="B3" i="19"/>
  <c r="B3" i="10"/>
  <c r="B3" i="38655"/>
  <c r="A3" i="41"/>
  <c r="B3" i="27"/>
  <c r="A3" i="38648"/>
  <c r="A3" i="38667" s="1"/>
  <c r="D48" i="38668"/>
  <c r="D26" i="41"/>
  <c r="D32"/>
  <c r="E23" i="16"/>
  <c r="E23" i="41"/>
  <c r="D23" i="27"/>
  <c r="D23" i="76" s="1"/>
  <c r="I23" i="11"/>
  <c r="D23" i="26"/>
  <c r="G23" i="38655"/>
  <c r="J23" i="20"/>
  <c r="G23"/>
  <c r="I41" i="38648"/>
  <c r="J40" i="38651"/>
  <c r="I27" i="38648"/>
  <c r="J26" i="38651"/>
  <c r="I23" i="38648"/>
  <c r="J22" i="38651"/>
  <c r="I19" i="38648"/>
  <c r="J18" i="38651"/>
  <c r="E13" i="38"/>
  <c r="I13" i="54"/>
  <c r="E13" i="82"/>
  <c r="I13" i="26"/>
  <c r="J43"/>
  <c r="C23" i="18"/>
  <c r="J44" i="54"/>
  <c r="J44" i="38655"/>
  <c r="I36" i="19"/>
  <c r="F37" i="7"/>
  <c r="D43"/>
  <c r="G44" i="76"/>
  <c r="D26" i="38661"/>
  <c r="C13" i="38"/>
  <c r="J42" i="10"/>
  <c r="E42" i="16"/>
  <c r="E22" i="15"/>
  <c r="H39" i="7"/>
  <c r="I16"/>
  <c r="E43" i="82"/>
  <c r="E26" i="16"/>
  <c r="E26" i="41"/>
  <c r="G26" i="10"/>
  <c r="J26" i="54"/>
  <c r="I26" i="11"/>
  <c r="I43" i="54"/>
  <c r="C43" i="38"/>
  <c r="G43" i="25"/>
  <c r="C43" i="38661"/>
  <c r="E43" i="37"/>
  <c r="I43" i="18"/>
  <c r="D16" i="39"/>
  <c r="F25"/>
  <c r="I36" i="10"/>
  <c r="C36" i="7"/>
  <c r="C36" i="38655"/>
  <c r="D44" i="39"/>
  <c r="D32" i="18"/>
  <c r="D26" i="26"/>
  <c r="D26" i="10"/>
  <c r="G26" i="26"/>
  <c r="D26" i="38655"/>
  <c r="G32" i="41"/>
  <c r="C26"/>
  <c r="J26" i="38655"/>
  <c r="D22" i="7"/>
  <c r="F16"/>
  <c r="G28" i="41"/>
  <c r="G42"/>
  <c r="J42" i="38651"/>
  <c r="G12" i="41"/>
  <c r="D24"/>
  <c r="G46"/>
  <c r="D28"/>
  <c r="D14"/>
  <c r="D18"/>
  <c r="D46"/>
  <c r="G40"/>
  <c r="D34"/>
  <c r="D38"/>
  <c r="D30"/>
  <c r="G38"/>
  <c r="B48" i="38662"/>
  <c r="B2" i="45"/>
  <c r="B2" i="46"/>
  <c r="B2" i="44"/>
  <c r="B3" i="18"/>
  <c r="C2" i="21"/>
  <c r="B3" i="8"/>
  <c r="B3" i="7"/>
  <c r="C3" i="11"/>
  <c r="B3" i="25"/>
  <c r="B3" i="35"/>
  <c r="B3" i="39"/>
  <c r="B3" i="76"/>
  <c r="B3" i="82"/>
  <c r="B3" i="34"/>
  <c r="G42" i="38651"/>
  <c r="G40"/>
  <c r="F23" i="76"/>
  <c r="D27" i="18"/>
  <c r="C23" i="19"/>
  <c r="F13" i="76"/>
  <c r="C23" i="20"/>
  <c r="I30"/>
  <c r="G43" i="38658"/>
  <c r="I43" s="1"/>
  <c r="I50" i="38666"/>
  <c r="I46"/>
  <c r="I41"/>
  <c r="I38"/>
  <c r="I35"/>
  <c r="I29"/>
  <c r="I28"/>
  <c r="I26"/>
  <c r="I25"/>
  <c r="I19"/>
  <c r="I16"/>
  <c r="I12"/>
  <c r="C48"/>
  <c r="G45" i="26"/>
  <c r="F45" i="11"/>
  <c r="I15" i="38655"/>
  <c r="E15" i="38"/>
  <c r="F15" i="38655"/>
  <c r="C15" i="9"/>
  <c r="C15" i="38661"/>
  <c r="C15" i="19"/>
  <c r="C15" i="36"/>
  <c r="F15" i="5"/>
  <c r="C13" i="54"/>
  <c r="E13" i="25"/>
  <c r="G13" i="38"/>
  <c r="C13" i="7"/>
  <c r="C13" i="26"/>
  <c r="I13" i="9"/>
  <c r="C13" i="10"/>
  <c r="C13" i="38661"/>
  <c r="C13" i="11"/>
  <c r="I13" i="20"/>
  <c r="F26"/>
  <c r="F43" i="11"/>
  <c r="E43" i="41"/>
  <c r="G44" i="38656"/>
  <c r="G44" i="38667"/>
  <c r="D36" i="38655"/>
  <c r="D36" i="26"/>
  <c r="F26" i="76"/>
  <c r="I26" i="19"/>
  <c r="F39" i="39"/>
  <c r="I21" i="7"/>
  <c r="H21"/>
  <c r="D22" i="20"/>
  <c r="E12" i="5"/>
  <c r="F12" s="1"/>
  <c r="H22" i="7"/>
  <c r="F46" i="39"/>
  <c r="D46"/>
  <c r="C36" i="11"/>
  <c r="D42" i="38661"/>
  <c r="G42" i="38655"/>
  <c r="E18" i="5"/>
  <c r="H16" i="7"/>
  <c r="C43" i="18"/>
  <c r="D16" i="7"/>
  <c r="D53" i="23"/>
  <c r="C43" i="82"/>
  <c r="G43" i="36"/>
  <c r="C43" i="25"/>
  <c r="I43" i="9"/>
  <c r="F43" i="8"/>
  <c r="I43" i="38655"/>
  <c r="F43" i="54"/>
  <c r="E43" i="25"/>
  <c r="C43" i="8"/>
  <c r="C36" i="37"/>
  <c r="C36" i="34"/>
  <c r="F16" i="39"/>
  <c r="J26" i="38667"/>
  <c r="C36" i="27"/>
  <c r="C36" i="76" s="1"/>
  <c r="C36" i="38661"/>
  <c r="E36" i="34"/>
  <c r="C36" i="38656"/>
  <c r="E36" i="37"/>
  <c r="E14" i="15"/>
  <c r="H42" i="39"/>
  <c r="E22" i="38659"/>
  <c r="J22" s="1"/>
  <c r="E43"/>
  <c r="E35"/>
  <c r="J35" s="1"/>
  <c r="E14"/>
  <c r="J14" s="1"/>
  <c r="F22" i="7"/>
  <c r="H15" i="39"/>
  <c r="E25" i="38659"/>
  <c r="E18"/>
  <c r="J18" s="1"/>
  <c r="E45"/>
  <c r="J45" s="1"/>
  <c r="E19"/>
  <c r="J19" s="1"/>
  <c r="E27"/>
  <c r="J27" s="1"/>
  <c r="K19" i="21"/>
  <c r="E34" i="38659"/>
  <c r="J34" s="1"/>
  <c r="E52"/>
  <c r="E28"/>
  <c r="J28" s="1"/>
  <c r="E38"/>
  <c r="J38" s="1"/>
  <c r="E24"/>
  <c r="J24" s="1"/>
  <c r="F48" i="38658"/>
  <c r="G48" s="1"/>
  <c r="F46"/>
  <c r="F45"/>
  <c r="G45" s="1"/>
  <c r="F42"/>
  <c r="F39"/>
  <c r="F15"/>
  <c r="F14"/>
  <c r="F44"/>
  <c r="G44" s="1"/>
  <c r="I44" s="1"/>
  <c r="B53" i="23"/>
  <c r="E23" i="19"/>
  <c r="E13" i="5"/>
  <c r="E40"/>
  <c r="C41" i="19"/>
  <c r="G25" i="38658"/>
  <c r="I25" s="1"/>
  <c r="G22"/>
  <c r="I22" s="1"/>
  <c r="G15"/>
  <c r="D50"/>
  <c r="B50"/>
  <c r="J43" i="38659"/>
  <c r="J25"/>
  <c r="I50"/>
  <c r="I51" i="38666"/>
  <c r="I45"/>
  <c r="I44"/>
  <c r="I39"/>
  <c r="I37"/>
  <c r="I36"/>
  <c r="I34"/>
  <c r="I31"/>
  <c r="I30"/>
  <c r="I27"/>
  <c r="I23"/>
  <c r="I22"/>
  <c r="I21"/>
  <c r="I20"/>
  <c r="I18"/>
  <c r="I17"/>
  <c r="I13"/>
  <c r="H48"/>
  <c r="B48"/>
  <c r="G48"/>
  <c r="E48"/>
  <c r="G17" i="38658"/>
  <c r="E42" i="5"/>
  <c r="F53" i="23"/>
  <c r="H35" i="7"/>
  <c r="F35"/>
  <c r="I15" i="26"/>
  <c r="C15" i="82"/>
  <c r="I15" i="18"/>
  <c r="F15" i="54"/>
  <c r="F15" i="8"/>
  <c r="F15" i="26"/>
  <c r="I15" i="9"/>
  <c r="G15" i="38"/>
  <c r="C15" i="26"/>
  <c r="I15" i="10"/>
  <c r="C15" i="38656"/>
  <c r="C15" i="38655"/>
  <c r="C15" i="10"/>
  <c r="E38" i="16"/>
  <c r="D38" i="10"/>
  <c r="J38" i="38655"/>
  <c r="G38" i="38667"/>
  <c r="G38" i="38655"/>
  <c r="H40" i="39"/>
  <c r="F40"/>
  <c r="I24" i="38655"/>
  <c r="C24" i="25"/>
  <c r="C24" i="38661"/>
  <c r="I24" i="25"/>
  <c r="C24" i="54"/>
  <c r="E24" i="38"/>
  <c r="H24" i="11"/>
  <c r="F25" i="38659"/>
  <c r="G25" s="1"/>
  <c r="K25" s="1"/>
  <c r="D36" i="54"/>
  <c r="D36" i="27"/>
  <c r="D36" i="76" s="1"/>
  <c r="G36" i="26"/>
  <c r="E36" i="16"/>
  <c r="D36" i="10"/>
  <c r="J36"/>
  <c r="F36" i="11"/>
  <c r="D36" i="7"/>
  <c r="H36"/>
  <c r="E22" i="16"/>
  <c r="G22" i="54"/>
  <c r="D42" i="26"/>
  <c r="D42" i="38655"/>
  <c r="G42" i="26"/>
  <c r="G42" i="54"/>
  <c r="D42" i="10"/>
  <c r="D44" i="38661"/>
  <c r="D44" i="54"/>
  <c r="D44" i="27"/>
  <c r="D44" i="76" s="1"/>
  <c r="D44" i="10"/>
  <c r="D44" i="38655"/>
  <c r="G44" i="18"/>
  <c r="D24" i="7"/>
  <c r="G24"/>
  <c r="I38" i="19"/>
  <c r="I38" i="11"/>
  <c r="J38" i="26"/>
  <c r="D43" i="18"/>
  <c r="D18" i="8"/>
  <c r="F38" i="19"/>
  <c r="M28" i="38667"/>
  <c r="I28" s="1"/>
  <c r="D38" i="38656"/>
  <c r="E39" i="41"/>
  <c r="D38" i="8"/>
  <c r="E15" i="11"/>
  <c r="C15" i="35"/>
  <c r="E15" i="82"/>
  <c r="C15" i="34"/>
  <c r="C15" i="11"/>
  <c r="G32" i="7"/>
  <c r="J44" i="20"/>
  <c r="I13" i="10"/>
  <c r="E13" i="37"/>
  <c r="E13" i="34"/>
  <c r="I13" i="18"/>
  <c r="C13" i="82"/>
  <c r="F13" i="38655"/>
  <c r="E13" i="11"/>
  <c r="G13" i="25"/>
  <c r="F13" i="26"/>
  <c r="H13" i="11"/>
  <c r="E13" i="36"/>
  <c r="E13" i="35"/>
  <c r="F13" i="54"/>
  <c r="I13" i="25"/>
  <c r="I13" i="38655"/>
  <c r="C13" i="27"/>
  <c r="C13" i="76" s="1"/>
  <c r="C13" i="9"/>
  <c r="F13" i="10"/>
  <c r="C13" i="37"/>
  <c r="G13" i="36"/>
  <c r="C26" i="25"/>
  <c r="C26" i="38655"/>
  <c r="E26" i="38"/>
  <c r="I26" i="25"/>
  <c r="C26" i="36"/>
  <c r="C26" i="8"/>
  <c r="I26" i="26"/>
  <c r="I26" i="54"/>
  <c r="E26" i="82"/>
  <c r="C26" i="26"/>
  <c r="F26" i="10"/>
  <c r="G38" i="18"/>
  <c r="I37" i="19"/>
  <c r="F30" i="18"/>
  <c r="F14" i="19"/>
  <c r="D34" i="18"/>
  <c r="I19" i="20"/>
  <c r="C19" i="19"/>
  <c r="D23" i="7"/>
  <c r="C37" i="41"/>
  <c r="G43" i="7"/>
  <c r="E26" i="34"/>
  <c r="C26" i="38"/>
  <c r="C26" i="27"/>
  <c r="C26" i="76" s="1"/>
  <c r="E26" i="37"/>
  <c r="C26" i="10"/>
  <c r="F26" i="26"/>
  <c r="C26" i="54"/>
  <c r="F26" i="38655"/>
  <c r="F26" i="54"/>
  <c r="C26" i="38661"/>
  <c r="C30" i="18"/>
  <c r="C19" i="38656"/>
  <c r="F19" i="54"/>
  <c r="E19" i="37"/>
  <c r="F19" i="9"/>
  <c r="E19" i="11"/>
  <c r="I19" i="10"/>
  <c r="E19" i="34"/>
  <c r="C19" i="36"/>
  <c r="C19" i="25"/>
  <c r="I19" i="38655"/>
  <c r="F19" i="8"/>
  <c r="G30" i="34"/>
  <c r="G30" i="25"/>
  <c r="C30" i="38661"/>
  <c r="C30" i="11"/>
  <c r="F30" i="26"/>
  <c r="M33" i="38667"/>
  <c r="I33" s="1"/>
  <c r="C24" i="19"/>
  <c r="G30" i="7"/>
  <c r="E41" i="38659"/>
  <c r="J41" s="1"/>
  <c r="C19" i="9"/>
  <c r="G34" i="7"/>
  <c r="F19" i="26"/>
  <c r="C19" i="11"/>
  <c r="E19" i="82"/>
  <c r="G19" i="34"/>
  <c r="C19" i="37"/>
  <c r="C19" i="8"/>
  <c r="C19" i="54"/>
  <c r="E30" i="82"/>
  <c r="E30" i="35"/>
  <c r="C30" i="54"/>
  <c r="C30" i="7"/>
  <c r="J23" i="10"/>
  <c r="G23" i="38656"/>
  <c r="J23" i="26"/>
  <c r="D23" i="54"/>
  <c r="F23" i="11"/>
  <c r="G45" i="38667"/>
  <c r="G13" i="34"/>
  <c r="D21" i="18"/>
  <c r="D15" i="8"/>
  <c r="D20"/>
  <c r="E47" i="38659"/>
  <c r="J47" s="1"/>
  <c r="E23"/>
  <c r="J23" s="1"/>
  <c r="F34" i="7"/>
  <c r="B13" i="43"/>
  <c r="F13" s="1"/>
  <c r="H13" s="1"/>
  <c r="G24" i="38658"/>
  <c r="G39"/>
  <c r="F39" i="38659" s="1"/>
  <c r="F18" i="7"/>
  <c r="G18"/>
  <c r="E42" i="38659"/>
  <c r="J42" s="1"/>
  <c r="E36"/>
  <c r="J36" s="1"/>
  <c r="E30"/>
  <c r="J30" s="1"/>
  <c r="H37" i="39"/>
  <c r="D25" i="21"/>
  <c r="E44" i="38659"/>
  <c r="J44" s="1"/>
  <c r="E15"/>
  <c r="J15" s="1"/>
  <c r="E40"/>
  <c r="J40" s="1"/>
  <c r="E48"/>
  <c r="J48" s="1"/>
  <c r="E21"/>
  <c r="J21" s="1"/>
  <c r="F52" i="38658"/>
  <c r="G52" s="1"/>
  <c r="F37"/>
  <c r="F35"/>
  <c r="G35" s="1"/>
  <c r="F34"/>
  <c r="G34" s="1"/>
  <c r="D48" i="16"/>
  <c r="J39" i="10"/>
  <c r="D39"/>
  <c r="C25" i="38661"/>
  <c r="E25" i="38"/>
  <c r="I25" i="18"/>
  <c r="E25" i="37"/>
  <c r="C25" i="11"/>
  <c r="F25" i="9"/>
  <c r="C25" i="19"/>
  <c r="E25" i="36"/>
  <c r="C25" i="25"/>
  <c r="I25" i="9"/>
  <c r="E25" i="35"/>
  <c r="C25" i="9"/>
  <c r="C25" i="38656"/>
  <c r="F25" i="54"/>
  <c r="E25" i="11"/>
  <c r="C25" i="35"/>
  <c r="F25" i="26"/>
  <c r="E25" i="25"/>
  <c r="C25" i="7"/>
  <c r="F25" i="10"/>
  <c r="G25" i="36"/>
  <c r="G25" i="38"/>
  <c r="E25" i="34"/>
  <c r="C25" i="38655"/>
  <c r="C25" i="54"/>
  <c r="I25" i="26"/>
  <c r="I25" i="10"/>
  <c r="F25" i="8"/>
  <c r="E25" i="19"/>
  <c r="G25" i="25"/>
  <c r="F25" i="20"/>
  <c r="I25" i="54"/>
  <c r="C25" i="8"/>
  <c r="F25" i="38656"/>
  <c r="C25" i="34"/>
  <c r="I25" i="25"/>
  <c r="C25" i="82"/>
  <c r="F25" i="5"/>
  <c r="C25" i="10"/>
  <c r="E25" i="82"/>
  <c r="G25" i="34"/>
  <c r="C25" i="37"/>
  <c r="C25" i="26"/>
  <c r="F25" i="38655"/>
  <c r="C25" i="27"/>
  <c r="C25" i="76" s="1"/>
  <c r="I25" i="38655"/>
  <c r="H25" i="11"/>
  <c r="C25" i="38"/>
  <c r="I25" i="20"/>
  <c r="C25" i="36"/>
  <c r="F44" i="38659"/>
  <c r="G44" s="1"/>
  <c r="K44" s="1"/>
  <c r="J43" i="38655"/>
  <c r="D35" i="7"/>
  <c r="I35"/>
  <c r="D39" i="20"/>
  <c r="D39" i="27"/>
  <c r="D39" i="76" s="1"/>
  <c r="D39" i="26"/>
  <c r="B44" i="43"/>
  <c r="D50" i="38659"/>
  <c r="F48" i="38666"/>
  <c r="D48"/>
  <c r="I11"/>
  <c r="M48" i="3188"/>
  <c r="B53" i="38662"/>
  <c r="E53" i="38651"/>
  <c r="G30"/>
  <c r="J29" s="1"/>
  <c r="G25"/>
  <c r="I25" i="38648" s="1"/>
  <c r="G24" i="38651"/>
  <c r="J23" s="1"/>
  <c r="G46"/>
  <c r="G45"/>
  <c r="I45" i="38648" s="1"/>
  <c r="G44" i="38651"/>
  <c r="G38"/>
  <c r="J37" s="1"/>
  <c r="G37"/>
  <c r="I37" i="38648" s="1"/>
  <c r="G36" i="38651"/>
  <c r="J35" s="1"/>
  <c r="G29"/>
  <c r="G28"/>
  <c r="I28" i="38648" s="1"/>
  <c r="G22" i="38651"/>
  <c r="G21"/>
  <c r="I21" i="38648" s="1"/>
  <c r="G20" i="38651"/>
  <c r="G17"/>
  <c r="I17" i="38648" s="1"/>
  <c r="G13" i="38651"/>
  <c r="B21" i="43"/>
  <c r="F21" s="1"/>
  <c r="H21" s="1"/>
  <c r="B35"/>
  <c r="F35" s="1"/>
  <c r="H35" s="1"/>
  <c r="B41"/>
  <c r="F41" s="1"/>
  <c r="H41" s="1"/>
  <c r="B38"/>
  <c r="F38" s="1"/>
  <c r="H38" s="1"/>
  <c r="I38" i="45" s="1"/>
  <c r="B22" i="43"/>
  <c r="F22" s="1"/>
  <c r="H22" s="1"/>
  <c r="B27"/>
  <c r="F27" s="1"/>
  <c r="H27" s="1"/>
  <c r="B30"/>
  <c r="F30" s="1"/>
  <c r="H30" s="1"/>
  <c r="B26"/>
  <c r="F26" s="1"/>
  <c r="H26" s="1"/>
  <c r="I26" i="45" s="1"/>
  <c r="I26" i="43" s="1"/>
  <c r="B26" i="42" s="1"/>
  <c r="B31" i="43"/>
  <c r="F31" s="1"/>
  <c r="H31" s="1"/>
  <c r="B46"/>
  <c r="F46" s="1"/>
  <c r="H46" s="1"/>
  <c r="I46" i="45" s="1"/>
  <c r="B28" i="43"/>
  <c r="F28" s="1"/>
  <c r="H28" s="1"/>
  <c r="I28" i="45" s="1"/>
  <c r="C14" i="41"/>
  <c r="D14" i="38661"/>
  <c r="B15" i="43"/>
  <c r="B51"/>
  <c r="B50"/>
  <c r="F50" s="1"/>
  <c r="H50" s="1"/>
  <c r="B32"/>
  <c r="F32" s="1"/>
  <c r="H32" s="1"/>
  <c r="B20"/>
  <c r="F20" s="1"/>
  <c r="H20" s="1"/>
  <c r="I20" i="45" s="1"/>
  <c r="I20" i="43" s="1"/>
  <c r="B20" i="42" s="1"/>
  <c r="B25" i="43"/>
  <c r="F25" s="1"/>
  <c r="H25" s="1"/>
  <c r="D22" i="10"/>
  <c r="E35" i="33"/>
  <c r="J18" i="10"/>
  <c r="D18" i="38656"/>
  <c r="G18" i="10"/>
  <c r="E18" i="16"/>
  <c r="D18" i="26"/>
  <c r="G18" i="54"/>
  <c r="F18" i="19"/>
  <c r="C18" i="41"/>
  <c r="I18" i="19"/>
  <c r="G18" i="26"/>
  <c r="D18" i="38661"/>
  <c r="G18" i="38655"/>
  <c r="D18" i="10"/>
  <c r="J18" i="26"/>
  <c r="E18" i="41"/>
  <c r="D18" i="27"/>
  <c r="D18" i="76" s="1"/>
  <c r="D18" i="54"/>
  <c r="D18" i="38655"/>
  <c r="G18" i="20"/>
  <c r="J18" i="38655"/>
  <c r="J18" i="54"/>
  <c r="I18" i="11"/>
  <c r="F18"/>
  <c r="G18" i="38667"/>
  <c r="G18" i="38656"/>
  <c r="G35" i="7"/>
  <c r="E38" i="5"/>
  <c r="D22" i="38655"/>
  <c r="E15" i="76"/>
  <c r="F15" s="1"/>
  <c r="F33" i="20"/>
  <c r="I33" i="38655"/>
  <c r="F33" i="38656"/>
  <c r="E33" i="19"/>
  <c r="C33" i="20"/>
  <c r="C33" i="26"/>
  <c r="F33"/>
  <c r="G33" i="36"/>
  <c r="C33" i="10"/>
  <c r="H33" i="19"/>
  <c r="I33" i="9"/>
  <c r="F33" i="10"/>
  <c r="C33" i="25"/>
  <c r="C33" i="27"/>
  <c r="C33" i="76" s="1"/>
  <c r="G33" i="38"/>
  <c r="E33" i="36"/>
  <c r="I33" i="10"/>
  <c r="F33" i="54"/>
  <c r="C33" i="38661"/>
  <c r="C33" i="38656"/>
  <c r="F33" i="38655"/>
  <c r="C33" i="37"/>
  <c r="E33" i="11"/>
  <c r="C33" i="35"/>
  <c r="I33" i="20"/>
  <c r="C33" i="19"/>
  <c r="I33" i="25"/>
  <c r="E33" i="35"/>
  <c r="I33" i="54"/>
  <c r="F33" i="9"/>
  <c r="H33" i="11"/>
  <c r="C33" i="8"/>
  <c r="F30" i="11"/>
  <c r="G30" i="26"/>
  <c r="E30" i="41"/>
  <c r="D30" i="38656"/>
  <c r="G30" i="54"/>
  <c r="J30" i="38655"/>
  <c r="J30" i="54"/>
  <c r="D30" i="10"/>
  <c r="D30" i="54"/>
  <c r="J30" i="20"/>
  <c r="D30" i="26"/>
  <c r="D30" i="27"/>
  <c r="D30" i="76" s="1"/>
  <c r="D30" i="20"/>
  <c r="D50" i="54"/>
  <c r="G50" i="38656"/>
  <c r="J50" i="26"/>
  <c r="E50" i="16"/>
  <c r="D50" i="38656"/>
  <c r="D50" i="38661"/>
  <c r="J50" i="54"/>
  <c r="G50" i="38655"/>
  <c r="D50" i="26"/>
  <c r="C50" i="41"/>
  <c r="G50" i="10"/>
  <c r="G50" i="18"/>
  <c r="G50" i="76"/>
  <c r="D50" i="38655"/>
  <c r="D50" i="27"/>
  <c r="D50" i="76" s="1"/>
  <c r="F50" i="11"/>
  <c r="J50" i="10"/>
  <c r="J50" i="38655"/>
  <c r="E50" i="41"/>
  <c r="I50" i="11"/>
  <c r="D50" i="20"/>
  <c r="G50" i="54"/>
  <c r="G50" i="26"/>
  <c r="D50" i="10"/>
  <c r="D20"/>
  <c r="G20" i="38667"/>
  <c r="G20" i="26"/>
  <c r="G20" i="10"/>
  <c r="D20" i="27"/>
  <c r="D20" i="76" s="1"/>
  <c r="I20" i="19"/>
  <c r="D20" i="26"/>
  <c r="F20" i="11"/>
  <c r="G20" i="54"/>
  <c r="D20" i="38661"/>
  <c r="J20" i="54"/>
  <c r="J20" i="26"/>
  <c r="G20" i="38656"/>
  <c r="G20" i="38655"/>
  <c r="E20" i="41"/>
  <c r="J20" i="10"/>
  <c r="D20" i="38656"/>
  <c r="D20" i="38655"/>
  <c r="J20"/>
  <c r="E20" i="16"/>
  <c r="I20" i="11"/>
  <c r="F19" i="19"/>
  <c r="J19" i="10"/>
  <c r="I19" i="11"/>
  <c r="F19"/>
  <c r="D19" i="38656"/>
  <c r="D19" i="54"/>
  <c r="G19" i="26"/>
  <c r="J19" i="38655"/>
  <c r="E19" i="41"/>
  <c r="G19" i="20"/>
  <c r="G19" i="38667"/>
  <c r="D19" i="20"/>
  <c r="J19" i="26"/>
  <c r="D19" i="27"/>
  <c r="D19" i="76" s="1"/>
  <c r="G19" i="10"/>
  <c r="D19"/>
  <c r="D19" i="38661"/>
  <c r="G19" i="38656"/>
  <c r="G19" i="54"/>
  <c r="J19"/>
  <c r="E19" i="16"/>
  <c r="D19" i="38655"/>
  <c r="D19" i="26"/>
  <c r="J19" i="20"/>
  <c r="J15"/>
  <c r="G15"/>
  <c r="J15" i="26"/>
  <c r="J15" i="54"/>
  <c r="D15"/>
  <c r="D15" i="38655"/>
  <c r="D15" i="38656"/>
  <c r="E15" i="16"/>
  <c r="F15" i="11"/>
  <c r="G15" i="54"/>
  <c r="D15" i="27"/>
  <c r="D15" i="76" s="1"/>
  <c r="G15" i="10"/>
  <c r="J15"/>
  <c r="D15" i="26"/>
  <c r="G15"/>
  <c r="D15" i="38661"/>
  <c r="C15" i="41"/>
  <c r="G15" i="38655"/>
  <c r="D15" i="10"/>
  <c r="J15" i="38655"/>
  <c r="E15" i="41"/>
  <c r="I15" i="11"/>
  <c r="G15" i="38656"/>
  <c r="G15" i="38667"/>
  <c r="G20" i="20"/>
  <c r="G46" i="38658"/>
  <c r="F46" i="38659" s="1"/>
  <c r="G46" s="1"/>
  <c r="K46" s="1"/>
  <c r="J51" i="23"/>
  <c r="K21" i="38667"/>
  <c r="F21" i="18"/>
  <c r="D43" i="38656"/>
  <c r="E43" i="16"/>
  <c r="D43" i="27"/>
  <c r="D43" i="76" s="1"/>
  <c r="D43" i="38655"/>
  <c r="G43"/>
  <c r="G43" i="10"/>
  <c r="H26" i="19"/>
  <c r="H39" i="39"/>
  <c r="D21" i="7"/>
  <c r="I36"/>
  <c r="F36"/>
  <c r="F20" i="19"/>
  <c r="J38" i="10"/>
  <c r="C38" i="41"/>
  <c r="G38" i="26"/>
  <c r="G39" i="20"/>
  <c r="J39" i="26"/>
  <c r="D39" i="54"/>
  <c r="D39" i="38655"/>
  <c r="G39" i="38667"/>
  <c r="D39" i="38656"/>
  <c r="D39" i="38661"/>
  <c r="J43" i="38667"/>
  <c r="G19" i="76"/>
  <c r="C45" i="38655"/>
  <c r="F45" i="38656"/>
  <c r="C45" i="38"/>
  <c r="E45"/>
  <c r="C45" i="11"/>
  <c r="C45" i="35"/>
  <c r="C45" i="36"/>
  <c r="F45" i="8"/>
  <c r="E45" i="34"/>
  <c r="E45" i="35"/>
  <c r="C45" i="7"/>
  <c r="C45" i="27"/>
  <c r="C45" i="76" s="1"/>
  <c r="I45" i="10"/>
  <c r="I45" i="25"/>
  <c r="E45" i="37"/>
  <c r="I45" i="26"/>
  <c r="I45" i="54"/>
  <c r="C45" i="26"/>
  <c r="C45" i="34"/>
  <c r="C45" i="8"/>
  <c r="C45" i="10"/>
  <c r="C45" i="82"/>
  <c r="G23" i="38667"/>
  <c r="G23" i="54"/>
  <c r="J23"/>
  <c r="G23" i="26"/>
  <c r="D23" i="38656"/>
  <c r="D23" i="10"/>
  <c r="J23" i="38655"/>
  <c r="D23" i="38661"/>
  <c r="D23" i="20"/>
  <c r="G23" i="10"/>
  <c r="D14"/>
  <c r="G14"/>
  <c r="D40" i="8"/>
  <c r="E36" i="19"/>
  <c r="E36" i="82"/>
  <c r="C36" i="26"/>
  <c r="G36" i="38"/>
  <c r="I36" i="26"/>
  <c r="C36" i="9"/>
  <c r="C36" i="82"/>
  <c r="I36" i="9"/>
  <c r="F36" i="54"/>
  <c r="C36" i="35"/>
  <c r="C24" i="11"/>
  <c r="C24" i="37"/>
  <c r="C24" i="27"/>
  <c r="C24" i="76" s="1"/>
  <c r="C24" i="82"/>
  <c r="C24" i="26"/>
  <c r="B37" i="43"/>
  <c r="F37" s="1"/>
  <c r="H37" s="1"/>
  <c r="I37" i="45" s="1"/>
  <c r="H22" i="39"/>
  <c r="I22" i="7"/>
  <c r="B25" i="20"/>
  <c r="C25" s="1"/>
  <c r="D40" i="19"/>
  <c r="F40" s="1"/>
  <c r="D26"/>
  <c r="E26" s="1"/>
  <c r="B31" i="40"/>
  <c r="D31" s="1"/>
  <c r="H37" i="18"/>
  <c r="E37" i="5" s="1"/>
  <c r="F15" i="43"/>
  <c r="H15" s="1"/>
  <c r="H40" i="20"/>
  <c r="I40" s="1"/>
  <c r="H42"/>
  <c r="J42" s="1"/>
  <c r="H46"/>
  <c r="H51"/>
  <c r="J51" s="1"/>
  <c r="E33" i="33"/>
  <c r="F47" i="38658"/>
  <c r="G47" s="1"/>
  <c r="F40"/>
  <c r="G40" s="1"/>
  <c r="F38"/>
  <c r="F30"/>
  <c r="F29"/>
  <c r="G29" s="1"/>
  <c r="F19"/>
  <c r="G19" s="1"/>
  <c r="F18"/>
  <c r="G18" s="1"/>
  <c r="K20" i="38667"/>
  <c r="G20" i="18"/>
  <c r="I19"/>
  <c r="E19" i="5"/>
  <c r="F19" s="1"/>
  <c r="D19" i="6" s="1"/>
  <c r="E19" s="1"/>
  <c r="C19" i="38648" s="1"/>
  <c r="F12" i="7"/>
  <c r="I12"/>
  <c r="H12"/>
  <c r="G12"/>
  <c r="D12"/>
  <c r="G23" i="38658"/>
  <c r="I23" s="1"/>
  <c r="C33" i="54"/>
  <c r="G33" i="34"/>
  <c r="I33" i="26"/>
  <c r="C33" i="18"/>
  <c r="E33" i="38"/>
  <c r="C33" i="82"/>
  <c r="C33" i="34"/>
  <c r="J43" i="10"/>
  <c r="G22" i="38667"/>
  <c r="D22" i="38656"/>
  <c r="I22" i="11"/>
  <c r="H33" i="18"/>
  <c r="H36"/>
  <c r="I36" s="1"/>
  <c r="H46"/>
  <c r="E46" i="5" s="1"/>
  <c r="F46" s="1"/>
  <c r="E45" i="18"/>
  <c r="G45" s="1"/>
  <c r="F51" i="43"/>
  <c r="H51" s="1"/>
  <c r="H14" i="20"/>
  <c r="H16"/>
  <c r="I16" s="1"/>
  <c r="H18"/>
  <c r="J18" s="1"/>
  <c r="H20"/>
  <c r="J20" s="1"/>
  <c r="H26"/>
  <c r="J26" s="1"/>
  <c r="H35"/>
  <c r="H39"/>
  <c r="H45"/>
  <c r="I45" s="1"/>
  <c r="H50"/>
  <c r="J50" s="1"/>
  <c r="E25" i="33"/>
  <c r="E27"/>
  <c r="E28"/>
  <c r="E38"/>
  <c r="E42"/>
  <c r="E26" i="7"/>
  <c r="F23" i="38659"/>
  <c r="G23" s="1"/>
  <c r="K23" s="1"/>
  <c r="E22" i="41"/>
  <c r="F22" i="11"/>
  <c r="D22" i="26"/>
  <c r="G22"/>
  <c r="G22" i="38655"/>
  <c r="I24" i="7"/>
  <c r="E27"/>
  <c r="E33"/>
  <c r="H33" s="1"/>
  <c r="G40" i="76"/>
  <c r="G40" i="54"/>
  <c r="D40" i="10"/>
  <c r="J40" i="26"/>
  <c r="I40" i="11"/>
  <c r="J40" i="10"/>
  <c r="D40" i="38661"/>
  <c r="J40" i="54"/>
  <c r="D40" i="27"/>
  <c r="D40" i="76" s="1"/>
  <c r="D40" i="38655"/>
  <c r="D40" i="26"/>
  <c r="I40" i="19"/>
  <c r="G40" i="26"/>
  <c r="E40" i="41"/>
  <c r="G40" i="18"/>
  <c r="G40" i="38656"/>
  <c r="G40" i="38667"/>
  <c r="D40" i="54"/>
  <c r="G40" i="38655"/>
  <c r="C40" i="41"/>
  <c r="D40" i="38656"/>
  <c r="E40" i="16"/>
  <c r="G40" i="10"/>
  <c r="J40" i="38655"/>
  <c r="F40" i="11"/>
  <c r="J40" i="20"/>
  <c r="E35" i="15"/>
  <c r="D35" i="20" s="1"/>
  <c r="D35" i="8"/>
  <c r="F46" i="7"/>
  <c r="D46"/>
  <c r="H46"/>
  <c r="G46"/>
  <c r="I46"/>
  <c r="E51" i="16"/>
  <c r="D51" i="38656"/>
  <c r="D51" i="54"/>
  <c r="J51"/>
  <c r="J51" i="38655"/>
  <c r="G51" i="26"/>
  <c r="J51" i="10"/>
  <c r="D51" i="38661"/>
  <c r="I51" i="19"/>
  <c r="F51" i="11"/>
  <c r="G51" i="20"/>
  <c r="D51" i="10"/>
  <c r="G51" i="38655"/>
  <c r="F51" i="19"/>
  <c r="G51" i="38656"/>
  <c r="G51" i="54"/>
  <c r="I51" i="11"/>
  <c r="D51" i="27"/>
  <c r="D51" i="76" s="1"/>
  <c r="D51" i="26"/>
  <c r="G51" i="76"/>
  <c r="J52" i="38659"/>
  <c r="D36" i="38661"/>
  <c r="G36" i="38667"/>
  <c r="F36" i="19"/>
  <c r="G36" i="54"/>
  <c r="I36" i="11"/>
  <c r="G36" i="10"/>
  <c r="J36" i="20"/>
  <c r="G36" i="38655"/>
  <c r="E36" i="41"/>
  <c r="D36" i="38656"/>
  <c r="J36" i="26"/>
  <c r="F22" i="38659"/>
  <c r="G22" s="1"/>
  <c r="K22" s="1"/>
  <c r="F39" i="19"/>
  <c r="C39" i="41"/>
  <c r="I39" i="19"/>
  <c r="G39" i="10"/>
  <c r="J39" i="38655"/>
  <c r="G39" i="26"/>
  <c r="G39" i="54"/>
  <c r="G39" i="38656"/>
  <c r="F39" i="11"/>
  <c r="E39" i="16"/>
  <c r="G39" i="38655"/>
  <c r="I39" i="11"/>
  <c r="E41" i="15"/>
  <c r="D51" i="18"/>
  <c r="D51" i="8"/>
  <c r="E25" i="18"/>
  <c r="F25" s="1"/>
  <c r="G24" i="38663"/>
  <c r="G33" i="38658"/>
  <c r="I33" s="1"/>
  <c r="H39" i="18"/>
  <c r="J39" i="20"/>
  <c r="D51"/>
  <c r="D40"/>
  <c r="C51" i="41"/>
  <c r="D34" i="5"/>
  <c r="C34" i="19" s="1"/>
  <c r="M34" i="38667"/>
  <c r="I34" s="1"/>
  <c r="G28" i="38658"/>
  <c r="I28" s="1"/>
  <c r="G42"/>
  <c r="I42" s="1"/>
  <c r="E20" i="7"/>
  <c r="D20" s="1"/>
  <c r="E42"/>
  <c r="E44"/>
  <c r="C43" i="19"/>
  <c r="F14" i="8"/>
  <c r="C14" i="38656"/>
  <c r="I14" i="25"/>
  <c r="E14" i="34"/>
  <c r="G14" i="36"/>
  <c r="C14" i="38655"/>
  <c r="F14" i="10"/>
  <c r="I14"/>
  <c r="C14" i="34"/>
  <c r="E14" i="35"/>
  <c r="E14" i="19"/>
  <c r="I14" i="26"/>
  <c r="E14" i="38"/>
  <c r="I14" i="20"/>
  <c r="C14" i="54"/>
  <c r="C14" i="11"/>
  <c r="C14" i="25"/>
  <c r="C14" i="82"/>
  <c r="E14" i="37"/>
  <c r="I14" i="38655"/>
  <c r="C14" i="26"/>
  <c r="G14" i="25"/>
  <c r="I14" i="9"/>
  <c r="E14" i="82"/>
  <c r="C14" i="37"/>
  <c r="F14" i="9"/>
  <c r="E14" i="25"/>
  <c r="C14" i="27"/>
  <c r="C14" i="76" s="1"/>
  <c r="E14" i="36"/>
  <c r="G14" i="38"/>
  <c r="C18" i="8"/>
  <c r="H18" i="19"/>
  <c r="C18" i="34"/>
  <c r="F18" i="38655"/>
  <c r="I18" i="25"/>
  <c r="F18" i="54"/>
  <c r="C18" i="38655"/>
  <c r="C18" i="38"/>
  <c r="I18" i="26"/>
  <c r="I18" i="9"/>
  <c r="C18" i="35"/>
  <c r="I18" i="38655"/>
  <c r="E18" i="37"/>
  <c r="C18" i="7"/>
  <c r="C18" i="54"/>
  <c r="G18" i="34"/>
  <c r="E18" i="11"/>
  <c r="G18" i="25"/>
  <c r="C18" i="37"/>
  <c r="E18" i="36"/>
  <c r="C18" i="10"/>
  <c r="C18" i="38656"/>
  <c r="C18" i="25"/>
  <c r="E18" i="34"/>
  <c r="F18" i="26"/>
  <c r="I18" i="10"/>
  <c r="E18" i="19"/>
  <c r="I22" i="25"/>
  <c r="C22" i="10"/>
  <c r="I22" i="9"/>
  <c r="F22" i="38656"/>
  <c r="E22" i="25"/>
  <c r="C22" i="20"/>
  <c r="C22" i="9"/>
  <c r="C22" i="11"/>
  <c r="F22" i="26"/>
  <c r="F22" i="8"/>
  <c r="C22" i="38661"/>
  <c r="C22" i="18"/>
  <c r="C22" i="34"/>
  <c r="E22" i="82"/>
  <c r="I22" i="26"/>
  <c r="C22" i="38655"/>
  <c r="I22" i="18"/>
  <c r="C22" i="38"/>
  <c r="E22" i="35"/>
  <c r="C22"/>
  <c r="E22" i="37"/>
  <c r="C22" i="26"/>
  <c r="C22" i="37"/>
  <c r="F22" i="54"/>
  <c r="E22" i="11"/>
  <c r="C22" i="38656"/>
  <c r="F22" i="9"/>
  <c r="C22" i="7"/>
  <c r="F22" i="5"/>
  <c r="F22" i="38655"/>
  <c r="C22" i="19"/>
  <c r="I22" i="10"/>
  <c r="G22" i="38"/>
  <c r="C22" i="27"/>
  <c r="C22" i="76" s="1"/>
  <c r="E22" i="36"/>
  <c r="I46" i="26"/>
  <c r="C46" i="7"/>
  <c r="C46" i="11"/>
  <c r="C46" i="8"/>
  <c r="E46" i="34"/>
  <c r="F46" i="38656"/>
  <c r="C46" i="20"/>
  <c r="C46" i="26"/>
  <c r="F46" i="10"/>
  <c r="H46" i="11"/>
  <c r="F46" i="38655"/>
  <c r="E46" i="11"/>
  <c r="G46" i="38"/>
  <c r="E46" i="35"/>
  <c r="G46" i="36"/>
  <c r="C46" i="9"/>
  <c r="F46" i="8"/>
  <c r="C46" i="19"/>
  <c r="E46" i="38"/>
  <c r="G46" i="25"/>
  <c r="C46" i="10"/>
  <c r="C46" i="34"/>
  <c r="C46" i="38656"/>
  <c r="C46" i="54"/>
  <c r="F46" i="9"/>
  <c r="I46" i="20"/>
  <c r="C46" i="35"/>
  <c r="I46" i="9"/>
  <c r="I46" i="10"/>
  <c r="C46" i="82"/>
  <c r="I46" i="25"/>
  <c r="C46" i="38661"/>
  <c r="G46" i="34"/>
  <c r="C46" i="38"/>
  <c r="F46" i="54"/>
  <c r="I46" i="38655"/>
  <c r="F46" i="26"/>
  <c r="E46" i="25"/>
  <c r="I46" i="54"/>
  <c r="C46" i="36"/>
  <c r="C46" i="27"/>
  <c r="C46" i="76" s="1"/>
  <c r="C46" i="38655"/>
  <c r="C46" i="25"/>
  <c r="E46" i="36"/>
  <c r="E46" i="37"/>
  <c r="C46"/>
  <c r="H46" i="19"/>
  <c r="D32" i="39"/>
  <c r="F32"/>
  <c r="H32"/>
  <c r="K35" i="38667"/>
  <c r="G35" i="18"/>
  <c r="I26"/>
  <c r="E26" i="5"/>
  <c r="F26" s="1"/>
  <c r="F28" i="38659"/>
  <c r="G28" s="1"/>
  <c r="K28" s="1"/>
  <c r="H28" i="39"/>
  <c r="D28"/>
  <c r="F12" i="18"/>
  <c r="I12" i="10"/>
  <c r="E12" i="36"/>
  <c r="E12" i="37"/>
  <c r="C12" i="10"/>
  <c r="C12" i="34"/>
  <c r="F12" i="20"/>
  <c r="C12" i="27"/>
  <c r="C12" i="76" s="1"/>
  <c r="C12" i="38"/>
  <c r="C12" i="7"/>
  <c r="I12" i="54"/>
  <c r="I12" i="26"/>
  <c r="C12" i="54"/>
  <c r="I12" i="18"/>
  <c r="I12" i="25"/>
  <c r="C12" i="38661"/>
  <c r="C12" i="8"/>
  <c r="C12" i="26"/>
  <c r="F12" i="9"/>
  <c r="F12" i="38656"/>
  <c r="C12" i="9"/>
  <c r="E12" i="34"/>
  <c r="E12" i="38"/>
  <c r="F12" i="26"/>
  <c r="F12" i="38655"/>
  <c r="E12" i="19"/>
  <c r="C16" i="10"/>
  <c r="G16" i="38"/>
  <c r="F16" i="26"/>
  <c r="C16" i="34"/>
  <c r="H16" i="19"/>
  <c r="I16" i="9"/>
  <c r="E16" i="36"/>
  <c r="C16" i="38661"/>
  <c r="F16" i="20"/>
  <c r="F20"/>
  <c r="C20" i="25"/>
  <c r="F20" i="8"/>
  <c r="C20" i="26"/>
  <c r="C20" i="36"/>
  <c r="E20" i="82"/>
  <c r="C20" i="7"/>
  <c r="E20" i="25"/>
  <c r="G20"/>
  <c r="C20" i="9"/>
  <c r="C20" i="38661"/>
  <c r="F20" i="9"/>
  <c r="C20" i="19"/>
  <c r="G20" i="38"/>
  <c r="F20" i="38656"/>
  <c r="E20" i="37"/>
  <c r="I20" i="26"/>
  <c r="G20" i="36"/>
  <c r="C20" i="20"/>
  <c r="C20" i="82"/>
  <c r="C20" i="8"/>
  <c r="C20" i="27"/>
  <c r="C20" i="76" s="1"/>
  <c r="F20" i="26"/>
  <c r="C20" i="10"/>
  <c r="G20" i="34"/>
  <c r="I20" i="9"/>
  <c r="E20" i="38"/>
  <c r="C20" i="38656"/>
  <c r="F20" i="38655"/>
  <c r="E20" i="35"/>
  <c r="E20" i="11"/>
  <c r="C20" i="37"/>
  <c r="E20" i="34"/>
  <c r="E20" i="36"/>
  <c r="C20" i="35"/>
  <c r="C20" i="38"/>
  <c r="C28" i="18"/>
  <c r="F28" i="54"/>
  <c r="F28" i="9"/>
  <c r="C28" i="54"/>
  <c r="C28" i="34"/>
  <c r="F28" i="38655"/>
  <c r="C28" i="7"/>
  <c r="G28" i="36"/>
  <c r="C28" i="27"/>
  <c r="C28" i="76" s="1"/>
  <c r="G28" i="38"/>
  <c r="E28" i="25"/>
  <c r="I28" i="54"/>
  <c r="E28" i="38"/>
  <c r="C28" i="38655"/>
  <c r="E28" i="35"/>
  <c r="F28" i="38656"/>
  <c r="C28"/>
  <c r="F28" i="26"/>
  <c r="F28" i="10"/>
  <c r="E28" i="19"/>
  <c r="C28" i="38"/>
  <c r="F28" i="8"/>
  <c r="C28" i="9"/>
  <c r="C28" i="37"/>
  <c r="C28" i="19"/>
  <c r="I28" i="10"/>
  <c r="C28" i="26"/>
  <c r="I28" i="38655"/>
  <c r="C28" i="25"/>
  <c r="G28"/>
  <c r="C28" i="38661"/>
  <c r="I28" i="25"/>
  <c r="I28" i="9"/>
  <c r="E28" i="11"/>
  <c r="G28" i="34"/>
  <c r="E28" i="37"/>
  <c r="C28" i="11"/>
  <c r="E28" i="82"/>
  <c r="E28" i="34"/>
  <c r="C28" i="82"/>
  <c r="E28" i="36"/>
  <c r="H28" i="11"/>
  <c r="I28" i="26"/>
  <c r="F28" i="18"/>
  <c r="C28" i="36"/>
  <c r="C28" i="10"/>
  <c r="C28" i="35"/>
  <c r="F28" i="20"/>
  <c r="C28" i="8"/>
  <c r="H28" i="19"/>
  <c r="I28" i="20"/>
  <c r="G18" i="76"/>
  <c r="F18"/>
  <c r="G34" i="34"/>
  <c r="C34" i="35"/>
  <c r="I34" i="25"/>
  <c r="F34" i="76"/>
  <c r="I20" i="7"/>
  <c r="G20"/>
  <c r="I40"/>
  <c r="F40"/>
  <c r="G40"/>
  <c r="D40"/>
  <c r="H40"/>
  <c r="F44" i="43"/>
  <c r="H44" s="1"/>
  <c r="I44" i="45" s="1"/>
  <c r="I44" i="43" s="1"/>
  <c r="B44" i="42" s="1"/>
  <c r="F18" i="5"/>
  <c r="D18" i="6" s="1"/>
  <c r="E18" s="1"/>
  <c r="C18" i="38648" s="1"/>
  <c r="F46" i="20"/>
  <c r="F18"/>
  <c r="I34"/>
  <c r="F17" i="45"/>
  <c r="F30"/>
  <c r="F51"/>
  <c r="E24" i="76"/>
  <c r="F24" s="1"/>
  <c r="G37" i="38658"/>
  <c r="E36" i="18"/>
  <c r="F36" s="1"/>
  <c r="E51"/>
  <c r="G51" s="1"/>
  <c r="B18" i="20"/>
  <c r="B38" i="40"/>
  <c r="D38" s="1"/>
  <c r="E16" i="76"/>
  <c r="F16" s="1"/>
  <c r="H27" i="18"/>
  <c r="E27" i="5" s="1"/>
  <c r="H32" i="18"/>
  <c r="E32" i="5" s="1"/>
  <c r="H31" i="18"/>
  <c r="G32" i="38658"/>
  <c r="D43" i="26"/>
  <c r="G43" i="38656"/>
  <c r="J43" i="54"/>
  <c r="E20" i="19"/>
  <c r="J41" i="20"/>
  <c r="E41" i="16"/>
  <c r="J41" i="38655"/>
  <c r="G41" i="26"/>
  <c r="D41" i="10"/>
  <c r="F19" i="76"/>
  <c r="D50" i="7"/>
  <c r="E43" i="20"/>
  <c r="F43" s="1"/>
  <c r="G24" i="8"/>
  <c r="F26" i="19"/>
  <c r="E39" i="5"/>
  <c r="E46" i="18"/>
  <c r="K46" i="38667" s="1"/>
  <c r="E45" i="33"/>
  <c r="E14" i="7"/>
  <c r="D14" s="1"/>
  <c r="E15"/>
  <c r="E17"/>
  <c r="E19"/>
  <c r="C24" i="15"/>
  <c r="E24" s="1"/>
  <c r="J24" i="20" s="1"/>
  <c r="E31" i="7"/>
  <c r="G31" s="1"/>
  <c r="C33" i="15"/>
  <c r="E38" i="7"/>
  <c r="C21" i="19"/>
  <c r="F21" i="8"/>
  <c r="C21" i="38656"/>
  <c r="C21" i="18"/>
  <c r="E21" i="82"/>
  <c r="C21" i="38661"/>
  <c r="E21" i="37"/>
  <c r="I21" i="10"/>
  <c r="E21" i="34"/>
  <c r="C21" i="36"/>
  <c r="F21" i="38656"/>
  <c r="C21" i="54"/>
  <c r="I21" i="26"/>
  <c r="I21" i="25"/>
  <c r="E21" i="35"/>
  <c r="C21"/>
  <c r="C21" i="11"/>
  <c r="C21" i="8"/>
  <c r="E21" i="38"/>
  <c r="G21" i="34"/>
  <c r="C21"/>
  <c r="C21" i="9"/>
  <c r="C21" i="38655"/>
  <c r="I21" i="54"/>
  <c r="E21" i="25"/>
  <c r="C21" i="82"/>
  <c r="E21" i="36"/>
  <c r="H21" i="11"/>
  <c r="I21" i="38655"/>
  <c r="C21" i="27"/>
  <c r="C21" i="76" s="1"/>
  <c r="C21" i="25"/>
  <c r="E21" i="19"/>
  <c r="E21" i="11"/>
  <c r="I21" i="9"/>
  <c r="G21" i="38"/>
  <c r="G21" i="25"/>
  <c r="F21" i="9"/>
  <c r="F21" i="54"/>
  <c r="G21" i="36"/>
  <c r="F21" i="26"/>
  <c r="C21" i="37"/>
  <c r="C21" i="7"/>
  <c r="I21" i="20"/>
  <c r="C21" i="26"/>
  <c r="C21" i="10"/>
  <c r="F21"/>
  <c r="C21" i="38"/>
  <c r="F21" i="38655"/>
  <c r="I17" i="9"/>
  <c r="C17" i="25"/>
  <c r="E17" i="82"/>
  <c r="C17" i="20"/>
  <c r="E17" i="34"/>
  <c r="E17" i="19"/>
  <c r="E17" i="25"/>
  <c r="I17"/>
  <c r="H17" i="11"/>
  <c r="C17" i="54"/>
  <c r="C17" i="36"/>
  <c r="E17" i="11"/>
  <c r="F17" i="20"/>
  <c r="C17" i="38661"/>
  <c r="C17" i="38"/>
  <c r="E17" i="35"/>
  <c r="C17" i="10"/>
  <c r="I17"/>
  <c r="C17" i="37"/>
  <c r="C17" i="26"/>
  <c r="I17" i="38655"/>
  <c r="F17" i="38656"/>
  <c r="C17"/>
  <c r="F17" i="9"/>
  <c r="C17" i="7"/>
  <c r="I17" i="18"/>
  <c r="C17" i="9"/>
  <c r="C17" i="11"/>
  <c r="C17" i="38655"/>
  <c r="F17" i="26"/>
  <c r="C17" i="35"/>
  <c r="H17" i="19"/>
  <c r="F17" i="76"/>
  <c r="F17" i="38655"/>
  <c r="G17" i="38"/>
  <c r="F17" i="54"/>
  <c r="G17" i="36"/>
  <c r="E17" i="38"/>
  <c r="F17" i="18"/>
  <c r="C17" i="82"/>
  <c r="E17" i="36"/>
  <c r="E17" i="37"/>
  <c r="I17" i="54"/>
  <c r="C17" i="34"/>
  <c r="C17" i="27"/>
  <c r="C17" i="76" s="1"/>
  <c r="C17" i="8"/>
  <c r="G17" i="25"/>
  <c r="F17" i="8"/>
  <c r="C17" i="19"/>
  <c r="G17" i="34"/>
  <c r="I17" i="26"/>
  <c r="F17" i="10"/>
  <c r="D13" i="39"/>
  <c r="H13"/>
  <c r="D20"/>
  <c r="F20"/>
  <c r="H20"/>
  <c r="F41" i="7"/>
  <c r="I41"/>
  <c r="G41"/>
  <c r="H41"/>
  <c r="D41"/>
  <c r="J11" i="38651"/>
  <c r="I11" i="38648"/>
  <c r="I42"/>
  <c r="J41" i="38651"/>
  <c r="I40" i="38648"/>
  <c r="J39" i="38651"/>
  <c r="I29" i="38648"/>
  <c r="J28" i="38651"/>
  <c r="J27"/>
  <c r="J16"/>
  <c r="G16"/>
  <c r="F48"/>
  <c r="G48" s="1"/>
  <c r="I48" i="38648" s="1"/>
  <c r="I13"/>
  <c r="J13" i="38651"/>
  <c r="G43" i="38667"/>
  <c r="G43" i="54"/>
  <c r="D43" i="38661"/>
  <c r="D43" i="10"/>
  <c r="G43" i="26"/>
  <c r="H24" i="7"/>
  <c r="F24"/>
  <c r="M27" i="38667"/>
  <c r="I27" s="1"/>
  <c r="B23" i="43"/>
  <c r="F38" i="39"/>
  <c r="D38"/>
  <c r="H38"/>
  <c r="J24" i="26"/>
  <c r="F31" i="7"/>
  <c r="I31"/>
  <c r="I46" i="38648"/>
  <c r="J45" i="38651"/>
  <c r="I44" i="38648"/>
  <c r="J43" i="38651"/>
  <c r="I38" i="38648"/>
  <c r="I36"/>
  <c r="I30"/>
  <c r="I24"/>
  <c r="I22"/>
  <c r="J21" i="38651"/>
  <c r="I20" i="38648"/>
  <c r="J19" i="38651"/>
  <c r="F17" i="5"/>
  <c r="G30" i="38658"/>
  <c r="I30" s="1"/>
  <c r="E14" i="18"/>
  <c r="F41" i="45"/>
  <c r="F35"/>
  <c r="F34"/>
  <c r="F32"/>
  <c r="F27"/>
  <c r="F25"/>
  <c r="F40"/>
  <c r="E44" i="5"/>
  <c r="K37" i="3188"/>
  <c r="C37" i="5" s="1"/>
  <c r="D37" s="1"/>
  <c r="D50"/>
  <c r="F50" s="1"/>
  <c r="D50" i="6" s="1"/>
  <c r="E50" s="1"/>
  <c r="C50" i="38648" s="1"/>
  <c r="G42" i="19"/>
  <c r="L42" i="38667" s="1"/>
  <c r="E22" i="33"/>
  <c r="E26"/>
  <c r="M47" i="38667"/>
  <c r="I47" s="1"/>
  <c r="F23" i="19"/>
  <c r="F25" i="76"/>
  <c r="J32" i="38651"/>
  <c r="J14"/>
  <c r="J30"/>
  <c r="J25"/>
  <c r="J17"/>
  <c r="J38"/>
  <c r="H51" i="18"/>
  <c r="E51" i="5" s="1"/>
  <c r="B45" i="18"/>
  <c r="D45" s="1"/>
  <c r="B17" i="40"/>
  <c r="D17" s="1"/>
  <c r="K51" i="3188"/>
  <c r="C51" i="5" s="1"/>
  <c r="D51" s="1"/>
  <c r="B16" i="19"/>
  <c r="B46" i="18"/>
  <c r="E43"/>
  <c r="F43" s="1"/>
  <c r="K39" i="3188"/>
  <c r="C39" i="5" s="1"/>
  <c r="D39" s="1"/>
  <c r="C39" i="82" s="1"/>
  <c r="B42" i="40"/>
  <c r="D42" s="1"/>
  <c r="B45" i="20"/>
  <c r="C45" s="1"/>
  <c r="G39" i="38663"/>
  <c r="G37"/>
  <c r="G35"/>
  <c r="G31"/>
  <c r="G12"/>
  <c r="E40" i="20"/>
  <c r="G40" s="1"/>
  <c r="K32" i="3188"/>
  <c r="C32" i="5" s="1"/>
  <c r="D32" s="1"/>
  <c r="I32" i="38655" s="1"/>
  <c r="K38" i="3188"/>
  <c r="C38" i="5" s="1"/>
  <c r="D38" s="1"/>
  <c r="I38" i="20" s="1"/>
  <c r="H17"/>
  <c r="I17" s="1"/>
  <c r="H22"/>
  <c r="H43"/>
  <c r="J43" s="1"/>
  <c r="E23" i="33"/>
  <c r="E36"/>
  <c r="E40"/>
  <c r="E44"/>
  <c r="E25" i="7"/>
  <c r="E51"/>
  <c r="E30" i="33"/>
  <c r="B3" i="26"/>
  <c r="B3" i="38656"/>
  <c r="B3" i="36"/>
  <c r="B3" i="54"/>
  <c r="F41" i="38658"/>
  <c r="G41" s="1"/>
  <c r="F36"/>
  <c r="G36" s="1"/>
  <c r="F31"/>
  <c r="F27"/>
  <c r="G27" s="1"/>
  <c r="F21"/>
  <c r="J16" i="23"/>
  <c r="D15" i="6"/>
  <c r="E15" s="1"/>
  <c r="C15" i="38648" s="1"/>
  <c r="E15" i="38667"/>
  <c r="F44" i="11"/>
  <c r="G44" i="38655"/>
  <c r="E44" i="16"/>
  <c r="E44" i="41"/>
  <c r="C41" i="27"/>
  <c r="C41" i="76" s="1"/>
  <c r="C41" i="8"/>
  <c r="C41" i="25"/>
  <c r="E41" i="35"/>
  <c r="C41" i="10"/>
  <c r="I41"/>
  <c r="C41" i="36"/>
  <c r="I41" i="38655"/>
  <c r="E41" i="37"/>
  <c r="F41" i="26"/>
  <c r="C41" i="35"/>
  <c r="C41" i="37"/>
  <c r="F41" i="38656"/>
  <c r="C41" i="34"/>
  <c r="I41" i="20"/>
  <c r="E41" i="34"/>
  <c r="I41" i="54"/>
  <c r="E41" i="19"/>
  <c r="H41" i="11"/>
  <c r="C41" i="7"/>
  <c r="C41" i="11"/>
  <c r="F41" i="8"/>
  <c r="C41" i="9"/>
  <c r="F41" i="76"/>
  <c r="C41" i="38655"/>
  <c r="E41" i="38"/>
  <c r="F41" i="20"/>
  <c r="G41" i="36"/>
  <c r="E41" i="11"/>
  <c r="C41" i="54"/>
  <c r="F41" i="18"/>
  <c r="F41" i="9"/>
  <c r="F41" i="54"/>
  <c r="C41" i="38656"/>
  <c r="E41" i="36"/>
  <c r="I41" i="25"/>
  <c r="E41"/>
  <c r="G41"/>
  <c r="G41" i="38"/>
  <c r="G41" i="34"/>
  <c r="E41" i="82"/>
  <c r="D26" i="39"/>
  <c r="F26"/>
  <c r="D36" i="41"/>
  <c r="C36"/>
  <c r="D45" i="39"/>
  <c r="F45"/>
  <c r="H45"/>
  <c r="D33" i="41"/>
  <c r="I21" i="11"/>
  <c r="E21" i="16"/>
  <c r="J21" i="26"/>
  <c r="J21" i="38655"/>
  <c r="F21" i="11"/>
  <c r="D21" i="38656"/>
  <c r="E21" i="41"/>
  <c r="G21" i="54"/>
  <c r="J21" i="20"/>
  <c r="D21" i="26"/>
  <c r="J21" i="10"/>
  <c r="I24" i="38658"/>
  <c r="F24" i="38659"/>
  <c r="G24" s="1"/>
  <c r="K24" s="1"/>
  <c r="I17" i="38658"/>
  <c r="F17" i="38659"/>
  <c r="C24" i="18"/>
  <c r="J24" i="38667"/>
  <c r="D21" i="41"/>
  <c r="C21"/>
  <c r="F18" i="39"/>
  <c r="D18"/>
  <c r="H18"/>
  <c r="D19" i="41"/>
  <c r="C19"/>
  <c r="H31" i="39"/>
  <c r="F31"/>
  <c r="D31"/>
  <c r="C48" i="38662"/>
  <c r="C53" s="1"/>
  <c r="B11" i="38654"/>
  <c r="D20" i="20"/>
  <c r="B16" i="43"/>
  <c r="F16" s="1"/>
  <c r="H16" s="1"/>
  <c r="G26" i="18"/>
  <c r="F36" i="8"/>
  <c r="F16" i="45"/>
  <c r="F50"/>
  <c r="B17" i="18"/>
  <c r="B38"/>
  <c r="B16" i="20"/>
  <c r="C16" s="1"/>
  <c r="E36" i="76"/>
  <c r="B14" i="18"/>
  <c r="C14" s="1"/>
  <c r="B15"/>
  <c r="B14" i="43"/>
  <c r="F14" s="1"/>
  <c r="H14" s="1"/>
  <c r="I14" i="45" s="1"/>
  <c r="G22" i="19"/>
  <c r="L22" i="38667" s="1"/>
  <c r="E21" i="76"/>
  <c r="F21" s="1"/>
  <c r="B27" i="20"/>
  <c r="B34"/>
  <c r="D37" i="39"/>
  <c r="H28" i="18"/>
  <c r="E28" i="5" s="1"/>
  <c r="F28" s="1"/>
  <c r="D22" i="19"/>
  <c r="F22" s="1"/>
  <c r="B23" i="40"/>
  <c r="D23" s="1"/>
  <c r="H39" i="22"/>
  <c r="I12" i="38648"/>
  <c r="I32"/>
  <c r="I34"/>
  <c r="G50" i="7"/>
  <c r="I50"/>
  <c r="G23" i="76"/>
  <c r="H36" i="19"/>
  <c r="D15" i="20"/>
  <c r="J20" i="38651"/>
  <c r="J36"/>
  <c r="J44"/>
  <c r="J24"/>
  <c r="J34"/>
  <c r="C43" i="37"/>
  <c r="F36" i="45"/>
  <c r="G30" i="19"/>
  <c r="G25"/>
  <c r="B28" i="20"/>
  <c r="C28" s="1"/>
  <c r="B32" i="40"/>
  <c r="D32" s="1"/>
  <c r="B18" i="18"/>
  <c r="E39" i="76"/>
  <c r="E22"/>
  <c r="D30" i="8"/>
  <c r="B41" i="18"/>
  <c r="E18"/>
  <c r="H21"/>
  <c r="I21" s="1"/>
  <c r="H41"/>
  <c r="J36" i="23"/>
  <c r="K21" i="21"/>
  <c r="B21" i="22"/>
  <c r="C13" i="21" s="1"/>
  <c r="D39" i="22"/>
  <c r="J39"/>
  <c r="J50" s="1"/>
  <c r="F45"/>
  <c r="F15" i="21" s="1"/>
  <c r="E19" i="38667"/>
  <c r="C42" i="19"/>
  <c r="F42" i="54"/>
  <c r="C42" i="34"/>
  <c r="E42" i="11"/>
  <c r="E42" i="34"/>
  <c r="C42" i="82"/>
  <c r="C42" i="38"/>
  <c r="F42" i="10"/>
  <c r="E42" i="35"/>
  <c r="E42" i="38"/>
  <c r="C42" i="25"/>
  <c r="I42" i="54"/>
  <c r="C42" i="36"/>
  <c r="E42"/>
  <c r="G42"/>
  <c r="C42" i="8"/>
  <c r="C42" i="7"/>
  <c r="F42" i="38656"/>
  <c r="C42"/>
  <c r="E42" i="25"/>
  <c r="C42" i="38655"/>
  <c r="F42" i="5"/>
  <c r="F42" i="18"/>
  <c r="E42" i="82"/>
  <c r="I42" i="38655"/>
  <c r="C42" i="37"/>
  <c r="G42" i="34"/>
  <c r="I42" i="18"/>
  <c r="C42" i="10"/>
  <c r="I42"/>
  <c r="E42" i="37"/>
  <c r="H42" i="11"/>
  <c r="G42" i="25"/>
  <c r="C42" i="26"/>
  <c r="I42"/>
  <c r="F42" i="38655"/>
  <c r="C42" i="9"/>
  <c r="F42" i="26"/>
  <c r="I42" i="25"/>
  <c r="C42" i="11"/>
  <c r="G42" i="38"/>
  <c r="C42" i="35"/>
  <c r="I42" i="9"/>
  <c r="C42" i="54"/>
  <c r="C42" i="38661"/>
  <c r="C42" i="27"/>
  <c r="C42" i="76" s="1"/>
  <c r="F42" i="9"/>
  <c r="F42" i="8"/>
  <c r="C40" i="20"/>
  <c r="C40" i="38655"/>
  <c r="C40" i="34"/>
  <c r="C40" i="8"/>
  <c r="C40" i="9"/>
  <c r="E40" i="35"/>
  <c r="F40" i="18"/>
  <c r="G40" i="34"/>
  <c r="E40" i="25"/>
  <c r="C40" i="38656"/>
  <c r="G40" i="38"/>
  <c r="E40"/>
  <c r="C40" i="10"/>
  <c r="C40" i="37"/>
  <c r="C40" i="11"/>
  <c r="F40" i="26"/>
  <c r="F40" i="9"/>
  <c r="C40" i="27"/>
  <c r="C40" i="76" s="1"/>
  <c r="I40" i="54"/>
  <c r="E40" i="34"/>
  <c r="C40" i="18"/>
  <c r="E40" i="36"/>
  <c r="C40" i="38661"/>
  <c r="C40" i="82"/>
  <c r="C40" i="25"/>
  <c r="I40" i="9"/>
  <c r="E40" i="11"/>
  <c r="I40" i="38655"/>
  <c r="C40" i="26"/>
  <c r="G40" i="25"/>
  <c r="I40"/>
  <c r="H40" i="19"/>
  <c r="E40" i="37"/>
  <c r="F40" i="38656"/>
  <c r="G40" i="36"/>
  <c r="C40" i="7"/>
  <c r="I40" i="10"/>
  <c r="F40" i="5"/>
  <c r="C40" i="54"/>
  <c r="F40" i="8"/>
  <c r="H40" i="11"/>
  <c r="C40" i="38"/>
  <c r="C40" i="19"/>
  <c r="I40" i="26"/>
  <c r="F40" i="76"/>
  <c r="C40" i="35"/>
  <c r="E40" i="82"/>
  <c r="F40" i="38655"/>
  <c r="C40" i="36"/>
  <c r="F40" i="54"/>
  <c r="F40" i="10"/>
  <c r="I40" i="18"/>
  <c r="D34" i="8"/>
  <c r="E34" i="15"/>
  <c r="G38" i="10"/>
  <c r="D38" i="27"/>
  <c r="D38" i="76" s="1"/>
  <c r="D38" i="54"/>
  <c r="G38"/>
  <c r="E38" i="41"/>
  <c r="G38" i="38656"/>
  <c r="D38" i="38661"/>
  <c r="F38" i="11"/>
  <c r="G41" i="20"/>
  <c r="G41" i="38655"/>
  <c r="E41" i="41"/>
  <c r="D41" i="54"/>
  <c r="D41" i="38661"/>
  <c r="F41" i="11"/>
  <c r="I41"/>
  <c r="D41" i="38656"/>
  <c r="G41" i="54"/>
  <c r="J41" i="26"/>
  <c r="G41" i="76"/>
  <c r="J41" i="54"/>
  <c r="J44" i="10"/>
  <c r="G44"/>
  <c r="J44" i="26"/>
  <c r="D44"/>
  <c r="D44" i="38656"/>
  <c r="G44" i="54"/>
  <c r="E13" i="15"/>
  <c r="D13" i="10" s="1"/>
  <c r="D13" i="18"/>
  <c r="C39" i="26"/>
  <c r="I39" i="54"/>
  <c r="E39" i="35"/>
  <c r="I39" i="10"/>
  <c r="I39" i="18"/>
  <c r="I39" i="9"/>
  <c r="C39" i="38655"/>
  <c r="F39"/>
  <c r="F39" i="26"/>
  <c r="C39" i="20"/>
  <c r="H39" i="11"/>
  <c r="K39" i="38667"/>
  <c r="G39" i="18"/>
  <c r="G15" i="25"/>
  <c r="F15" i="9"/>
  <c r="G15" i="34"/>
  <c r="H15" i="11"/>
  <c r="E15" i="25"/>
  <c r="E15" i="36"/>
  <c r="C15" i="25"/>
  <c r="C15" i="54"/>
  <c r="I15"/>
  <c r="G15" i="36"/>
  <c r="C15" i="20"/>
  <c r="I15" i="25"/>
  <c r="E15" i="34"/>
  <c r="C15" i="8"/>
  <c r="F15" i="38656"/>
  <c r="C15" i="7"/>
  <c r="C15" i="38"/>
  <c r="E15" i="37"/>
  <c r="E15" i="35"/>
  <c r="C15" i="27"/>
  <c r="C15" i="76" s="1"/>
  <c r="F15" i="10"/>
  <c r="C15" i="37"/>
  <c r="F15" i="20"/>
  <c r="I15"/>
  <c r="F39" i="7"/>
  <c r="D39"/>
  <c r="G39"/>
  <c r="J45" i="26"/>
  <c r="G45" i="38656"/>
  <c r="E45" i="41"/>
  <c r="D45" i="26"/>
  <c r="J45" i="54"/>
  <c r="J45" i="20"/>
  <c r="I45" i="11"/>
  <c r="D45" i="38661"/>
  <c r="G45" i="10"/>
  <c r="G45" i="38655"/>
  <c r="D45"/>
  <c r="I45" i="19"/>
  <c r="E45" i="16"/>
  <c r="J45" i="38655"/>
  <c r="D45" i="10"/>
  <c r="J45"/>
  <c r="G45" i="54"/>
  <c r="D45" i="27"/>
  <c r="D45" i="76" s="1"/>
  <c r="H12" i="39"/>
  <c r="D12"/>
  <c r="F12"/>
  <c r="D24"/>
  <c r="F24"/>
  <c r="H24"/>
  <c r="C20" i="21"/>
  <c r="K20" s="1"/>
  <c r="E37" i="70"/>
  <c r="B39" i="38659"/>
  <c r="E39" s="1"/>
  <c r="J39" s="1"/>
  <c r="B43" i="76"/>
  <c r="E43" s="1"/>
  <c r="K44" i="3188"/>
  <c r="C44" i="5" s="1"/>
  <c r="D44" s="1"/>
  <c r="E44" i="19" s="1"/>
  <c r="E31" i="76"/>
  <c r="D16" i="19"/>
  <c r="B31"/>
  <c r="B44" i="18"/>
  <c r="D44" i="8"/>
  <c r="D20" i="9"/>
  <c r="B20" i="18"/>
  <c r="E13"/>
  <c r="K14" i="38667"/>
  <c r="F14" i="18"/>
  <c r="D43" i="19"/>
  <c r="C43" i="26"/>
  <c r="B43" i="39"/>
  <c r="B43" i="20"/>
  <c r="B43" i="40"/>
  <c r="D43" s="1"/>
  <c r="E43" i="34"/>
  <c r="E19" i="18"/>
  <c r="F19" i="10"/>
  <c r="K23" i="38667"/>
  <c r="G23" i="18"/>
  <c r="I24" i="10"/>
  <c r="E24" i="18"/>
  <c r="K25" i="38667"/>
  <c r="D18" i="32"/>
  <c r="G15" i="76"/>
  <c r="G43" i="19"/>
  <c r="C43" i="38655"/>
  <c r="F42" i="45"/>
  <c r="F24"/>
  <c r="F15"/>
  <c r="F12"/>
  <c r="F18"/>
  <c r="G21" i="19"/>
  <c r="G32"/>
  <c r="F34" i="8"/>
  <c r="H16" i="18"/>
  <c r="C16" i="82"/>
  <c r="I16" i="10"/>
  <c r="F45" i="19"/>
  <c r="B34" i="43"/>
  <c r="F34" s="1"/>
  <c r="H34" s="1"/>
  <c r="B35" i="18"/>
  <c r="C16" i="11"/>
  <c r="G21" i="10"/>
  <c r="J22"/>
  <c r="F21" i="19"/>
  <c r="F45" i="45"/>
  <c r="C16" i="19"/>
  <c r="F12" i="76"/>
  <c r="J22" i="20"/>
  <c r="J22" i="38655"/>
  <c r="I22" i="19"/>
  <c r="G22" i="10"/>
  <c r="G22" i="38656"/>
  <c r="J22" i="26"/>
  <c r="D22" i="54"/>
  <c r="D22" i="27"/>
  <c r="D22" i="76" s="1"/>
  <c r="J22" i="54"/>
  <c r="D22" i="38661"/>
  <c r="C22" i="41"/>
  <c r="G42" i="18"/>
  <c r="J42" i="26"/>
  <c r="J42" i="54"/>
  <c r="I42" i="11"/>
  <c r="G42" i="38656"/>
  <c r="D42" i="27"/>
  <c r="D42" i="76" s="1"/>
  <c r="G42" i="38667"/>
  <c r="J42" i="38655"/>
  <c r="E42" i="41"/>
  <c r="C42"/>
  <c r="D42" i="38656"/>
  <c r="I42" i="19"/>
  <c r="G42" i="10"/>
  <c r="E25" i="15"/>
  <c r="J25" i="20" s="1"/>
  <c r="D25" i="8"/>
  <c r="E45" i="5"/>
  <c r="F45" s="1"/>
  <c r="I45" i="18"/>
  <c r="F32" i="7"/>
  <c r="D32"/>
  <c r="D12" i="8"/>
  <c r="E12" i="15"/>
  <c r="J32" i="38667"/>
  <c r="D45" i="8"/>
  <c r="E32" i="15"/>
  <c r="G32" i="18" s="1"/>
  <c r="D32" i="8"/>
  <c r="H23" i="7"/>
  <c r="G23"/>
  <c r="I23"/>
  <c r="G21" i="38667"/>
  <c r="D21" i="38661"/>
  <c r="D21" i="10"/>
  <c r="D21" i="38655"/>
  <c r="G21"/>
  <c r="D21" i="27"/>
  <c r="D21" i="76" s="1"/>
  <c r="G21" i="38656"/>
  <c r="D21" i="54"/>
  <c r="G21" i="26"/>
  <c r="J21" i="54"/>
  <c r="C12" i="19"/>
  <c r="H12"/>
  <c r="C12" i="20"/>
  <c r="G12" i="34"/>
  <c r="C12" i="37"/>
  <c r="E12" i="25"/>
  <c r="F12" i="54"/>
  <c r="I12" i="9"/>
  <c r="C12" i="82"/>
  <c r="C12" i="38656"/>
  <c r="H12" i="11"/>
  <c r="C12" i="38655"/>
  <c r="C12" i="25"/>
  <c r="C12" i="36"/>
  <c r="E12" i="11"/>
  <c r="G12" i="36"/>
  <c r="F12" i="8"/>
  <c r="C12" i="11"/>
  <c r="F12" i="10"/>
  <c r="G12" i="38"/>
  <c r="I12" i="38655"/>
  <c r="C12" i="35"/>
  <c r="G12" i="25"/>
  <c r="E12" i="82"/>
  <c r="E12" i="35"/>
  <c r="C14"/>
  <c r="F14" i="54"/>
  <c r="C14" i="19"/>
  <c r="C14" i="10"/>
  <c r="F14" i="76"/>
  <c r="C14" i="38"/>
  <c r="F14" i="38655"/>
  <c r="C14" i="36"/>
  <c r="G14" i="34"/>
  <c r="I14" i="54"/>
  <c r="C14" i="8"/>
  <c r="C14" i="7"/>
  <c r="F14" i="38656"/>
  <c r="H14" i="11"/>
  <c r="E14"/>
  <c r="F14" i="26"/>
  <c r="C14" i="9"/>
  <c r="C14" i="38661"/>
  <c r="F14" i="20"/>
  <c r="C16" i="25"/>
  <c r="G16"/>
  <c r="E16"/>
  <c r="C16" i="7"/>
  <c r="C16" i="8"/>
  <c r="E16" i="82"/>
  <c r="I16" i="25"/>
  <c r="E16" i="11"/>
  <c r="C16" i="36"/>
  <c r="H16" i="11"/>
  <c r="C16" i="38656"/>
  <c r="C16" i="27"/>
  <c r="C16" i="76" s="1"/>
  <c r="I16" i="38655"/>
  <c r="I16" i="26"/>
  <c r="G16" i="34"/>
  <c r="C16" i="38655"/>
  <c r="F16" i="8"/>
  <c r="G16" i="36"/>
  <c r="C16" i="54"/>
  <c r="E16" i="37"/>
  <c r="F16" i="38655"/>
  <c r="C16" i="38"/>
  <c r="E16"/>
  <c r="F16" i="38656"/>
  <c r="E16" i="35"/>
  <c r="C16" i="9"/>
  <c r="F16" i="54"/>
  <c r="C16" i="37"/>
  <c r="I16" i="54"/>
  <c r="E16" i="34"/>
  <c r="C16" i="35"/>
  <c r="C18" i="18"/>
  <c r="I18" i="54"/>
  <c r="I18" i="18"/>
  <c r="C18" i="27"/>
  <c r="C18" i="76" s="1"/>
  <c r="F18" i="8"/>
  <c r="E18" i="35"/>
  <c r="C18" i="19"/>
  <c r="F18" i="38656"/>
  <c r="C18" i="11"/>
  <c r="C18" i="26"/>
  <c r="H18" i="11"/>
  <c r="F18" i="9"/>
  <c r="C18" i="38661"/>
  <c r="G18" i="38"/>
  <c r="E18" i="82"/>
  <c r="C18" i="36"/>
  <c r="G18"/>
  <c r="E18" i="25"/>
  <c r="C18" i="82"/>
  <c r="E18" i="38"/>
  <c r="C18" i="9"/>
  <c r="F18" i="10"/>
  <c r="C20" i="34"/>
  <c r="I20" i="25"/>
  <c r="F20" i="18"/>
  <c r="F20" i="10"/>
  <c r="I20" i="18"/>
  <c r="F20" i="54"/>
  <c r="C20" i="38655"/>
  <c r="I20" i="10"/>
  <c r="C20" i="11"/>
  <c r="H20" i="19"/>
  <c r="H20" i="11"/>
  <c r="I20" i="38655"/>
  <c r="C20" i="54"/>
  <c r="I20"/>
  <c r="C22" i="82"/>
  <c r="C22" i="54"/>
  <c r="C22" i="36"/>
  <c r="C22" i="8"/>
  <c r="I22" i="20"/>
  <c r="F22" i="10"/>
  <c r="G22" i="34"/>
  <c r="G22" i="25"/>
  <c r="H22" i="11"/>
  <c r="C22" i="25"/>
  <c r="I22" i="54"/>
  <c r="E22" i="38"/>
  <c r="E22" i="34"/>
  <c r="I22" i="38655"/>
  <c r="G22" i="36"/>
  <c r="E24"/>
  <c r="G24"/>
  <c r="I24" i="9"/>
  <c r="C24" i="38655"/>
  <c r="E24" i="82"/>
  <c r="E24" i="25"/>
  <c r="F24" i="9"/>
  <c r="F24" i="26"/>
  <c r="F24" i="38656"/>
  <c r="E24" i="35"/>
  <c r="F24" i="10"/>
  <c r="C24"/>
  <c r="H24" i="19"/>
  <c r="G24" i="38"/>
  <c r="I24" i="26"/>
  <c r="F24" i="8"/>
  <c r="F24" i="54"/>
  <c r="I24"/>
  <c r="E24" i="19"/>
  <c r="E24" i="37"/>
  <c r="F24" i="38655"/>
  <c r="C24" i="9"/>
  <c r="G24" i="34"/>
  <c r="C24" i="35"/>
  <c r="G24" i="25"/>
  <c r="C24" i="7"/>
  <c r="E24" i="11"/>
  <c r="C24" i="38656"/>
  <c r="C24" i="8"/>
  <c r="C24" i="38"/>
  <c r="E24" i="34"/>
  <c r="F24" i="5"/>
  <c r="I24" i="20"/>
  <c r="F30" i="9"/>
  <c r="C30" i="27"/>
  <c r="C30" i="76" s="1"/>
  <c r="C30" i="9"/>
  <c r="I30" i="38655"/>
  <c r="E30" i="34"/>
  <c r="C30" i="19"/>
  <c r="E30" i="37"/>
  <c r="C30" i="10"/>
  <c r="C30" i="82"/>
  <c r="E30" i="25"/>
  <c r="F30" i="8"/>
  <c r="C30" i="25"/>
  <c r="E30" i="38"/>
  <c r="C30" i="38655"/>
  <c r="F30" i="54"/>
  <c r="F30" i="5"/>
  <c r="I30" i="18"/>
  <c r="C30" i="35"/>
  <c r="E30" i="36"/>
  <c r="G30" i="38"/>
  <c r="C30"/>
  <c r="G30" i="36"/>
  <c r="F30" i="38656"/>
  <c r="F30" i="38655"/>
  <c r="I30" i="54"/>
  <c r="C30" i="26"/>
  <c r="C30" i="38656"/>
  <c r="C13" i="8"/>
  <c r="F13" i="5"/>
  <c r="C13" i="38655"/>
  <c r="C13" i="25"/>
  <c r="H13" i="19"/>
  <c r="C13" i="18"/>
  <c r="C13" i="38656"/>
  <c r="F13" i="9"/>
  <c r="C13" i="19"/>
  <c r="I39" i="38658"/>
  <c r="K41" i="38667"/>
  <c r="G41" i="18"/>
  <c r="K32" i="38667"/>
  <c r="K30"/>
  <c r="G30" i="18"/>
  <c r="G35" i="76"/>
  <c r="D40" i="18"/>
  <c r="J40" i="38667"/>
  <c r="M40" s="1"/>
  <c r="I40" s="1"/>
  <c r="G43" i="34"/>
  <c r="I43" i="20"/>
  <c r="C43" i="36"/>
  <c r="C43" i="34"/>
  <c r="F43" i="26"/>
  <c r="C43" i="54"/>
  <c r="E43" i="11"/>
  <c r="F43" i="38656"/>
  <c r="C43" i="35"/>
  <c r="C43" i="11"/>
  <c r="I43" i="25"/>
  <c r="F43" i="9"/>
  <c r="E43" i="38"/>
  <c r="I43" i="10"/>
  <c r="H43" i="11"/>
  <c r="C43" i="9"/>
  <c r="C43" i="10"/>
  <c r="E43" i="35"/>
  <c r="F43" i="5"/>
  <c r="J38" i="20"/>
  <c r="I28" i="7"/>
  <c r="G28"/>
  <c r="F28"/>
  <c r="D28"/>
  <c r="C33" i="38"/>
  <c r="E33" i="82"/>
  <c r="C33" i="9"/>
  <c r="F33" i="18"/>
  <c r="E33" i="37"/>
  <c r="C33" i="11"/>
  <c r="F33" i="8"/>
  <c r="C33" i="7"/>
  <c r="E33" i="25"/>
  <c r="C33" i="36"/>
  <c r="C33" i="38655"/>
  <c r="G33" i="25"/>
  <c r="E33" i="34"/>
  <c r="F33" i="76"/>
  <c r="F43" i="38659"/>
  <c r="G43" s="1"/>
  <c r="K43" s="1"/>
  <c r="C51" i="20"/>
  <c r="D30" i="18"/>
  <c r="J30" i="38667"/>
  <c r="D38" i="38655"/>
  <c r="D38" i="26"/>
  <c r="D13" i="8"/>
  <c r="G37" i="18"/>
  <c r="C39" i="19"/>
  <c r="B45" i="43"/>
  <c r="F45" s="1"/>
  <c r="H45" s="1"/>
  <c r="G38" i="76"/>
  <c r="D45" i="38656"/>
  <c r="D45" i="54"/>
  <c r="I25" i="21"/>
  <c r="K26" i="38667"/>
  <c r="M26" s="1"/>
  <c r="I26" s="1"/>
  <c r="G30" i="38656"/>
  <c r="G30" i="10"/>
  <c r="G30" i="38655"/>
  <c r="D30" i="38661"/>
  <c r="G30" i="38667"/>
  <c r="C30" i="41"/>
  <c r="I30" i="11"/>
  <c r="E30" i="16"/>
  <c r="D30" i="38655"/>
  <c r="J30" i="10"/>
  <c r="G14" i="38656"/>
  <c r="G14" i="38667"/>
  <c r="J14" i="54"/>
  <c r="J14" i="38655"/>
  <c r="G14" i="54"/>
  <c r="G14" i="76"/>
  <c r="L17" i="38667"/>
  <c r="E34" i="25"/>
  <c r="C34" i="37"/>
  <c r="C34" i="8"/>
  <c r="C34" i="38655"/>
  <c r="C34" i="10"/>
  <c r="C34" i="9"/>
  <c r="C34" i="34"/>
  <c r="C34" i="38661"/>
  <c r="F34" i="9"/>
  <c r="I34" i="10"/>
  <c r="G34" i="38"/>
  <c r="F34" i="54"/>
  <c r="E34" i="36"/>
  <c r="C34" i="26"/>
  <c r="I34" i="38655"/>
  <c r="C26" i="18"/>
  <c r="C26" i="7"/>
  <c r="I26" i="38655"/>
  <c r="F36" i="26"/>
  <c r="G36" i="34"/>
  <c r="I36" i="54"/>
  <c r="C36" i="25"/>
  <c r="H36" i="11"/>
  <c r="F36" i="38655"/>
  <c r="C36" i="54"/>
  <c r="E36" i="25"/>
  <c r="G36" i="36"/>
  <c r="F36" i="10"/>
  <c r="C36"/>
  <c r="I36" i="38655"/>
  <c r="G36" i="25"/>
  <c r="E36" i="36"/>
  <c r="E36" i="11"/>
  <c r="C36" i="8"/>
  <c r="C36" i="38"/>
  <c r="E46" i="82"/>
  <c r="C45" i="41"/>
  <c r="D45"/>
  <c r="F30" i="38659"/>
  <c r="G30" s="1"/>
  <c r="K30" s="1"/>
  <c r="D31" i="8"/>
  <c r="E31" i="15"/>
  <c r="C17" i="21"/>
  <c r="I37" i="7"/>
  <c r="G37"/>
  <c r="H37"/>
  <c r="F36" i="39"/>
  <c r="D36"/>
  <c r="F21" i="41"/>
  <c r="E21" i="20"/>
  <c r="B44" i="41"/>
  <c r="E44" i="20"/>
  <c r="D12" i="41"/>
  <c r="E26" i="38658"/>
  <c r="G26" s="1"/>
  <c r="C24" i="36"/>
  <c r="G19" i="19"/>
  <c r="G19" i="38655"/>
  <c r="F22" i="41"/>
  <c r="G22" s="1"/>
  <c r="E22" i="20"/>
  <c r="E38" i="38658"/>
  <c r="G38" s="1"/>
  <c r="E36" i="20"/>
  <c r="C36" i="36"/>
  <c r="B44" i="20"/>
  <c r="D20" i="41"/>
  <c r="C20"/>
  <c r="F30" i="20"/>
  <c r="G30"/>
  <c r="B31" i="41"/>
  <c r="F24" i="52"/>
  <c r="F39"/>
  <c r="G23" i="19"/>
  <c r="D23" i="38655"/>
  <c r="I45" i="7"/>
  <c r="F45"/>
  <c r="D45"/>
  <c r="H45"/>
  <c r="G14" i="19"/>
  <c r="D14" i="38655"/>
  <c r="B42" i="76"/>
  <c r="E42" s="1"/>
  <c r="D42" i="19"/>
  <c r="B21" i="39"/>
  <c r="B21" i="40"/>
  <c r="D21" s="1"/>
  <c r="B24"/>
  <c r="D24" s="1"/>
  <c r="B24" i="20"/>
  <c r="C24" i="34"/>
  <c r="B33" i="39"/>
  <c r="B33" i="40"/>
  <c r="D33" s="1"/>
  <c r="B34"/>
  <c r="D34" s="1"/>
  <c r="B34" i="39"/>
  <c r="E34" i="34"/>
  <c r="B35" i="40"/>
  <c r="D35" s="1"/>
  <c r="B35" i="39"/>
  <c r="B36" i="20"/>
  <c r="B36" i="40"/>
  <c r="D36" s="1"/>
  <c r="E36" i="35"/>
  <c r="H41" i="39"/>
  <c r="D41"/>
  <c r="F41"/>
  <c r="B44" i="40"/>
  <c r="D44" s="1"/>
  <c r="I28" i="18"/>
  <c r="E20" i="76"/>
  <c r="D20" i="54"/>
  <c r="F19" i="39"/>
  <c r="D19"/>
  <c r="C16" i="26"/>
  <c r="D30" i="19"/>
  <c r="J30" i="26"/>
  <c r="D23" i="41"/>
  <c r="C23"/>
  <c r="B14" i="39"/>
  <c r="B14" i="40"/>
  <c r="B14" i="20"/>
  <c r="H14" i="18"/>
  <c r="H12" i="20"/>
  <c r="E21" i="33"/>
  <c r="K15" i="21"/>
  <c r="E20" i="5"/>
  <c r="F20" s="1"/>
  <c r="D45" i="20"/>
  <c r="E38"/>
  <c r="F23" i="45"/>
  <c r="F21"/>
  <c r="B21" i="20"/>
  <c r="B41"/>
  <c r="C34" i="82"/>
  <c r="K35" i="3188"/>
  <c r="C35" i="5" s="1"/>
  <c r="D35" s="1"/>
  <c r="F35" i="76" s="1"/>
  <c r="K31" i="3188"/>
  <c r="C31" i="5" s="1"/>
  <c r="D31" s="1"/>
  <c r="K27" i="3188"/>
  <c r="I18" i="20"/>
  <c r="F13" i="7"/>
  <c r="I13"/>
  <c r="D13"/>
  <c r="F13" i="21"/>
  <c r="E51" i="41"/>
  <c r="D51" i="38655"/>
  <c r="J51" i="26"/>
  <c r="G51" i="10"/>
  <c r="E27" i="15"/>
  <c r="G27" i="20" s="1"/>
  <c r="D27" i="8"/>
  <c r="F17" i="39"/>
  <c r="H17"/>
  <c r="B17" i="38659"/>
  <c r="E15" i="70"/>
  <c r="B29" i="38659"/>
  <c r="E29" s="1"/>
  <c r="E27" i="70"/>
  <c r="E35"/>
  <c r="B37" i="38659"/>
  <c r="E37" s="1"/>
  <c r="J37" s="1"/>
  <c r="B46" i="76"/>
  <c r="E46" s="1"/>
  <c r="D46" i="19"/>
  <c r="B35" i="41"/>
  <c r="E35" i="20"/>
  <c r="E28" i="76"/>
  <c r="E16" i="18"/>
  <c r="F16" i="10"/>
  <c r="D42" i="9"/>
  <c r="B42" i="18"/>
  <c r="D50" i="9"/>
  <c r="B50" i="18"/>
  <c r="B16"/>
  <c r="F16" i="9"/>
  <c r="D12"/>
  <c r="B12" i="18"/>
  <c r="E14" i="38658"/>
  <c r="C17" i="15"/>
  <c r="D17" i="9"/>
  <c r="J17"/>
  <c r="I36" i="20"/>
  <c r="G50"/>
  <c r="F13" i="45"/>
  <c r="F19"/>
  <c r="E45" i="76"/>
  <c r="E27"/>
  <c r="B19" i="18"/>
  <c r="B39"/>
  <c r="B42" i="20"/>
  <c r="B37" i="18"/>
  <c r="E30" i="76"/>
  <c r="F31" i="45"/>
  <c r="G46" i="9"/>
  <c r="C46" i="15"/>
  <c r="D46" i="18" s="1"/>
  <c r="H30" i="7"/>
  <c r="F30"/>
  <c r="E15" i="18"/>
  <c r="D43" i="32"/>
  <c r="G15" i="19"/>
  <c r="E24" i="20"/>
  <c r="B35" i="19"/>
  <c r="B36" i="18"/>
  <c r="B25"/>
  <c r="E22"/>
  <c r="E42" i="20"/>
  <c r="G44" i="19"/>
  <c r="B26" i="20"/>
  <c r="G43" i="47"/>
  <c r="G42"/>
  <c r="G40"/>
  <c r="F36" i="52"/>
  <c r="F33"/>
  <c r="G24" i="47"/>
  <c r="F19" i="52"/>
  <c r="G18" i="47"/>
  <c r="F17" i="52"/>
  <c r="G34" i="8"/>
  <c r="G33" i="38663"/>
  <c r="G28"/>
  <c r="D25" i="32"/>
  <c r="G41" i="19"/>
  <c r="E45" i="20"/>
  <c r="H34" i="18"/>
  <c r="H23"/>
  <c r="D15" i="19"/>
  <c r="B38" i="20"/>
  <c r="B50" i="40"/>
  <c r="D40" i="32"/>
  <c r="D38"/>
  <c r="D26"/>
  <c r="D23"/>
  <c r="E17" i="33"/>
  <c r="D19" i="32"/>
  <c r="E24" i="33"/>
  <c r="H26" i="39"/>
  <c r="F28"/>
  <c r="C16" i="15"/>
  <c r="C28"/>
  <c r="J36" i="54" l="1"/>
  <c r="G36" i="38656"/>
  <c r="J36" i="38655"/>
  <c r="H31" i="7"/>
  <c r="I45" i="38658"/>
  <c r="F45" i="38659"/>
  <c r="G45" s="1"/>
  <c r="K45" s="1"/>
  <c r="I48" i="38658"/>
  <c r="F48" i="38659"/>
  <c r="G48" s="1"/>
  <c r="K48" s="1"/>
  <c r="D12" i="6"/>
  <c r="E12" i="38667"/>
  <c r="I14" i="11"/>
  <c r="E14" i="41"/>
  <c r="D24" i="10"/>
  <c r="F46" i="18"/>
  <c r="F34"/>
  <c r="H34" i="19"/>
  <c r="E34" i="35"/>
  <c r="I34" i="54"/>
  <c r="C34" i="38"/>
  <c r="F34" i="26"/>
  <c r="I34"/>
  <c r="E34" i="82"/>
  <c r="F34" i="38656"/>
  <c r="C34"/>
  <c r="E34" i="38"/>
  <c r="C34" i="36"/>
  <c r="F34" i="38655"/>
  <c r="I34" i="9"/>
  <c r="G34" i="36"/>
  <c r="J14" i="10"/>
  <c r="E14" i="16"/>
  <c r="D14" i="27"/>
  <c r="D14" i="76" s="1"/>
  <c r="J14" i="26"/>
  <c r="D14"/>
  <c r="F14" i="11"/>
  <c r="C34" i="20"/>
  <c r="G14" i="18"/>
  <c r="G24" i="38667"/>
  <c r="F14" i="7"/>
  <c r="F33"/>
  <c r="F20"/>
  <c r="C34"/>
  <c r="C34" i="54"/>
  <c r="E34" i="11"/>
  <c r="F34" i="10"/>
  <c r="G34" i="25"/>
  <c r="I20" i="20"/>
  <c r="J14"/>
  <c r="D14" i="54"/>
  <c r="D14" i="38656"/>
  <c r="G14" i="26"/>
  <c r="G14" i="38655"/>
  <c r="G14" i="20"/>
  <c r="G21" i="76"/>
  <c r="E12" i="6"/>
  <c r="C12" i="38648" s="1"/>
  <c r="I42" i="20"/>
  <c r="D31" i="7"/>
  <c r="I33"/>
  <c r="E34" i="19"/>
  <c r="H20" i="7"/>
  <c r="F33" i="38659"/>
  <c r="G33" s="1"/>
  <c r="K33" s="1"/>
  <c r="F34" i="20"/>
  <c r="C34" i="11"/>
  <c r="C34" i="27"/>
  <c r="C34" i="76" s="1"/>
  <c r="C34" i="25"/>
  <c r="C34" i="18"/>
  <c r="E34" i="37"/>
  <c r="H34" i="11"/>
  <c r="I48" i="38666"/>
  <c r="I35" i="19"/>
  <c r="F34" i="38659"/>
  <c r="G34" s="1"/>
  <c r="K34" s="1"/>
  <c r="I34" i="38658"/>
  <c r="I15"/>
  <c r="F15" i="38659"/>
  <c r="G15" s="1"/>
  <c r="K15" s="1"/>
  <c r="G39"/>
  <c r="K39" s="1"/>
  <c r="F18"/>
  <c r="G18" s="1"/>
  <c r="K18" s="1"/>
  <c r="I18" i="38658"/>
  <c r="F52" i="38659"/>
  <c r="G52" s="1"/>
  <c r="K52" s="1"/>
  <c r="I52" i="38658"/>
  <c r="F50" i="22"/>
  <c r="D24" i="38656"/>
  <c r="G24" i="10"/>
  <c r="I46" i="18"/>
  <c r="F39" i="20"/>
  <c r="C32" i="18"/>
  <c r="I46" i="38658"/>
  <c r="C39" i="27"/>
  <c r="C39" i="76" s="1"/>
  <c r="C39" i="7"/>
  <c r="E39" i="37"/>
  <c r="E39" i="11"/>
  <c r="C39" i="54"/>
  <c r="C39" i="38"/>
  <c r="E39" i="36"/>
  <c r="F39" i="38656"/>
  <c r="C39" i="35"/>
  <c r="E39" i="34"/>
  <c r="C39" i="36"/>
  <c r="H42" i="19"/>
  <c r="C24" i="41"/>
  <c r="D24" i="54"/>
  <c r="G43" i="20"/>
  <c r="D33" i="7"/>
  <c r="G33"/>
  <c r="C44" i="8"/>
  <c r="D25" i="6"/>
  <c r="E25" i="38667"/>
  <c r="I32" i="45"/>
  <c r="I32" i="43" s="1"/>
  <c r="B32" i="42" s="1"/>
  <c r="I30" i="45"/>
  <c r="I30" i="43" s="1"/>
  <c r="B30" i="42" s="1"/>
  <c r="I27" i="45"/>
  <c r="I27" i="43" s="1"/>
  <c r="B27" i="42" s="1"/>
  <c r="I35" i="45"/>
  <c r="I35" i="43" s="1"/>
  <c r="B35" i="42" s="1"/>
  <c r="B36" i="43"/>
  <c r="F36" s="1"/>
  <c r="H36" s="1"/>
  <c r="I36" i="45" s="1"/>
  <c r="I36" i="43" s="1"/>
  <c r="B36" i="42" s="1"/>
  <c r="B42" i="43"/>
  <c r="F42" s="1"/>
  <c r="H42" s="1"/>
  <c r="I42" i="45" s="1"/>
  <c r="I42" i="43" s="1"/>
  <c r="B42" i="42" s="1"/>
  <c r="B40" i="43"/>
  <c r="F40" s="1"/>
  <c r="H40" s="1"/>
  <c r="I40" i="45" s="1"/>
  <c r="B43" i="43"/>
  <c r="F43" s="1"/>
  <c r="H43" s="1"/>
  <c r="I43" i="45" s="1"/>
  <c r="B33" i="43"/>
  <c r="F33" s="1"/>
  <c r="H33" s="1"/>
  <c r="F51" i="5"/>
  <c r="D51" i="6" s="1"/>
  <c r="E51" s="1"/>
  <c r="C51" i="38648" s="1"/>
  <c r="E18" i="38667"/>
  <c r="F42" i="38659"/>
  <c r="G42" s="1"/>
  <c r="K42" s="1"/>
  <c r="B39" i="43"/>
  <c r="F39" s="1"/>
  <c r="H39" s="1"/>
  <c r="I39" i="45" s="1"/>
  <c r="B19" i="43"/>
  <c r="F19" s="1"/>
  <c r="H19" s="1"/>
  <c r="I19" i="45" s="1"/>
  <c r="G19" s="1"/>
  <c r="F39" i="5"/>
  <c r="I41" i="45"/>
  <c r="C41" s="1"/>
  <c r="G41" i="42" s="1"/>
  <c r="G27" i="45"/>
  <c r="I39" i="20"/>
  <c r="I25" i="45"/>
  <c r="I29" i="38658"/>
  <c r="F29" i="38659"/>
  <c r="I24" i="19"/>
  <c r="D24" i="38661"/>
  <c r="G24" i="38656"/>
  <c r="D24" i="38655"/>
  <c r="B50" i="22"/>
  <c r="C44" i="34"/>
  <c r="C12" i="41"/>
  <c r="I26" i="20"/>
  <c r="G12"/>
  <c r="E22" i="19"/>
  <c r="J24" i="10"/>
  <c r="J21" i="23"/>
  <c r="F40" i="20"/>
  <c r="E40" i="19"/>
  <c r="I16" i="45"/>
  <c r="I16" i="43" s="1"/>
  <c r="B16" i="42" s="1"/>
  <c r="D24" i="18"/>
  <c r="D24" i="27"/>
  <c r="D24" i="76" s="1"/>
  <c r="G24"/>
  <c r="G24" i="54"/>
  <c r="I22" i="45"/>
  <c r="F26" i="7"/>
  <c r="H26"/>
  <c r="I26"/>
  <c r="G26"/>
  <c r="D26"/>
  <c r="K45" i="38667"/>
  <c r="F45" i="18"/>
  <c r="E36" i="5"/>
  <c r="F36" s="1"/>
  <c r="E33"/>
  <c r="F33" s="1"/>
  <c r="I33" i="18"/>
  <c r="G27" i="7"/>
  <c r="H27"/>
  <c r="I27"/>
  <c r="F27"/>
  <c r="D27"/>
  <c r="H44"/>
  <c r="I44"/>
  <c r="D44"/>
  <c r="G44"/>
  <c r="F44"/>
  <c r="D41" i="26"/>
  <c r="G41" i="10"/>
  <c r="G41" i="38656"/>
  <c r="G41" i="38667"/>
  <c r="C41" i="41"/>
  <c r="D41" i="38655"/>
  <c r="J41" i="10"/>
  <c r="D41" i="27"/>
  <c r="D41" i="76" s="1"/>
  <c r="F41" i="19"/>
  <c r="G42" i="7"/>
  <c r="H42"/>
  <c r="F42"/>
  <c r="I42"/>
  <c r="D35" i="38656"/>
  <c r="J35" i="26"/>
  <c r="G35" i="38667"/>
  <c r="J35" i="54"/>
  <c r="G35" i="26"/>
  <c r="G35" i="38655"/>
  <c r="D35" i="38661"/>
  <c r="D35" i="38655"/>
  <c r="E35" i="16"/>
  <c r="D35" i="26"/>
  <c r="F35" i="19"/>
  <c r="D35" i="54"/>
  <c r="D35" i="27"/>
  <c r="D35" i="76" s="1"/>
  <c r="G35" i="38656"/>
  <c r="J35" i="10"/>
  <c r="F35" i="11"/>
  <c r="I35"/>
  <c r="D35" i="10"/>
  <c r="G35"/>
  <c r="E35" i="41"/>
  <c r="G35" i="54"/>
  <c r="J35" i="38655"/>
  <c r="J35" i="20"/>
  <c r="D42" i="7"/>
  <c r="D38"/>
  <c r="F38"/>
  <c r="I38"/>
  <c r="H38"/>
  <c r="G38"/>
  <c r="D19"/>
  <c r="H19"/>
  <c r="I19"/>
  <c r="F19"/>
  <c r="G19"/>
  <c r="F15"/>
  <c r="G15"/>
  <c r="D15"/>
  <c r="I15"/>
  <c r="H15"/>
  <c r="F32" i="38659"/>
  <c r="G32" s="1"/>
  <c r="K32" s="1"/>
  <c r="I32" i="38658"/>
  <c r="C18" i="20"/>
  <c r="D18"/>
  <c r="K36" i="38667"/>
  <c r="G36" i="18"/>
  <c r="G20" i="45"/>
  <c r="G20" i="44"/>
  <c r="E20" i="42" s="1"/>
  <c r="C20" i="45"/>
  <c r="G20" i="42" s="1"/>
  <c r="E20" i="44"/>
  <c r="D20" i="42" s="1"/>
  <c r="E20" i="45"/>
  <c r="H20" i="42" s="1"/>
  <c r="I20" i="44"/>
  <c r="F20" i="42" s="1"/>
  <c r="C20" i="44"/>
  <c r="C20" i="42" s="1"/>
  <c r="I51" i="18"/>
  <c r="D24" i="8"/>
  <c r="E33" i="15"/>
  <c r="D33" i="18"/>
  <c r="D33" i="8"/>
  <c r="D24" i="26"/>
  <c r="E24" i="41"/>
  <c r="G24" i="26"/>
  <c r="J24" i="54"/>
  <c r="I24" i="11"/>
  <c r="E24" i="16"/>
  <c r="G24" i="38655"/>
  <c r="F24" i="11"/>
  <c r="J24" i="38655"/>
  <c r="F24" i="19"/>
  <c r="G17" i="7"/>
  <c r="H17"/>
  <c r="I17"/>
  <c r="F17"/>
  <c r="D17"/>
  <c r="H14"/>
  <c r="I14"/>
  <c r="G14"/>
  <c r="I37" i="38658"/>
  <c r="F37" i="38659"/>
  <c r="I51" i="45"/>
  <c r="G51" s="1"/>
  <c r="E26" i="38667"/>
  <c r="D26" i="6"/>
  <c r="E26" s="1"/>
  <c r="C26" i="38648" s="1"/>
  <c r="E22" i="38667"/>
  <c r="D22" i="6"/>
  <c r="E22" s="1"/>
  <c r="C22" i="38648" s="1"/>
  <c r="I50" i="45"/>
  <c r="I50" i="43" s="1"/>
  <c r="B50" i="42" s="1"/>
  <c r="F27" i="38659"/>
  <c r="G27" s="1"/>
  <c r="K27" s="1"/>
  <c r="I27" i="38658"/>
  <c r="I37" i="43"/>
  <c r="B37" i="42" s="1"/>
  <c r="G37" i="44"/>
  <c r="E37" i="42" s="1"/>
  <c r="G21" i="38658"/>
  <c r="F50"/>
  <c r="I41"/>
  <c r="F41" i="38659"/>
  <c r="G41" s="1"/>
  <c r="K41" s="1"/>
  <c r="H51" i="7"/>
  <c r="F51"/>
  <c r="G51"/>
  <c r="I51"/>
  <c r="D51"/>
  <c r="C38" i="38655"/>
  <c r="F38"/>
  <c r="C38" i="38661"/>
  <c r="G38" i="38"/>
  <c r="C38" i="34"/>
  <c r="C38" i="38"/>
  <c r="I38" i="54"/>
  <c r="C38" i="11"/>
  <c r="F38" i="8"/>
  <c r="C38" i="7"/>
  <c r="F38" i="54"/>
  <c r="I38" i="18"/>
  <c r="E38" i="19"/>
  <c r="F38" i="76"/>
  <c r="F38" i="9"/>
  <c r="E38" i="11"/>
  <c r="C38" i="26"/>
  <c r="C38" i="9"/>
  <c r="F38" i="38656"/>
  <c r="I38" i="25"/>
  <c r="G38" i="36"/>
  <c r="E38" i="82"/>
  <c r="E38" i="34"/>
  <c r="I38" i="10"/>
  <c r="C38"/>
  <c r="G38" i="25"/>
  <c r="E38" i="37"/>
  <c r="C38" i="54"/>
  <c r="F38" i="26"/>
  <c r="H38" i="11"/>
  <c r="E38" i="25"/>
  <c r="C38" i="82"/>
  <c r="C38" i="35"/>
  <c r="G38" i="34"/>
  <c r="C38" i="37"/>
  <c r="E38" i="36"/>
  <c r="C38"/>
  <c r="C38" i="25"/>
  <c r="I38" i="38655"/>
  <c r="C38" i="27"/>
  <c r="C38" i="76" s="1"/>
  <c r="F38" i="18"/>
  <c r="H38" i="19"/>
  <c r="E38" i="35"/>
  <c r="I38" i="9"/>
  <c r="I38" i="26"/>
  <c r="E38" i="38"/>
  <c r="F38" i="10"/>
  <c r="C38" i="8"/>
  <c r="C38" i="38656"/>
  <c r="K43" i="38667"/>
  <c r="G43" i="18"/>
  <c r="H37" i="11"/>
  <c r="G37" i="25"/>
  <c r="G37" i="36"/>
  <c r="C37" i="38655"/>
  <c r="C37" i="26"/>
  <c r="C37" i="37"/>
  <c r="I37" i="26"/>
  <c r="E37" i="36"/>
  <c r="E37" i="25"/>
  <c r="C37" i="38656"/>
  <c r="C37" i="54"/>
  <c r="F37" i="8"/>
  <c r="F37" i="26"/>
  <c r="F37" i="38656"/>
  <c r="E37" i="35"/>
  <c r="C37" i="11"/>
  <c r="H37" i="19"/>
  <c r="F37" i="5"/>
  <c r="F37" i="76"/>
  <c r="I37" i="38655"/>
  <c r="C37" i="9"/>
  <c r="C37" i="7"/>
  <c r="C37" i="34"/>
  <c r="F37" i="38655"/>
  <c r="C37" i="82"/>
  <c r="E37" i="19"/>
  <c r="I37" i="20"/>
  <c r="F37" i="18"/>
  <c r="F37" i="9"/>
  <c r="I37"/>
  <c r="G37" i="38"/>
  <c r="E37" i="11"/>
  <c r="E37" i="38"/>
  <c r="I37" i="54"/>
  <c r="C37" i="36"/>
  <c r="C37" i="38"/>
  <c r="C37" i="27"/>
  <c r="C37" i="76" s="1"/>
  <c r="E37" i="82"/>
  <c r="C37" i="19"/>
  <c r="C37" i="8"/>
  <c r="I37" i="18"/>
  <c r="I37" i="25"/>
  <c r="I37" i="10"/>
  <c r="F37"/>
  <c r="C37"/>
  <c r="C37" i="20"/>
  <c r="F37"/>
  <c r="E37" i="37"/>
  <c r="E37" i="34"/>
  <c r="C37" i="35"/>
  <c r="C37" i="25"/>
  <c r="G37" i="34"/>
  <c r="F37" i="54"/>
  <c r="C37" i="38661"/>
  <c r="F19" i="38659"/>
  <c r="G19" s="1"/>
  <c r="K19" s="1"/>
  <c r="I19" i="38658"/>
  <c r="E21" i="5"/>
  <c r="F21" s="1"/>
  <c r="E21" i="38667" s="1"/>
  <c r="I50" i="18"/>
  <c r="C50" i="19"/>
  <c r="F23" i="43"/>
  <c r="H23" s="1"/>
  <c r="C38" i="19"/>
  <c r="I36" i="38658"/>
  <c r="F36" i="38659"/>
  <c r="G36" s="1"/>
  <c r="K36" s="1"/>
  <c r="F25" i="7"/>
  <c r="H25"/>
  <c r="I25"/>
  <c r="G25"/>
  <c r="D25"/>
  <c r="F32" i="18"/>
  <c r="E32" i="19"/>
  <c r="C32" i="35"/>
  <c r="G32" i="34"/>
  <c r="E32" i="35"/>
  <c r="I32" i="9"/>
  <c r="C32" i="8"/>
  <c r="I32" i="26"/>
  <c r="C32" i="38656"/>
  <c r="F32" i="38655"/>
  <c r="E32" i="36"/>
  <c r="F32" i="8"/>
  <c r="C32" i="25"/>
  <c r="I32" i="54"/>
  <c r="C32" i="19"/>
  <c r="C32" i="36"/>
  <c r="C32" i="34"/>
  <c r="F32" i="54"/>
  <c r="I32" i="25"/>
  <c r="C32" i="7"/>
  <c r="H32" i="11"/>
  <c r="F32" i="26"/>
  <c r="C32"/>
  <c r="C32" i="54"/>
  <c r="E32" i="38"/>
  <c r="C32" i="20"/>
  <c r="I32"/>
  <c r="F32" i="76"/>
  <c r="F32" i="38656"/>
  <c r="C32" i="38661"/>
  <c r="C32" i="11"/>
  <c r="E32" i="34"/>
  <c r="C32" i="38655"/>
  <c r="E32" i="11"/>
  <c r="I32" i="10"/>
  <c r="E32" i="25"/>
  <c r="E32" i="37"/>
  <c r="C32" i="10"/>
  <c r="C32" i="82"/>
  <c r="C32" i="37"/>
  <c r="I32" i="18"/>
  <c r="C32" i="38"/>
  <c r="G32"/>
  <c r="G32" i="25"/>
  <c r="G32" i="36"/>
  <c r="E32" i="82"/>
  <c r="F32" i="9"/>
  <c r="C32" i="27"/>
  <c r="C32" i="76" s="1"/>
  <c r="C32" i="9"/>
  <c r="F32" i="10"/>
  <c r="F32" i="20"/>
  <c r="F35" i="38659"/>
  <c r="G35" s="1"/>
  <c r="K35" s="1"/>
  <c r="I35" i="38658"/>
  <c r="I39" i="38655"/>
  <c r="F39" i="54"/>
  <c r="E39" i="25"/>
  <c r="G39" i="38"/>
  <c r="G39" i="36"/>
  <c r="F39" i="9"/>
  <c r="C39" i="38656"/>
  <c r="C39" i="9"/>
  <c r="G39" i="34"/>
  <c r="C39" i="10"/>
  <c r="G39" i="25"/>
  <c r="C39" i="11"/>
  <c r="I39" i="26"/>
  <c r="F39" i="10"/>
  <c r="I39" i="25"/>
  <c r="F39" i="8"/>
  <c r="E39" i="82"/>
  <c r="C39" i="34"/>
  <c r="E39" i="38"/>
  <c r="C39" i="25"/>
  <c r="C39" i="38661"/>
  <c r="C39" i="37"/>
  <c r="C39" i="8"/>
  <c r="H39" i="19"/>
  <c r="F39" i="18"/>
  <c r="J46" i="38667"/>
  <c r="M46" s="1"/>
  <c r="I46" s="1"/>
  <c r="C46" i="18"/>
  <c r="C51" i="38661"/>
  <c r="G51" i="38"/>
  <c r="C51"/>
  <c r="F51" i="8"/>
  <c r="F51" i="38656"/>
  <c r="E51" i="34"/>
  <c r="C51" i="27"/>
  <c r="C51" i="76" s="1"/>
  <c r="E51" i="38"/>
  <c r="I51" i="38655"/>
  <c r="G51" i="36"/>
  <c r="F51" i="20"/>
  <c r="C51" i="9"/>
  <c r="E51" i="37"/>
  <c r="E51" i="35"/>
  <c r="G51" i="34"/>
  <c r="F51" i="9"/>
  <c r="E51" i="11"/>
  <c r="C51" i="8"/>
  <c r="H51" i="11"/>
  <c r="C51" i="37"/>
  <c r="E51" i="25"/>
  <c r="C51" i="54"/>
  <c r="C51" i="82"/>
  <c r="C51" i="10"/>
  <c r="I51"/>
  <c r="C51" i="26"/>
  <c r="I51" i="9"/>
  <c r="E51" i="82"/>
  <c r="H51" i="19"/>
  <c r="C51" i="18"/>
  <c r="F51" i="76"/>
  <c r="I51" i="26"/>
  <c r="I51" i="54"/>
  <c r="C51" i="11"/>
  <c r="C51" i="38656"/>
  <c r="I51" i="20"/>
  <c r="C51" i="7"/>
  <c r="C51" i="34"/>
  <c r="C51" i="38655"/>
  <c r="C51" i="35"/>
  <c r="F51" i="38655"/>
  <c r="C51" i="25"/>
  <c r="I51"/>
  <c r="C51" i="36"/>
  <c r="F51" i="18"/>
  <c r="F51" i="54"/>
  <c r="F51" i="26"/>
  <c r="G51" i="25"/>
  <c r="E51" i="36"/>
  <c r="C51" i="19"/>
  <c r="E51"/>
  <c r="F51" i="10"/>
  <c r="J45" i="38667"/>
  <c r="C45" i="18"/>
  <c r="C50" i="38"/>
  <c r="E50"/>
  <c r="E50" i="34"/>
  <c r="E50" i="35"/>
  <c r="I50" i="25"/>
  <c r="C50" i="8"/>
  <c r="C50" i="9"/>
  <c r="F50" i="38655"/>
  <c r="F50" i="26"/>
  <c r="E50" i="25"/>
  <c r="I50" i="26"/>
  <c r="C50" i="27"/>
  <c r="C50" i="76" s="1"/>
  <c r="I50" i="38655"/>
  <c r="C50"/>
  <c r="G50" i="38"/>
  <c r="H50" i="19"/>
  <c r="F50" i="18"/>
  <c r="F50" i="76"/>
  <c r="G50" i="25"/>
  <c r="E50" i="37"/>
  <c r="C50" i="26"/>
  <c r="I50" i="10"/>
  <c r="E50" i="11"/>
  <c r="E50" i="36"/>
  <c r="C50" i="34"/>
  <c r="C50" i="37"/>
  <c r="F50" i="10"/>
  <c r="E50" i="82"/>
  <c r="E50" i="19"/>
  <c r="H50" i="11"/>
  <c r="C50" i="36"/>
  <c r="F50" i="8"/>
  <c r="I50" i="54"/>
  <c r="C50" i="25"/>
  <c r="C50" i="11"/>
  <c r="F50" i="9"/>
  <c r="C50" i="7"/>
  <c r="G50" i="36"/>
  <c r="C50" i="54"/>
  <c r="G50" i="34"/>
  <c r="C50" i="10"/>
  <c r="C50" i="38661"/>
  <c r="F50" i="20"/>
  <c r="F50" i="38656"/>
  <c r="C50" i="82"/>
  <c r="C50" i="35"/>
  <c r="C50" i="38656"/>
  <c r="I50" i="20"/>
  <c r="I50" i="9"/>
  <c r="F50" i="54"/>
  <c r="E17" i="38667"/>
  <c r="D17" i="6"/>
  <c r="I16" i="38648"/>
  <c r="J15" i="38651"/>
  <c r="C50" i="20"/>
  <c r="E39" i="19"/>
  <c r="F32" i="5"/>
  <c r="F38"/>
  <c r="I41" i="18"/>
  <c r="E41" i="5"/>
  <c r="F41" s="1"/>
  <c r="K18" i="38667"/>
  <c r="G18" i="18"/>
  <c r="F39" i="76"/>
  <c r="G39"/>
  <c r="L25" i="38667"/>
  <c r="H25" i="19"/>
  <c r="D46" i="6"/>
  <c r="E46" i="38667"/>
  <c r="E16" i="21"/>
  <c r="K16" s="1"/>
  <c r="H50" i="22"/>
  <c r="J15" i="38667"/>
  <c r="D15" i="18"/>
  <c r="C15"/>
  <c r="F36" i="76"/>
  <c r="G36"/>
  <c r="D38" i="18"/>
  <c r="J38" i="38667"/>
  <c r="M38" s="1"/>
  <c r="I38" s="1"/>
  <c r="I16" i="44"/>
  <c r="F16" i="42" s="1"/>
  <c r="G16" i="44"/>
  <c r="E16" i="42" s="1"/>
  <c r="E16" i="44"/>
  <c r="D16" i="42" s="1"/>
  <c r="D21" i="6"/>
  <c r="E21" s="1"/>
  <c r="C21" i="38648" s="1"/>
  <c r="D41" i="18"/>
  <c r="J41" i="38667"/>
  <c r="C41" i="18"/>
  <c r="G22" i="76"/>
  <c r="F22"/>
  <c r="J18" i="38667"/>
  <c r="D18" i="18"/>
  <c r="L30" i="38667"/>
  <c r="M30" s="1"/>
  <c r="I30" s="1"/>
  <c r="I30" i="19"/>
  <c r="H30"/>
  <c r="I47" i="38658"/>
  <c r="F47" i="38659"/>
  <c r="G47" s="1"/>
  <c r="K47" s="1"/>
  <c r="D14" i="18"/>
  <c r="J14" i="38667"/>
  <c r="J17"/>
  <c r="C17" i="18"/>
  <c r="D11" i="38654"/>
  <c r="D48" s="1"/>
  <c r="B48"/>
  <c r="M17" i="38667"/>
  <c r="I17" s="1"/>
  <c r="C38" i="18"/>
  <c r="I44" i="20"/>
  <c r="G32"/>
  <c r="C44" i="35"/>
  <c r="G32" i="76"/>
  <c r="H22" i="19"/>
  <c r="F18" i="18"/>
  <c r="E17" i="21"/>
  <c r="K17" s="1"/>
  <c r="J39" i="23"/>
  <c r="J45"/>
  <c r="E14" i="21"/>
  <c r="D50" i="22"/>
  <c r="F46" i="76"/>
  <c r="C38" i="20"/>
  <c r="D38"/>
  <c r="E23" i="5"/>
  <c r="F23" s="1"/>
  <c r="I23" i="18"/>
  <c r="E16" i="15"/>
  <c r="F16" i="19" s="1"/>
  <c r="D16" i="8"/>
  <c r="E15" i="19"/>
  <c r="F15"/>
  <c r="I34" i="18"/>
  <c r="E34" i="5"/>
  <c r="F34" s="1"/>
  <c r="L41" i="38667"/>
  <c r="I41" i="19"/>
  <c r="H41"/>
  <c r="F18" i="52"/>
  <c r="B18" i="43" s="1"/>
  <c r="F18" s="1"/>
  <c r="H18" s="1"/>
  <c r="D26" i="20"/>
  <c r="C26"/>
  <c r="G42"/>
  <c r="F42"/>
  <c r="J36" i="38667"/>
  <c r="M36" s="1"/>
  <c r="I36" s="1"/>
  <c r="C36" i="18"/>
  <c r="D36"/>
  <c r="F24" i="20"/>
  <c r="G24"/>
  <c r="G15" i="18"/>
  <c r="F15"/>
  <c r="K15" i="38667"/>
  <c r="J39"/>
  <c r="M39" s="1"/>
  <c r="I39" s="1"/>
  <c r="C39" i="18"/>
  <c r="D39"/>
  <c r="G45" i="76"/>
  <c r="F45"/>
  <c r="I13" i="45"/>
  <c r="G13" s="1"/>
  <c r="J12" i="38667"/>
  <c r="M12" s="1"/>
  <c r="I12" s="1"/>
  <c r="C12" i="18"/>
  <c r="D12"/>
  <c r="D50"/>
  <c r="C50"/>
  <c r="J42" i="38667"/>
  <c r="M42" s="1"/>
  <c r="I42" s="1"/>
  <c r="C42" i="18"/>
  <c r="D42"/>
  <c r="F35" i="20"/>
  <c r="G35"/>
  <c r="E46" i="19"/>
  <c r="I31" i="54"/>
  <c r="C31" i="37"/>
  <c r="C31" i="11"/>
  <c r="E31" i="25"/>
  <c r="E31" i="38"/>
  <c r="H31" i="11"/>
  <c r="C31" i="36"/>
  <c r="F31" i="26"/>
  <c r="C31" i="38655"/>
  <c r="E31" i="35"/>
  <c r="G31" i="38"/>
  <c r="C31" i="9"/>
  <c r="E31" i="34"/>
  <c r="G31" i="36"/>
  <c r="F31" i="38656"/>
  <c r="C31" i="35"/>
  <c r="F31" i="10"/>
  <c r="G31" i="34"/>
  <c r="E31" i="82"/>
  <c r="C31" i="8"/>
  <c r="C31" i="38661"/>
  <c r="F31" i="8"/>
  <c r="I31" i="18"/>
  <c r="C31" i="34"/>
  <c r="C31" i="82"/>
  <c r="C31" i="18"/>
  <c r="I31" i="9"/>
  <c r="E31" i="37"/>
  <c r="F31" i="38655"/>
  <c r="C31" i="38656"/>
  <c r="G31" i="25"/>
  <c r="I31"/>
  <c r="E31" i="19"/>
  <c r="C31" i="10"/>
  <c r="C31" i="7"/>
  <c r="C31" i="54"/>
  <c r="I31" i="38655"/>
  <c r="I31" i="26"/>
  <c r="F31" i="18"/>
  <c r="C31" i="26"/>
  <c r="C31" i="27"/>
  <c r="C31" i="76" s="1"/>
  <c r="I31" i="10"/>
  <c r="E31" i="11"/>
  <c r="F31" i="9"/>
  <c r="C31" i="38"/>
  <c r="F31" i="20"/>
  <c r="H31" i="19"/>
  <c r="I31" i="20"/>
  <c r="C31"/>
  <c r="I40" i="38658"/>
  <c r="F40" i="38659"/>
  <c r="G40" s="1"/>
  <c r="K40" s="1"/>
  <c r="I21" i="45"/>
  <c r="I23"/>
  <c r="E20" i="38667"/>
  <c r="D20" i="6"/>
  <c r="E20" s="1"/>
  <c r="C20" i="38648" s="1"/>
  <c r="J12" i="20"/>
  <c r="I12"/>
  <c r="E14" i="5"/>
  <c r="I14" i="18"/>
  <c r="D14" i="20"/>
  <c r="C14"/>
  <c r="H35" i="39"/>
  <c r="D35"/>
  <c r="F35"/>
  <c r="F33"/>
  <c r="H33"/>
  <c r="D33"/>
  <c r="C24" i="20"/>
  <c r="D24"/>
  <c r="E42" i="19"/>
  <c r="F42"/>
  <c r="L14" i="38667"/>
  <c r="I14" i="19"/>
  <c r="H14"/>
  <c r="D44" i="20"/>
  <c r="C44"/>
  <c r="I38" i="38658"/>
  <c r="F38" i="38659"/>
  <c r="G38" s="1"/>
  <c r="K38" s="1"/>
  <c r="L19" i="38667"/>
  <c r="I19" i="19"/>
  <c r="H19"/>
  <c r="D44" i="41"/>
  <c r="C44"/>
  <c r="G21"/>
  <c r="C25" i="21"/>
  <c r="D31" i="54"/>
  <c r="G31" i="26"/>
  <c r="D31" i="38656"/>
  <c r="D31" i="27"/>
  <c r="D31" i="76" s="1"/>
  <c r="D31" i="38661"/>
  <c r="G31" i="10"/>
  <c r="G31" i="18"/>
  <c r="F31" i="19"/>
  <c r="J31" i="54"/>
  <c r="D31" i="26"/>
  <c r="I31" i="11"/>
  <c r="E31" i="41"/>
  <c r="D31" i="38655"/>
  <c r="J31" i="26"/>
  <c r="F31" i="11"/>
  <c r="I31" i="19"/>
  <c r="E31" i="16"/>
  <c r="G31" i="38667"/>
  <c r="D31" i="10"/>
  <c r="J31"/>
  <c r="J31" i="38655"/>
  <c r="J31" i="20"/>
  <c r="D31"/>
  <c r="G31" i="38655"/>
  <c r="G31" i="38656"/>
  <c r="D43" i="6"/>
  <c r="E43" s="1"/>
  <c r="C43" i="38648" s="1"/>
  <c r="E43" i="38667"/>
  <c r="D30" i="6"/>
  <c r="E30" s="1"/>
  <c r="C30" i="38648" s="1"/>
  <c r="E30" i="38667"/>
  <c r="G32"/>
  <c r="G32" i="10"/>
  <c r="J32" i="26"/>
  <c r="G32" i="38656"/>
  <c r="E32" i="41"/>
  <c r="D32" i="38655"/>
  <c r="J32" i="54"/>
  <c r="J32" i="10"/>
  <c r="F32" i="11"/>
  <c r="G32" i="38655"/>
  <c r="D32" i="10"/>
  <c r="J32" i="20"/>
  <c r="D32" i="27"/>
  <c r="D32" i="76" s="1"/>
  <c r="D32" i="26"/>
  <c r="G32" i="54"/>
  <c r="E32" i="16"/>
  <c r="D32" i="38656"/>
  <c r="D32" i="54"/>
  <c r="G32" i="26"/>
  <c r="C32" i="41"/>
  <c r="J32" i="38655"/>
  <c r="I32" i="11"/>
  <c r="D32" i="38661"/>
  <c r="D32" i="20"/>
  <c r="E45" i="38667"/>
  <c r="D45" i="6"/>
  <c r="E45" s="1"/>
  <c r="C45" i="38648" s="1"/>
  <c r="C25" i="41"/>
  <c r="J25" i="38655"/>
  <c r="J25" i="54"/>
  <c r="I25" i="11"/>
  <c r="D25" i="38656"/>
  <c r="G25" i="20"/>
  <c r="D25" i="38661"/>
  <c r="D25" i="54"/>
  <c r="D25" i="27"/>
  <c r="D25" i="76" s="1"/>
  <c r="J25" i="26"/>
  <c r="G25" i="10"/>
  <c r="D25" i="38655"/>
  <c r="G25" i="38667"/>
  <c r="E25" i="41"/>
  <c r="J25" i="10"/>
  <c r="F25" i="11"/>
  <c r="G25" i="38655"/>
  <c r="E25" i="16"/>
  <c r="G25" i="76"/>
  <c r="I25" i="19"/>
  <c r="G25" i="38656"/>
  <c r="D25" i="26"/>
  <c r="D25" i="10"/>
  <c r="G25" i="26"/>
  <c r="G25" i="54"/>
  <c r="F25" i="19"/>
  <c r="E25" i="6"/>
  <c r="C25" i="38648" s="1"/>
  <c r="D35" i="18"/>
  <c r="J35" i="38667"/>
  <c r="M35" s="1"/>
  <c r="I35" s="1"/>
  <c r="C35" i="18"/>
  <c r="E16" i="5"/>
  <c r="F16" s="1"/>
  <c r="I16" i="18"/>
  <c r="L32" i="38667"/>
  <c r="M32" s="1"/>
  <c r="I32" s="1"/>
  <c r="I32" i="19"/>
  <c r="H32"/>
  <c r="L21" i="38667"/>
  <c r="M21" s="1"/>
  <c r="I21" s="1"/>
  <c r="I21" i="19"/>
  <c r="H21"/>
  <c r="G24" i="18"/>
  <c r="K24" i="38667"/>
  <c r="M24" s="1"/>
  <c r="I24" s="1"/>
  <c r="F24" i="18"/>
  <c r="G19"/>
  <c r="K19" i="38667"/>
  <c r="F19" i="18"/>
  <c r="D43" i="39"/>
  <c r="F43"/>
  <c r="H43"/>
  <c r="J20" i="38667"/>
  <c r="M20" s="1"/>
  <c r="I20" s="1"/>
  <c r="D20" i="18"/>
  <c r="C20"/>
  <c r="C44"/>
  <c r="J44" i="38667"/>
  <c r="D44" i="18"/>
  <c r="E16" i="19"/>
  <c r="F31" i="76"/>
  <c r="G31"/>
  <c r="E44" i="11"/>
  <c r="E44" i="38"/>
  <c r="C44" i="9"/>
  <c r="C44" i="7"/>
  <c r="F44" i="8"/>
  <c r="E44" i="35"/>
  <c r="G44" i="25"/>
  <c r="F44" i="18"/>
  <c r="I44" i="9"/>
  <c r="C44" i="10"/>
  <c r="C44" i="38656"/>
  <c r="F44" i="9"/>
  <c r="G44" i="36"/>
  <c r="I44" i="54"/>
  <c r="E44" i="82"/>
  <c r="C44" i="38"/>
  <c r="C44" i="82"/>
  <c r="C44" i="36"/>
  <c r="C44" i="27"/>
  <c r="C44" i="76" s="1"/>
  <c r="C44" i="37"/>
  <c r="H44" i="11"/>
  <c r="E44" i="25"/>
  <c r="I44" i="18"/>
  <c r="C44" i="26"/>
  <c r="C44" i="11"/>
  <c r="G44" i="38"/>
  <c r="I44" i="10"/>
  <c r="I44" i="38655"/>
  <c r="I44" i="26"/>
  <c r="E44" i="36"/>
  <c r="I44" i="25"/>
  <c r="F44" i="38655"/>
  <c r="F44" i="38656"/>
  <c r="F44" i="76"/>
  <c r="C44" i="38655"/>
  <c r="C44" i="38661"/>
  <c r="C44" i="54"/>
  <c r="G44" i="34"/>
  <c r="C44" i="19"/>
  <c r="F44" i="26"/>
  <c r="F44" i="5"/>
  <c r="F44" i="54"/>
  <c r="E44" i="37"/>
  <c r="F44" i="10"/>
  <c r="E44" i="34"/>
  <c r="C44" i="25"/>
  <c r="F43" i="76"/>
  <c r="G43"/>
  <c r="E39" i="38667"/>
  <c r="D39" i="6"/>
  <c r="E39" s="1"/>
  <c r="C39" i="38648" s="1"/>
  <c r="D13" i="54"/>
  <c r="G13" i="26"/>
  <c r="G13" i="38655"/>
  <c r="G13" i="38656"/>
  <c r="E13" i="16"/>
  <c r="E13" i="41"/>
  <c r="I13" i="11"/>
  <c r="D13" i="27"/>
  <c r="D13" i="76" s="1"/>
  <c r="F13" i="19"/>
  <c r="J13" i="38655"/>
  <c r="G13" i="54"/>
  <c r="D13" i="38656"/>
  <c r="J13" i="20"/>
  <c r="I13" i="19"/>
  <c r="J13" i="54"/>
  <c r="F13" i="11"/>
  <c r="G13" i="38667"/>
  <c r="C13" i="41"/>
  <c r="D13" i="38661"/>
  <c r="D13" i="38655"/>
  <c r="G13" i="10"/>
  <c r="J13"/>
  <c r="G13" i="76"/>
  <c r="J13" i="26"/>
  <c r="D13"/>
  <c r="D13" i="20"/>
  <c r="G13"/>
  <c r="D40" i="6"/>
  <c r="E40" s="1"/>
  <c r="C40" i="38648" s="1"/>
  <c r="E40" i="38667"/>
  <c r="E46" i="45"/>
  <c r="H46" i="42" s="1"/>
  <c r="C46" i="44"/>
  <c r="C46" i="42" s="1"/>
  <c r="C46" i="45"/>
  <c r="G46" i="42" s="1"/>
  <c r="G46" i="44"/>
  <c r="E46" i="42" s="1"/>
  <c r="E46" i="44"/>
  <c r="D46" i="42" s="1"/>
  <c r="I46" i="44"/>
  <c r="F46" i="42" s="1"/>
  <c r="G46" i="45"/>
  <c r="G41" i="44"/>
  <c r="E41" i="42" s="1"/>
  <c r="E41" i="45"/>
  <c r="H41" i="42" s="1"/>
  <c r="C41" i="44"/>
  <c r="C41" i="42" s="1"/>
  <c r="G41" i="45"/>
  <c r="D42" i="6"/>
  <c r="E42" s="1"/>
  <c r="C42" i="38648" s="1"/>
  <c r="E42" i="38667"/>
  <c r="E38" i="44"/>
  <c r="D38" i="42" s="1"/>
  <c r="C38" i="45"/>
  <c r="G38" i="42" s="1"/>
  <c r="G38" i="44"/>
  <c r="E38" i="42" s="1"/>
  <c r="E38" i="45"/>
  <c r="H38" i="42" s="1"/>
  <c r="C38" i="44"/>
  <c r="C38" i="42" s="1"/>
  <c r="I38" i="44"/>
  <c r="F38" i="42" s="1"/>
  <c r="G38" i="45"/>
  <c r="I28" i="44"/>
  <c r="F28" i="42" s="1"/>
  <c r="E28" i="44"/>
  <c r="D28" i="42" s="1"/>
  <c r="G28" i="44"/>
  <c r="E28" i="42" s="1"/>
  <c r="C28" i="45"/>
  <c r="G28" i="42" s="1"/>
  <c r="E28" i="45"/>
  <c r="H28" i="42" s="1"/>
  <c r="C28" i="44"/>
  <c r="C28" i="42" s="1"/>
  <c r="G28" i="45"/>
  <c r="C25" i="44"/>
  <c r="C25" i="42" s="1"/>
  <c r="G25" i="44"/>
  <c r="E25" i="42" s="1"/>
  <c r="C25" i="45"/>
  <c r="G25" i="42" s="1"/>
  <c r="I25" i="44"/>
  <c r="F25" i="42" s="1"/>
  <c r="E25" i="45"/>
  <c r="H25" i="42" s="1"/>
  <c r="E25" i="44"/>
  <c r="D25" i="42" s="1"/>
  <c r="G25" i="45"/>
  <c r="B24" i="43"/>
  <c r="F24" s="1"/>
  <c r="H24" s="1"/>
  <c r="E31" i="36"/>
  <c r="G37" i="38659"/>
  <c r="K37" s="1"/>
  <c r="D25" i="20"/>
  <c r="G31"/>
  <c r="G25" i="18"/>
  <c r="G31" i="54"/>
  <c r="B17" i="43"/>
  <c r="F17" s="1"/>
  <c r="H17" s="1"/>
  <c r="D28" i="18"/>
  <c r="E28" i="15"/>
  <c r="D28" i="8"/>
  <c r="G45" i="20"/>
  <c r="F45"/>
  <c r="I33" i="45"/>
  <c r="H44" i="19"/>
  <c r="L44" i="38667"/>
  <c r="I44" i="19"/>
  <c r="K22" i="38667"/>
  <c r="M22" s="1"/>
  <c r="I22" s="1"/>
  <c r="G22" i="18"/>
  <c r="F22"/>
  <c r="J25" i="38667"/>
  <c r="M25" s="1"/>
  <c r="I25" s="1"/>
  <c r="D25" i="18"/>
  <c r="C25"/>
  <c r="E35" i="5"/>
  <c r="F35" s="1"/>
  <c r="C35" i="19"/>
  <c r="I15"/>
  <c r="L15" i="38667"/>
  <c r="H15" i="19"/>
  <c r="E46" i="15"/>
  <c r="D46" i="8"/>
  <c r="G30" i="76"/>
  <c r="F30"/>
  <c r="D37" i="18"/>
  <c r="J37" i="38667"/>
  <c r="M37" s="1"/>
  <c r="I37" s="1"/>
  <c r="C37" i="18"/>
  <c r="D42" i="20"/>
  <c r="C42"/>
  <c r="J19" i="38667"/>
  <c r="D19" i="18"/>
  <c r="C19"/>
  <c r="G27" i="76"/>
  <c r="E17" i="15"/>
  <c r="D17" i="8"/>
  <c r="D17" i="18"/>
  <c r="G14" i="38658"/>
  <c r="C16" i="18"/>
  <c r="J16" i="38667"/>
  <c r="D16" i="18"/>
  <c r="G16"/>
  <c r="K16" i="38667"/>
  <c r="F16" i="18"/>
  <c r="F28" i="76"/>
  <c r="D35" i="41"/>
  <c r="C35"/>
  <c r="J29" i="38659"/>
  <c r="G29"/>
  <c r="K29" s="1"/>
  <c r="E17"/>
  <c r="J27" i="20"/>
  <c r="G27" i="38655"/>
  <c r="G27" i="26"/>
  <c r="D27" i="27"/>
  <c r="D27" i="76" s="1"/>
  <c r="D27" i="38656"/>
  <c r="G27" i="54"/>
  <c r="E27" i="41"/>
  <c r="D27" i="38661"/>
  <c r="D27" i="10"/>
  <c r="D27" i="26"/>
  <c r="G27" i="10"/>
  <c r="J27"/>
  <c r="D27" i="54"/>
  <c r="J27" i="26"/>
  <c r="C27" i="41"/>
  <c r="G27" i="38656"/>
  <c r="F27" i="11"/>
  <c r="J27" i="54"/>
  <c r="G27" i="38667"/>
  <c r="J27" i="38655"/>
  <c r="D27" i="20"/>
  <c r="F27" i="19"/>
  <c r="E27" i="16"/>
  <c r="D27" i="38655"/>
  <c r="I27" i="11"/>
  <c r="I27" i="19"/>
  <c r="F25" i="21"/>
  <c r="K13"/>
  <c r="C27" i="5"/>
  <c r="C35" i="7"/>
  <c r="E35" i="34"/>
  <c r="I35" i="38655"/>
  <c r="C35" i="9"/>
  <c r="E35" i="25"/>
  <c r="C35" i="38661"/>
  <c r="G35" i="38"/>
  <c r="C35" i="82"/>
  <c r="G35" i="36"/>
  <c r="F35" i="10"/>
  <c r="C35" i="54"/>
  <c r="I35" i="20"/>
  <c r="I35" i="26"/>
  <c r="F35" i="38655"/>
  <c r="C35" i="11"/>
  <c r="C35" i="26"/>
  <c r="G35" i="34"/>
  <c r="C35" i="38"/>
  <c r="H35" i="19"/>
  <c r="C35" i="25"/>
  <c r="C35" i="38656"/>
  <c r="C35" i="38655"/>
  <c r="C35" i="34"/>
  <c r="E35" i="35"/>
  <c r="C35" i="36"/>
  <c r="E35" i="37"/>
  <c r="C35" i="10"/>
  <c r="F35" i="8"/>
  <c r="I35" i="10"/>
  <c r="I35" i="18"/>
  <c r="F35" i="54"/>
  <c r="I35" i="25"/>
  <c r="E35" i="82"/>
  <c r="F35" i="26"/>
  <c r="C35" i="37"/>
  <c r="C35" i="8"/>
  <c r="F35" i="38656"/>
  <c r="E35" i="36"/>
  <c r="C35" i="27"/>
  <c r="C35" i="76" s="1"/>
  <c r="C35" i="35"/>
  <c r="I35" i="54"/>
  <c r="G35" i="25"/>
  <c r="E35" i="38"/>
  <c r="E35" i="11"/>
  <c r="H35"/>
  <c r="I35" i="9"/>
  <c r="F35"/>
  <c r="F35" i="18"/>
  <c r="C35" i="20"/>
  <c r="E35" i="19"/>
  <c r="D41" i="20"/>
  <c r="C41"/>
  <c r="D21"/>
  <c r="C21"/>
  <c r="G38"/>
  <c r="F38"/>
  <c r="B12" i="43"/>
  <c r="D14" i="39"/>
  <c r="F14"/>
  <c r="H14"/>
  <c r="F30" i="19"/>
  <c r="E30"/>
  <c r="G20" i="76"/>
  <c r="F20"/>
  <c r="D28" i="6"/>
  <c r="E28" s="1"/>
  <c r="C28" i="38648" s="1"/>
  <c r="E28" i="38667"/>
  <c r="C36" i="20"/>
  <c r="D36"/>
  <c r="D34" i="39"/>
  <c r="F34"/>
  <c r="H34"/>
  <c r="H21"/>
  <c r="D21"/>
  <c r="F21"/>
  <c r="F42" i="76"/>
  <c r="G42"/>
  <c r="L23" i="38667"/>
  <c r="M23" s="1"/>
  <c r="I23" s="1"/>
  <c r="I23" i="19"/>
  <c r="H23"/>
  <c r="D31" i="41"/>
  <c r="C31"/>
  <c r="G36" i="20"/>
  <c r="F36"/>
  <c r="G22"/>
  <c r="F22"/>
  <c r="I26" i="38658"/>
  <c r="F26" i="38659"/>
  <c r="G26" s="1"/>
  <c r="K26" s="1"/>
  <c r="F44" i="20"/>
  <c r="G44"/>
  <c r="G21"/>
  <c r="F21"/>
  <c r="E14" i="44"/>
  <c r="D14" i="42" s="1"/>
  <c r="G14" i="44"/>
  <c r="E14" i="42" s="1"/>
  <c r="C14" i="45"/>
  <c r="G14" i="42" s="1"/>
  <c r="I14" i="44"/>
  <c r="F14" i="42" s="1"/>
  <c r="E14" i="45"/>
  <c r="H14" i="42" s="1"/>
  <c r="C14" i="44"/>
  <c r="C14" i="42" s="1"/>
  <c r="I14" i="43"/>
  <c r="B14" i="42" s="1"/>
  <c r="G14" i="45"/>
  <c r="I45"/>
  <c r="E13" i="38667"/>
  <c r="D13" i="6"/>
  <c r="D24"/>
  <c r="E24" s="1"/>
  <c r="C24" i="38648" s="1"/>
  <c r="E24" i="38667"/>
  <c r="D12" i="20"/>
  <c r="D12" i="26"/>
  <c r="J12" i="54"/>
  <c r="J12" i="10"/>
  <c r="G12" i="38656"/>
  <c r="G12" i="38655"/>
  <c r="E12" i="16"/>
  <c r="D12" i="38656"/>
  <c r="E12" i="41"/>
  <c r="D12" i="38655"/>
  <c r="I12" i="19"/>
  <c r="G12" i="26"/>
  <c r="G12" i="38667"/>
  <c r="D12" i="10"/>
  <c r="D12" i="38661"/>
  <c r="G12" i="54"/>
  <c r="D12" i="27"/>
  <c r="D12" i="76" s="1"/>
  <c r="F12" i="11"/>
  <c r="J12" i="26"/>
  <c r="G12" i="10"/>
  <c r="G12" i="18"/>
  <c r="F12" i="19"/>
  <c r="J12" i="38655"/>
  <c r="I12" i="11"/>
  <c r="D12" i="54"/>
  <c r="I34" i="45"/>
  <c r="I15"/>
  <c r="L43" i="38667"/>
  <c r="M43" s="1"/>
  <c r="I43" s="1"/>
  <c r="I43" i="19"/>
  <c r="H43"/>
  <c r="C43" i="20"/>
  <c r="D43"/>
  <c r="E43" i="19"/>
  <c r="F43"/>
  <c r="K13" i="38667"/>
  <c r="M13" s="1"/>
  <c r="I13" s="1"/>
  <c r="G13" i="18"/>
  <c r="F13"/>
  <c r="E31" i="5"/>
  <c r="F31" s="1"/>
  <c r="C31" i="19"/>
  <c r="E37" i="45"/>
  <c r="H37" i="42" s="1"/>
  <c r="C37" i="44"/>
  <c r="C37" i="42" s="1"/>
  <c r="I37" i="44"/>
  <c r="F37" i="42" s="1"/>
  <c r="C37" i="45"/>
  <c r="G37" i="42" s="1"/>
  <c r="E37" i="44"/>
  <c r="D37" i="42" s="1"/>
  <c r="G37" i="45"/>
  <c r="G34" i="38667"/>
  <c r="F34" i="11"/>
  <c r="I34"/>
  <c r="J34" i="26"/>
  <c r="D34" i="38656"/>
  <c r="D34" i="26"/>
  <c r="D34" i="10"/>
  <c r="J34" i="38655"/>
  <c r="G34" i="26"/>
  <c r="J34" i="20"/>
  <c r="F34" i="19"/>
  <c r="I34"/>
  <c r="G34" i="20"/>
  <c r="G34" i="54"/>
  <c r="G34" i="10"/>
  <c r="E34" i="41"/>
  <c r="J34" i="10"/>
  <c r="G34" i="38656"/>
  <c r="G34" i="18"/>
  <c r="D34" i="27"/>
  <c r="D34" i="76" s="1"/>
  <c r="D34" i="38655"/>
  <c r="G34"/>
  <c r="J34" i="54"/>
  <c r="D34"/>
  <c r="E34" i="16"/>
  <c r="D34" i="38661"/>
  <c r="D34" i="20"/>
  <c r="G34" i="76"/>
  <c r="C34" i="41"/>
  <c r="G35" i="44"/>
  <c r="E35" i="42" s="1"/>
  <c r="I35" i="44"/>
  <c r="F35" i="42" s="1"/>
  <c r="C35" i="44"/>
  <c r="C35" i="42" s="1"/>
  <c r="E32" i="45"/>
  <c r="H32" i="42" s="1"/>
  <c r="C32" i="44"/>
  <c r="C32" i="42" s="1"/>
  <c r="G32" i="44"/>
  <c r="E32" i="42" s="1"/>
  <c r="I32" i="44"/>
  <c r="F32" i="42" s="1"/>
  <c r="C32" i="45"/>
  <c r="G32" i="42" s="1"/>
  <c r="G32" i="45"/>
  <c r="E32" i="44"/>
  <c r="D32" i="42" s="1"/>
  <c r="E27" i="44"/>
  <c r="D27" i="42" s="1"/>
  <c r="E27" i="45"/>
  <c r="H27" i="42" s="1"/>
  <c r="C27" i="45"/>
  <c r="G27" i="42" s="1"/>
  <c r="G27" i="44"/>
  <c r="E27" i="42" s="1"/>
  <c r="C27" i="44"/>
  <c r="C27" i="42" s="1"/>
  <c r="I27" i="44"/>
  <c r="F27" i="42" s="1"/>
  <c r="G26" i="44"/>
  <c r="E26" i="42" s="1"/>
  <c r="C26" i="44"/>
  <c r="C26" i="42" s="1"/>
  <c r="C26" i="45"/>
  <c r="G26" i="42" s="1"/>
  <c r="E26" i="45"/>
  <c r="H26" i="42" s="1"/>
  <c r="E26" i="44"/>
  <c r="D26" i="42" s="1"/>
  <c r="I26" i="44"/>
  <c r="F26" i="42" s="1"/>
  <c r="G26" i="45"/>
  <c r="G30" i="44"/>
  <c r="E30" i="42" s="1"/>
  <c r="E30" i="45"/>
  <c r="H30" i="42" s="1"/>
  <c r="C30" i="44"/>
  <c r="C30" i="42" s="1"/>
  <c r="E30" i="44"/>
  <c r="D30" i="42" s="1"/>
  <c r="G44" i="44"/>
  <c r="E44" i="42" s="1"/>
  <c r="C44" i="45"/>
  <c r="G44" i="42" s="1"/>
  <c r="I44" i="44"/>
  <c r="F44" i="42" s="1"/>
  <c r="E44" i="45"/>
  <c r="H44" i="42" s="1"/>
  <c r="E44" i="44"/>
  <c r="D44" i="42" s="1"/>
  <c r="C44" i="44"/>
  <c r="C44" i="42" s="1"/>
  <c r="G44" i="45"/>
  <c r="E50"/>
  <c r="H50" i="42" s="1"/>
  <c r="C50" i="44"/>
  <c r="C50" i="42" s="1"/>
  <c r="I50" i="44"/>
  <c r="F50" i="42" s="1"/>
  <c r="G12" i="76"/>
  <c r="F32" i="19"/>
  <c r="G27" i="18"/>
  <c r="M14" i="38667"/>
  <c r="I14" s="1"/>
  <c r="C31" i="25"/>
  <c r="F31" i="54"/>
  <c r="I46" i="43"/>
  <c r="B46" i="42" s="1"/>
  <c r="I41" i="43"/>
  <c r="B41" i="42" s="1"/>
  <c r="I38" i="43"/>
  <c r="B38" i="42" s="1"/>
  <c r="I31" i="45"/>
  <c r="G31" s="1"/>
  <c r="I28" i="43"/>
  <c r="B28" i="42" s="1"/>
  <c r="I25" i="43"/>
  <c r="B25" i="42" s="1"/>
  <c r="M45" i="38667" l="1"/>
  <c r="I45" s="1"/>
  <c r="M41"/>
  <c r="I41" s="1"/>
  <c r="J28" i="42"/>
  <c r="J38"/>
  <c r="G30" i="45"/>
  <c r="C30"/>
  <c r="G30" i="42" s="1"/>
  <c r="I30" i="44"/>
  <c r="F30" i="42" s="1"/>
  <c r="G35" i="45"/>
  <c r="E35"/>
  <c r="H35" i="42" s="1"/>
  <c r="E35" i="44"/>
  <c r="D35" i="42" s="1"/>
  <c r="C35" i="45"/>
  <c r="G35" i="42" s="1"/>
  <c r="I41" i="44"/>
  <c r="F41" i="42" s="1"/>
  <c r="E41" i="44"/>
  <c r="D41" i="42" s="1"/>
  <c r="G16" i="45"/>
  <c r="C16" i="44"/>
  <c r="C16" i="42" s="1"/>
  <c r="C16" i="45"/>
  <c r="G16" i="42" s="1"/>
  <c r="E16" i="45"/>
  <c r="H16" i="42" s="1"/>
  <c r="J53" i="23"/>
  <c r="K50" i="22" s="1"/>
  <c r="N27" i="23" s="1"/>
  <c r="G42" i="45"/>
  <c r="G50"/>
  <c r="E50" i="44"/>
  <c r="D50" i="42" s="1"/>
  <c r="C50" i="45"/>
  <c r="G50" i="42" s="1"/>
  <c r="G50" i="44"/>
  <c r="E50" i="42" s="1"/>
  <c r="M19" i="38667"/>
  <c r="I19" s="1"/>
  <c r="J20" i="42"/>
  <c r="D33" i="6"/>
  <c r="E33" s="1"/>
  <c r="C33" i="38648" s="1"/>
  <c r="E33" i="38667"/>
  <c r="G22" i="45"/>
  <c r="E22" i="44"/>
  <c r="D22" i="42" s="1"/>
  <c r="C22" i="45"/>
  <c r="G22" i="42" s="1"/>
  <c r="C22" i="44"/>
  <c r="C22" i="42" s="1"/>
  <c r="G22" i="44"/>
  <c r="E22" i="42" s="1"/>
  <c r="E22" i="45"/>
  <c r="H22" i="42" s="1"/>
  <c r="I22" i="44"/>
  <c r="F22" i="42" s="1"/>
  <c r="D36" i="6"/>
  <c r="E36" s="1"/>
  <c r="C36" i="38648" s="1"/>
  <c r="E36" i="38667"/>
  <c r="I22" i="43"/>
  <c r="B22" i="42" s="1"/>
  <c r="J33" i="54"/>
  <c r="D33" i="26"/>
  <c r="G33" i="10"/>
  <c r="D33" i="38661"/>
  <c r="J33" i="38655"/>
  <c r="J33" i="10"/>
  <c r="J33" i="20"/>
  <c r="G33"/>
  <c r="G33" i="54"/>
  <c r="G33" i="26"/>
  <c r="F33" i="11"/>
  <c r="D33" i="10"/>
  <c r="D33" i="38655"/>
  <c r="D33" i="54"/>
  <c r="G33" i="38656"/>
  <c r="I33" i="11"/>
  <c r="E33" i="16"/>
  <c r="D33" i="38656"/>
  <c r="G33" i="18"/>
  <c r="G33" i="76"/>
  <c r="G33" i="38667"/>
  <c r="G33" i="38655"/>
  <c r="E33" i="41"/>
  <c r="D33" i="27"/>
  <c r="D33" i="76" s="1"/>
  <c r="J33" i="26"/>
  <c r="I33" i="19"/>
  <c r="F33"/>
  <c r="C33" i="41"/>
  <c r="D33" i="20"/>
  <c r="I51" i="43"/>
  <c r="B51" i="42" s="1"/>
  <c r="E51" i="44"/>
  <c r="D51" i="42" s="1"/>
  <c r="I51" i="44"/>
  <c r="F51" i="42" s="1"/>
  <c r="E51" i="45"/>
  <c r="H51" i="42" s="1"/>
  <c r="C51" i="44"/>
  <c r="C51" i="42" s="1"/>
  <c r="C51" i="45"/>
  <c r="G51" i="42" s="1"/>
  <c r="G51" i="44"/>
  <c r="E51" i="42" s="1"/>
  <c r="E32" i="38667"/>
  <c r="D32" i="6"/>
  <c r="E32" s="1"/>
  <c r="C32" i="38648" s="1"/>
  <c r="I21" i="38658"/>
  <c r="F21" i="38659"/>
  <c r="G21" s="1"/>
  <c r="K21" s="1"/>
  <c r="M18" i="38667"/>
  <c r="I18" s="1"/>
  <c r="D38" i="6"/>
  <c r="E38" s="1"/>
  <c r="C38" i="38648" s="1"/>
  <c r="E38" i="38667"/>
  <c r="D37" i="6"/>
  <c r="E37" s="1"/>
  <c r="C37" i="38648" s="1"/>
  <c r="E37" i="38667"/>
  <c r="J44" i="42"/>
  <c r="J27"/>
  <c r="J32"/>
  <c r="J37"/>
  <c r="M16" i="38667"/>
  <c r="I16" s="1"/>
  <c r="D41" i="6"/>
  <c r="E41" s="1"/>
  <c r="C41" i="38648" s="1"/>
  <c r="E41" i="38667"/>
  <c r="J26" i="42"/>
  <c r="M44" i="38667"/>
  <c r="I44" s="1"/>
  <c r="K14" i="21"/>
  <c r="K25" s="1"/>
  <c r="E25"/>
  <c r="D31" i="6"/>
  <c r="E31" s="1"/>
  <c r="C31" i="38648" s="1"/>
  <c r="E31" i="38667"/>
  <c r="I18" i="45"/>
  <c r="E15"/>
  <c r="H15" i="42" s="1"/>
  <c r="G15" i="44"/>
  <c r="E15" i="42" s="1"/>
  <c r="E15" i="44"/>
  <c r="D15" i="42" s="1"/>
  <c r="C15" i="45"/>
  <c r="G15" i="42" s="1"/>
  <c r="I15" i="44"/>
  <c r="F15" i="42" s="1"/>
  <c r="I15" i="43"/>
  <c r="B15" i="42" s="1"/>
  <c r="C15" i="44"/>
  <c r="C15" i="42" s="1"/>
  <c r="E34" i="45"/>
  <c r="H34" i="42" s="1"/>
  <c r="I34" i="44"/>
  <c r="F34" i="42" s="1"/>
  <c r="C34" i="44"/>
  <c r="C34" i="42" s="1"/>
  <c r="E34" i="44"/>
  <c r="D34" i="42" s="1"/>
  <c r="C34" i="45"/>
  <c r="G34" i="42" s="1"/>
  <c r="G34" i="44"/>
  <c r="E34" i="42" s="1"/>
  <c r="G34" i="45"/>
  <c r="C45" i="44"/>
  <c r="C45" i="42" s="1"/>
  <c r="E45" i="45"/>
  <c r="H45" i="42" s="1"/>
  <c r="G45" i="44"/>
  <c r="E45" i="42" s="1"/>
  <c r="E45" i="44"/>
  <c r="D45" i="42" s="1"/>
  <c r="I45" i="44"/>
  <c r="F45" i="42" s="1"/>
  <c r="C45" i="45"/>
  <c r="G45" i="42" s="1"/>
  <c r="E39" i="44"/>
  <c r="D39" i="42" s="1"/>
  <c r="C39" i="44"/>
  <c r="C39" i="42" s="1"/>
  <c r="E39" i="45"/>
  <c r="H39" i="42" s="1"/>
  <c r="I39" i="44"/>
  <c r="F39" i="42" s="1"/>
  <c r="C39" i="45"/>
  <c r="G39" i="42" s="1"/>
  <c r="G39" i="44"/>
  <c r="E39" i="42" s="1"/>
  <c r="G39" i="45"/>
  <c r="F12" i="43"/>
  <c r="D17" i="26"/>
  <c r="G17" i="10"/>
  <c r="J17" i="20"/>
  <c r="F17" i="11"/>
  <c r="C17" i="41"/>
  <c r="G17" i="38667"/>
  <c r="E17" i="16"/>
  <c r="G17" i="54"/>
  <c r="G17" i="26"/>
  <c r="D17" i="38661"/>
  <c r="G17" i="38655"/>
  <c r="G17" i="38656"/>
  <c r="D17" i="27"/>
  <c r="D17" i="76" s="1"/>
  <c r="J17" i="38655"/>
  <c r="J17" i="26"/>
  <c r="D17" i="54"/>
  <c r="D17" i="38656"/>
  <c r="J17" i="10"/>
  <c r="I17" i="11"/>
  <c r="F17" i="19"/>
  <c r="E17" i="41"/>
  <c r="J17" i="54"/>
  <c r="E17" i="6"/>
  <c r="C17" i="38648" s="1"/>
  <c r="I17" i="19"/>
  <c r="D17" i="20"/>
  <c r="D17" i="10"/>
  <c r="G17" i="76"/>
  <c r="G17" i="20"/>
  <c r="G17" i="18"/>
  <c r="D17" i="38655"/>
  <c r="J46" i="26"/>
  <c r="G46"/>
  <c r="J46" i="20"/>
  <c r="I46" i="19"/>
  <c r="I46" i="11"/>
  <c r="D46" i="54"/>
  <c r="D46" i="38655"/>
  <c r="J46"/>
  <c r="G46" i="18"/>
  <c r="G46" i="38656"/>
  <c r="D46" i="10"/>
  <c r="J46" i="54"/>
  <c r="D46" i="26"/>
  <c r="G46" i="54"/>
  <c r="D46" i="27"/>
  <c r="D46" i="76" s="1"/>
  <c r="J46" i="10"/>
  <c r="G46" i="38667"/>
  <c r="E46" i="41"/>
  <c r="D46" i="38656"/>
  <c r="G46" i="10"/>
  <c r="E46" i="16"/>
  <c r="D46" i="20"/>
  <c r="C46" i="41"/>
  <c r="D46" i="38661"/>
  <c r="G46" i="38655"/>
  <c r="G46" i="20"/>
  <c r="F46" i="11"/>
  <c r="E46" i="6"/>
  <c r="C46" i="38648" s="1"/>
  <c r="G43" i="44"/>
  <c r="E43" i="42" s="1"/>
  <c r="C43" i="44"/>
  <c r="C43" i="42" s="1"/>
  <c r="C43" i="45"/>
  <c r="G43" i="42" s="1"/>
  <c r="E43" i="44"/>
  <c r="D43" i="42" s="1"/>
  <c r="E43" i="45"/>
  <c r="H43" i="42" s="1"/>
  <c r="I43" i="44"/>
  <c r="F43" i="42" s="1"/>
  <c r="G43" i="45"/>
  <c r="C40"/>
  <c r="G40" i="42" s="1"/>
  <c r="E40" i="45"/>
  <c r="H40" i="42" s="1"/>
  <c r="E40" i="44"/>
  <c r="D40" i="42" s="1"/>
  <c r="G40" i="44"/>
  <c r="E40" i="42" s="1"/>
  <c r="C40" i="44"/>
  <c r="C40" i="42" s="1"/>
  <c r="G40" i="45"/>
  <c r="I40" i="44"/>
  <c r="F40" i="42" s="1"/>
  <c r="C33" i="45"/>
  <c r="G33" i="42" s="1"/>
  <c r="I33" i="44"/>
  <c r="F33" i="42" s="1"/>
  <c r="C33" i="44"/>
  <c r="C33" i="42" s="1"/>
  <c r="E33" i="44"/>
  <c r="D33" i="42" s="1"/>
  <c r="G33" i="44"/>
  <c r="E33" i="42" s="1"/>
  <c r="E33" i="45"/>
  <c r="H33" i="42" s="1"/>
  <c r="G33" i="45"/>
  <c r="G28" i="26"/>
  <c r="G28" i="38656"/>
  <c r="G28" i="38655"/>
  <c r="E28" i="41"/>
  <c r="E28" i="16"/>
  <c r="F28" i="19"/>
  <c r="D28" i="26"/>
  <c r="J28" i="20"/>
  <c r="D28" i="27"/>
  <c r="D28" i="76" s="1"/>
  <c r="D28" i="38655"/>
  <c r="J28" i="54"/>
  <c r="D28" i="38661"/>
  <c r="D28" i="20"/>
  <c r="F28" i="11"/>
  <c r="D28" i="38656"/>
  <c r="G28" i="18"/>
  <c r="D28" i="10"/>
  <c r="G28" i="54"/>
  <c r="J28" i="26"/>
  <c r="I28" i="11"/>
  <c r="G28" i="38667"/>
  <c r="I28" i="19"/>
  <c r="J28" i="10"/>
  <c r="C28" i="41"/>
  <c r="J28" i="38655"/>
  <c r="G28" i="10"/>
  <c r="G28" i="20"/>
  <c r="D28" i="54"/>
  <c r="I17" i="45"/>
  <c r="C37" i="23"/>
  <c r="E26"/>
  <c r="I34" i="22"/>
  <c r="I29"/>
  <c r="C34"/>
  <c r="E36"/>
  <c r="E18" i="23"/>
  <c r="G32"/>
  <c r="C44" i="22"/>
  <c r="I18"/>
  <c r="I25"/>
  <c r="G34" i="23"/>
  <c r="I26" i="22"/>
  <c r="G29"/>
  <c r="E29" i="23"/>
  <c r="C17"/>
  <c r="E22" i="22"/>
  <c r="G38"/>
  <c r="K50" i="23"/>
  <c r="G42" i="22"/>
  <c r="K37"/>
  <c r="C15" i="23"/>
  <c r="C41"/>
  <c r="C45" i="22"/>
  <c r="E31" i="23"/>
  <c r="E43" i="22"/>
  <c r="E44" i="23"/>
  <c r="K38"/>
  <c r="I20" i="22"/>
  <c r="I50" i="23"/>
  <c r="K21" i="22"/>
  <c r="C30"/>
  <c r="G36" i="23"/>
  <c r="K48"/>
  <c r="N16" s="1"/>
  <c r="I38" i="22"/>
  <c r="E25"/>
  <c r="E39"/>
  <c r="K26"/>
  <c r="G18" i="23"/>
  <c r="G14" i="22"/>
  <c r="C36" i="23"/>
  <c r="C24"/>
  <c r="K28"/>
  <c r="C20" i="22"/>
  <c r="G27"/>
  <c r="K41"/>
  <c r="G45"/>
  <c r="E41"/>
  <c r="C36"/>
  <c r="E16"/>
  <c r="I44"/>
  <c r="K36"/>
  <c r="G44"/>
  <c r="G30"/>
  <c r="G36"/>
  <c r="E17"/>
  <c r="C44" i="23"/>
  <c r="E42" i="22"/>
  <c r="G15"/>
  <c r="I37"/>
  <c r="G25"/>
  <c r="C26" i="23"/>
  <c r="I48"/>
  <c r="K44" i="22"/>
  <c r="K27" i="23"/>
  <c r="I24" i="22"/>
  <c r="G24" i="23"/>
  <c r="K35" i="22"/>
  <c r="I28"/>
  <c r="C20" i="23"/>
  <c r="K17" i="22"/>
  <c r="G21"/>
  <c r="K20" i="23"/>
  <c r="K26"/>
  <c r="G53"/>
  <c r="N30" s="1"/>
  <c r="I35" i="22"/>
  <c r="E34" i="23"/>
  <c r="C39"/>
  <c r="I33" i="22"/>
  <c r="K22" i="23"/>
  <c r="N13" s="1"/>
  <c r="K15"/>
  <c r="G33"/>
  <c r="I15" i="22"/>
  <c r="G28" i="23"/>
  <c r="E28"/>
  <c r="C21" i="22"/>
  <c r="C35"/>
  <c r="G18"/>
  <c r="G22" i="23"/>
  <c r="G22" i="22"/>
  <c r="G43" i="23"/>
  <c r="C14" i="22"/>
  <c r="G38" i="23"/>
  <c r="C28" i="22"/>
  <c r="C31" i="23"/>
  <c r="C27"/>
  <c r="C27" i="22"/>
  <c r="K20"/>
  <c r="E38"/>
  <c r="G42" i="23"/>
  <c r="C25"/>
  <c r="E38"/>
  <c r="K41"/>
  <c r="K35"/>
  <c r="K33"/>
  <c r="I42" i="22"/>
  <c r="E50"/>
  <c r="N24" i="23" s="1"/>
  <c r="E45"/>
  <c r="E24" i="22"/>
  <c r="E32"/>
  <c r="K18"/>
  <c r="C33"/>
  <c r="I22"/>
  <c r="I30"/>
  <c r="G39"/>
  <c r="K44" i="23"/>
  <c r="G26" i="22"/>
  <c r="E32" i="23"/>
  <c r="E25"/>
  <c r="K25" i="22"/>
  <c r="G29" i="23"/>
  <c r="I14" i="22"/>
  <c r="C32"/>
  <c r="I17"/>
  <c r="K24"/>
  <c r="G20"/>
  <c r="I39"/>
  <c r="G15" i="23"/>
  <c r="G43" i="22"/>
  <c r="E43" i="23"/>
  <c r="G28" i="22"/>
  <c r="I50"/>
  <c r="N26" i="23" s="1"/>
  <c r="K31"/>
  <c r="G39"/>
  <c r="E21"/>
  <c r="K49"/>
  <c r="K32"/>
  <c r="I53"/>
  <c r="N31" s="1"/>
  <c r="E23" i="45"/>
  <c r="H23" i="42" s="1"/>
  <c r="I23" i="44"/>
  <c r="F23" i="42" s="1"/>
  <c r="G23" i="44"/>
  <c r="E23" i="42" s="1"/>
  <c r="E23" i="44"/>
  <c r="D23" i="42" s="1"/>
  <c r="C23" i="45"/>
  <c r="G23" i="42" s="1"/>
  <c r="C23" i="44"/>
  <c r="C23" i="42" s="1"/>
  <c r="I23" i="43"/>
  <c r="B23" i="42" s="1"/>
  <c r="E21" i="44"/>
  <c r="D21" i="42" s="1"/>
  <c r="C21" i="45"/>
  <c r="G21" i="42" s="1"/>
  <c r="I21" i="44"/>
  <c r="F21" i="42" s="1"/>
  <c r="C21" i="44"/>
  <c r="C21" i="42" s="1"/>
  <c r="G21" i="44"/>
  <c r="E21" i="42" s="1"/>
  <c r="E21" i="45"/>
  <c r="H21" i="42" s="1"/>
  <c r="I21" i="43"/>
  <c r="B21" i="42" s="1"/>
  <c r="D34" i="6"/>
  <c r="E34" s="1"/>
  <c r="C34" i="38648" s="1"/>
  <c r="E34" i="38667"/>
  <c r="C31" i="45"/>
  <c r="G31" i="42" s="1"/>
  <c r="E31" i="45"/>
  <c r="H31" i="42" s="1"/>
  <c r="G31" i="44"/>
  <c r="E31" i="42" s="1"/>
  <c r="I31" i="44"/>
  <c r="F31" i="42" s="1"/>
  <c r="E31" i="44"/>
  <c r="D31" i="42" s="1"/>
  <c r="C31" i="44"/>
  <c r="C31" i="42" s="1"/>
  <c r="I31" i="43"/>
  <c r="B31" i="42" s="1"/>
  <c r="E13" i="6"/>
  <c r="C13" i="38648" s="1"/>
  <c r="E35" i="38667"/>
  <c r="D35" i="6"/>
  <c r="E35" s="1"/>
  <c r="C35" i="38648" s="1"/>
  <c r="D27" i="5"/>
  <c r="J17" i="38659"/>
  <c r="G17"/>
  <c r="K17" s="1"/>
  <c r="I14" i="38658"/>
  <c r="F14" i="38659"/>
  <c r="I24" i="45"/>
  <c r="D44" i="6"/>
  <c r="E44" s="1"/>
  <c r="C44" i="38648" s="1"/>
  <c r="E44" i="38667"/>
  <c r="E16"/>
  <c r="D16" i="6"/>
  <c r="E16" s="1"/>
  <c r="C16" i="38648" s="1"/>
  <c r="F14" i="5"/>
  <c r="I13" i="43"/>
  <c r="B13" i="42" s="1"/>
  <c r="I13" i="44"/>
  <c r="F13" i="42" s="1"/>
  <c r="C13" i="45"/>
  <c r="G13" i="42" s="1"/>
  <c r="E13" i="45"/>
  <c r="H13" i="42" s="1"/>
  <c r="G13" i="44"/>
  <c r="E13" i="42" s="1"/>
  <c r="C13" i="44"/>
  <c r="C13" i="42" s="1"/>
  <c r="E13" i="44"/>
  <c r="D13" i="42" s="1"/>
  <c r="E42" i="45"/>
  <c r="H42" i="42" s="1"/>
  <c r="E42" i="44"/>
  <c r="D42" i="42" s="1"/>
  <c r="C42" i="45"/>
  <c r="G42" i="42" s="1"/>
  <c r="C42" i="44"/>
  <c r="C42" i="42" s="1"/>
  <c r="G42" i="44"/>
  <c r="E42" i="42" s="1"/>
  <c r="I42" i="44"/>
  <c r="F42" i="42" s="1"/>
  <c r="C36" i="44"/>
  <c r="C36" i="42" s="1"/>
  <c r="G36" i="44"/>
  <c r="E36" i="42" s="1"/>
  <c r="C36" i="45"/>
  <c r="G36" i="42" s="1"/>
  <c r="E36" i="45"/>
  <c r="H36" i="42" s="1"/>
  <c r="I36" i="44"/>
  <c r="F36" i="42" s="1"/>
  <c r="E36" i="44"/>
  <c r="D36" i="42" s="1"/>
  <c r="G36" i="45"/>
  <c r="J16" i="26"/>
  <c r="D16" i="38655"/>
  <c r="D16" i="38656"/>
  <c r="D16" i="27"/>
  <c r="D16" i="76" s="1"/>
  <c r="E16" i="41"/>
  <c r="C16"/>
  <c r="F16" i="11"/>
  <c r="G16" i="20"/>
  <c r="G16" i="76"/>
  <c r="I16" i="11"/>
  <c r="D16" i="54"/>
  <c r="G16" i="38667"/>
  <c r="D16" i="20"/>
  <c r="G16" i="38655"/>
  <c r="G16" i="54"/>
  <c r="G16" i="38656"/>
  <c r="D16" i="10"/>
  <c r="G16"/>
  <c r="D16" i="38661"/>
  <c r="I16" i="19"/>
  <c r="J16" i="54"/>
  <c r="E16" i="16"/>
  <c r="G16" i="26"/>
  <c r="J16" i="38655"/>
  <c r="J16" i="10"/>
  <c r="D16" i="26"/>
  <c r="J16" i="20"/>
  <c r="C19" i="44"/>
  <c r="C19" i="42" s="1"/>
  <c r="E19" i="45"/>
  <c r="H19" i="42" s="1"/>
  <c r="E19" i="44"/>
  <c r="D19" i="42" s="1"/>
  <c r="C19" i="45"/>
  <c r="G19" i="42" s="1"/>
  <c r="I19" i="44"/>
  <c r="F19" i="42" s="1"/>
  <c r="G19" i="44"/>
  <c r="E19" i="42" s="1"/>
  <c r="E23" i="38667"/>
  <c r="D23" i="6"/>
  <c r="E23" s="1"/>
  <c r="C23" i="38648" s="1"/>
  <c r="C50" i="22"/>
  <c r="N23" i="23" s="1"/>
  <c r="J25" i="42"/>
  <c r="J46"/>
  <c r="G45" i="45"/>
  <c r="G15"/>
  <c r="I34" i="43"/>
  <c r="B34" i="42" s="1"/>
  <c r="I45" i="43"/>
  <c r="B45" i="42" s="1"/>
  <c r="J14"/>
  <c r="I39" i="43"/>
  <c r="B39" i="42" s="1"/>
  <c r="G28" i="76"/>
  <c r="I43" i="43"/>
  <c r="B43" i="42" s="1"/>
  <c r="I40" i="43"/>
  <c r="B40" i="42" s="1"/>
  <c r="I33" i="43"/>
  <c r="B33" i="42" s="1"/>
  <c r="K51" i="23"/>
  <c r="G23" i="45"/>
  <c r="G21"/>
  <c r="F46" i="19"/>
  <c r="M15" i="38667"/>
  <c r="I15" s="1"/>
  <c r="G46" i="76"/>
  <c r="I19" i="43"/>
  <c r="B19" i="42" s="1"/>
  <c r="J35" l="1"/>
  <c r="J16"/>
  <c r="K21" i="23"/>
  <c r="N12" s="1"/>
  <c r="K30"/>
  <c r="K25"/>
  <c r="E53"/>
  <c r="N29" s="1"/>
  <c r="I51"/>
  <c r="G44"/>
  <c r="K14"/>
  <c r="C39" i="22"/>
  <c r="E39" i="23"/>
  <c r="G17"/>
  <c r="C43"/>
  <c r="G24" i="22"/>
  <c r="E31"/>
  <c r="E20" i="23"/>
  <c r="C42"/>
  <c r="E34" i="22"/>
  <c r="G31"/>
  <c r="K14"/>
  <c r="K16" i="23"/>
  <c r="G17" i="22"/>
  <c r="C28" i="23"/>
  <c r="G37"/>
  <c r="E33"/>
  <c r="K45" i="22"/>
  <c r="G37"/>
  <c r="C35" i="23"/>
  <c r="C24" i="22"/>
  <c r="G41"/>
  <c r="E17" i="23"/>
  <c r="C14"/>
  <c r="C38"/>
  <c r="K28" i="22"/>
  <c r="K18" i="23"/>
  <c r="C30"/>
  <c r="E35" i="22"/>
  <c r="K29" i="23"/>
  <c r="I49"/>
  <c r="K45"/>
  <c r="N15" s="1"/>
  <c r="C41" i="22"/>
  <c r="I32"/>
  <c r="G27" i="23"/>
  <c r="E27"/>
  <c r="K38" i="22"/>
  <c r="C17"/>
  <c r="E30" i="23"/>
  <c r="K37"/>
  <c r="K31" i="22"/>
  <c r="I43"/>
  <c r="C53" i="23"/>
  <c r="N28" s="1"/>
  <c r="G16"/>
  <c r="E19" i="22"/>
  <c r="E16" i="23"/>
  <c r="K43"/>
  <c r="C15" i="22"/>
  <c r="C22" i="23"/>
  <c r="C31" i="22"/>
  <c r="E14" i="23"/>
  <c r="G34" i="22"/>
  <c r="K43"/>
  <c r="E36" i="23"/>
  <c r="C21"/>
  <c r="E26" i="22"/>
  <c r="C25"/>
  <c r="E45"/>
  <c r="I41"/>
  <c r="K17" i="23"/>
  <c r="K39"/>
  <c r="N14" s="1"/>
  <c r="G21"/>
  <c r="E21" i="22"/>
  <c r="I45"/>
  <c r="K15"/>
  <c r="I31"/>
  <c r="K29"/>
  <c r="C43"/>
  <c r="C26"/>
  <c r="C18" i="23"/>
  <c r="E42"/>
  <c r="K22" i="22"/>
  <c r="C38"/>
  <c r="G31" i="23"/>
  <c r="E37"/>
  <c r="E24"/>
  <c r="G25"/>
  <c r="I27" i="22"/>
  <c r="K53" i="23"/>
  <c r="K42"/>
  <c r="C16" i="22"/>
  <c r="C16" i="23"/>
  <c r="K27" i="22"/>
  <c r="E15"/>
  <c r="G33"/>
  <c r="K32"/>
  <c r="I36"/>
  <c r="E20"/>
  <c r="C42"/>
  <c r="K24" i="23"/>
  <c r="G30"/>
  <c r="E27" i="22"/>
  <c r="E15" i="23"/>
  <c r="K13"/>
  <c r="E33" i="22"/>
  <c r="K33"/>
  <c r="I16"/>
  <c r="G32"/>
  <c r="C29"/>
  <c r="E30"/>
  <c r="G14" i="23"/>
  <c r="K16" i="22"/>
  <c r="C45" i="23"/>
  <c r="E35"/>
  <c r="E28" i="22"/>
  <c r="G35" i="23"/>
  <c r="K36"/>
  <c r="K34" i="22"/>
  <c r="I21"/>
  <c r="E44"/>
  <c r="K34" i="23"/>
  <c r="K42" i="22"/>
  <c r="G26" i="23"/>
  <c r="C33"/>
  <c r="E22"/>
  <c r="K30" i="22"/>
  <c r="G45" i="23"/>
  <c r="G16" i="22"/>
  <c r="E37"/>
  <c r="G41" i="23"/>
  <c r="E18" i="22"/>
  <c r="C18"/>
  <c r="C29" i="23"/>
  <c r="C37" i="22"/>
  <c r="E14"/>
  <c r="C34" i="23"/>
  <c r="E41"/>
  <c r="G35" i="22"/>
  <c r="C22"/>
  <c r="C32" i="23"/>
  <c r="E29" i="22"/>
  <c r="G20" i="23"/>
  <c r="K19"/>
  <c r="K39" i="22"/>
  <c r="J41" i="42"/>
  <c r="J30"/>
  <c r="J22"/>
  <c r="J50"/>
  <c r="G50" i="22"/>
  <c r="N25" i="23" s="1"/>
  <c r="J33" i="42"/>
  <c r="J43"/>
  <c r="J39"/>
  <c r="N17" i="23"/>
  <c r="J36" i="42"/>
  <c r="J31"/>
  <c r="J23"/>
  <c r="J15"/>
  <c r="J42"/>
  <c r="E24" i="45"/>
  <c r="H24" i="42" s="1"/>
  <c r="C24" i="45"/>
  <c r="G24" i="42" s="1"/>
  <c r="G24" i="44"/>
  <c r="E24" i="42" s="1"/>
  <c r="I24" i="44"/>
  <c r="F24" i="42" s="1"/>
  <c r="E24" i="44"/>
  <c r="D24" i="42" s="1"/>
  <c r="C24" i="44"/>
  <c r="C24" i="42" s="1"/>
  <c r="G24" i="45"/>
  <c r="I17" i="44"/>
  <c r="F17" i="42" s="1"/>
  <c r="C17" i="45"/>
  <c r="G17" i="42" s="1"/>
  <c r="E17" i="45"/>
  <c r="H17" i="42" s="1"/>
  <c r="G17" i="44"/>
  <c r="E17" i="42" s="1"/>
  <c r="C17" i="44"/>
  <c r="C17" i="42" s="1"/>
  <c r="E17" i="44"/>
  <c r="D17" i="42" s="1"/>
  <c r="G17" i="45"/>
  <c r="H12" i="43"/>
  <c r="E18" i="44"/>
  <c r="D18" i="42" s="1"/>
  <c r="E18" i="45"/>
  <c r="H18" i="42" s="1"/>
  <c r="C18" i="44"/>
  <c r="C18" i="42" s="1"/>
  <c r="I18" i="44"/>
  <c r="F18" i="42" s="1"/>
  <c r="C18" i="45"/>
  <c r="G18" i="42" s="1"/>
  <c r="G18" i="44"/>
  <c r="E18" i="42" s="1"/>
  <c r="G18" i="45"/>
  <c r="E14" i="38667"/>
  <c r="D14" i="6"/>
  <c r="G14" i="38659"/>
  <c r="K14" s="1"/>
  <c r="E27" i="36"/>
  <c r="C27"/>
  <c r="E27" i="25"/>
  <c r="F27" i="5"/>
  <c r="I27" i="20"/>
  <c r="H27" i="19"/>
  <c r="C27" i="8"/>
  <c r="I27" i="26"/>
  <c r="F27" i="10"/>
  <c r="F27" i="20"/>
  <c r="I27" i="10"/>
  <c r="I27" i="54"/>
  <c r="I27" i="9"/>
  <c r="C27" i="54"/>
  <c r="E27" i="38"/>
  <c r="E27" i="82"/>
  <c r="F27" i="54"/>
  <c r="F27" i="26"/>
  <c r="C27" i="10"/>
  <c r="C27" i="11"/>
  <c r="G27" i="34"/>
  <c r="C27" i="38656"/>
  <c r="F27" i="8"/>
  <c r="C27" i="26"/>
  <c r="E27" i="11"/>
  <c r="I27" i="25"/>
  <c r="C27" i="37"/>
  <c r="C27" i="25"/>
  <c r="G27" i="36"/>
  <c r="C27" i="38661"/>
  <c r="I27" i="18"/>
  <c r="I27" i="38655"/>
  <c r="H27" i="11"/>
  <c r="C27" i="7"/>
  <c r="E27" i="19"/>
  <c r="E27" i="34"/>
  <c r="E27" i="35"/>
  <c r="F27" i="38655"/>
  <c r="G27" i="25"/>
  <c r="F27" i="9"/>
  <c r="C27" i="18"/>
  <c r="F27" i="38656"/>
  <c r="C27" i="35"/>
  <c r="E27" i="37"/>
  <c r="C27" i="38"/>
  <c r="C27" i="34"/>
  <c r="C27" i="27"/>
  <c r="C27" i="76" s="1"/>
  <c r="G27" i="38"/>
  <c r="C27" i="38655"/>
  <c r="C27" i="82"/>
  <c r="C27" i="9"/>
  <c r="F27" i="18"/>
  <c r="C27" i="20"/>
  <c r="C27" i="19"/>
  <c r="F27" i="76"/>
  <c r="J13" i="42"/>
  <c r="J19"/>
  <c r="J40"/>
  <c r="J45"/>
  <c r="J34"/>
  <c r="I24" i="43"/>
  <c r="B24" i="42" s="1"/>
  <c r="J21"/>
  <c r="I17" i="43"/>
  <c r="B17" i="42" s="1"/>
  <c r="I18" i="43"/>
  <c r="B18" i="42" s="1"/>
  <c r="N19" i="23" l="1"/>
  <c r="N33"/>
  <c r="J18" i="42"/>
  <c r="J17"/>
  <c r="J24"/>
  <c r="E14" i="6"/>
  <c r="C14" i="38648" s="1"/>
  <c r="I12" i="45"/>
  <c r="I12" i="43" s="1"/>
  <c r="B12" i="42" s="1"/>
  <c r="D27" i="6"/>
  <c r="E27" s="1"/>
  <c r="C27" i="38648" s="1"/>
  <c r="E27" i="38667"/>
  <c r="E12" i="44" l="1"/>
  <c r="D12" i="42" s="1"/>
  <c r="C12" i="45"/>
  <c r="G12" i="42" s="1"/>
  <c r="G12" i="44"/>
  <c r="E12" i="42" s="1"/>
  <c r="I12" i="44"/>
  <c r="F12" i="42" s="1"/>
  <c r="E12" i="45"/>
  <c r="H12" i="42" s="1"/>
  <c r="C12" i="44"/>
  <c r="C12" i="42" s="1"/>
  <c r="G12" i="45"/>
  <c r="J12" i="42" l="1"/>
  <c r="G11" i="8" l="1"/>
  <c r="J11" i="9"/>
  <c r="G11"/>
  <c r="G48" i="38665"/>
  <c r="C11" i="38670"/>
  <c r="C48" i="81"/>
  <c r="E48"/>
  <c r="G48"/>
  <c r="C48" i="47"/>
  <c r="E48"/>
  <c r="D48" i="46"/>
  <c r="D48" i="52"/>
  <c r="B48" i="78"/>
  <c r="D48"/>
  <c r="D11" i="70"/>
  <c r="D48" i="38670"/>
  <c r="C11" i="15" l="1"/>
  <c r="E11" s="1"/>
  <c r="E11" i="41" s="1"/>
  <c r="E48" i="39"/>
  <c r="H11" i="20"/>
  <c r="G11" i="47"/>
  <c r="F48" i="32"/>
  <c r="C48" i="48"/>
  <c r="E48" i="38663"/>
  <c r="H48" i="14"/>
  <c r="C48" i="78"/>
  <c r="C48" i="52"/>
  <c r="B48"/>
  <c r="F48" i="46"/>
  <c r="E48"/>
  <c r="F48" i="47"/>
  <c r="D48"/>
  <c r="B48"/>
  <c r="F48" i="81"/>
  <c r="D48"/>
  <c r="F11" i="52"/>
  <c r="E11" i="33"/>
  <c r="D48"/>
  <c r="D48" i="48"/>
  <c r="D48" i="38663"/>
  <c r="B11" i="38670"/>
  <c r="C48" i="40"/>
  <c r="E11" i="7"/>
  <c r="G48" i="14"/>
  <c r="G29" i="47"/>
  <c r="B48" i="81"/>
  <c r="B48" i="32"/>
  <c r="C48" i="39"/>
  <c r="D48" i="14"/>
  <c r="F48"/>
  <c r="C48" i="43"/>
  <c r="A53" i="44" s="1"/>
  <c r="C48" i="38668"/>
  <c r="B48" i="46"/>
  <c r="H29" i="20"/>
  <c r="B48" i="38"/>
  <c r="D48"/>
  <c r="C29" i="38670"/>
  <c r="F48" i="38665"/>
  <c r="G48" i="39"/>
  <c r="G29" i="9"/>
  <c r="C48" i="14"/>
  <c r="E29" i="7"/>
  <c r="E48" i="14"/>
  <c r="B48" i="15"/>
  <c r="G29" i="8"/>
  <c r="C48" i="46"/>
  <c r="C48" i="38663"/>
  <c r="F48" i="3188"/>
  <c r="G48" i="43"/>
  <c r="B48" i="38665"/>
  <c r="A54" i="46" l="1"/>
  <c r="E11" i="16"/>
  <c r="C48" i="38665"/>
  <c r="E48" i="78"/>
  <c r="J48" i="3188"/>
  <c r="D11" i="8"/>
  <c r="D11" i="9"/>
  <c r="J11" i="26"/>
  <c r="D11" i="54"/>
  <c r="I11" i="11"/>
  <c r="F11" i="45"/>
  <c r="G11" i="38656"/>
  <c r="G11" i="26"/>
  <c r="D11" i="38656"/>
  <c r="J11" i="38655"/>
  <c r="F11" i="7"/>
  <c r="H11"/>
  <c r="I11"/>
  <c r="D11"/>
  <c r="G11"/>
  <c r="J11" i="20"/>
  <c r="H48" i="3188"/>
  <c r="E48" i="43"/>
  <c r="D48" i="44"/>
  <c r="H48"/>
  <c r="B11" i="43"/>
  <c r="F11" s="1"/>
  <c r="H11" s="1"/>
  <c r="E48" i="52"/>
  <c r="F48" i="38663"/>
  <c r="C48" i="33"/>
  <c r="D48" i="43"/>
  <c r="F48" i="44"/>
  <c r="D48" i="45"/>
  <c r="B48"/>
  <c r="B48" i="38656"/>
  <c r="G11" i="38663"/>
  <c r="D29" i="32"/>
  <c r="B48" i="7"/>
  <c r="F29" i="41"/>
  <c r="B29"/>
  <c r="C48" i="3188"/>
  <c r="B48" i="9"/>
  <c r="D29"/>
  <c r="E48" i="26"/>
  <c r="H48" i="38655"/>
  <c r="E29" i="18"/>
  <c r="B48" i="38663"/>
  <c r="G29"/>
  <c r="H48" i="20"/>
  <c r="F48" i="25"/>
  <c r="B48" i="14"/>
  <c r="C29" i="15"/>
  <c r="E29" i="33"/>
  <c r="E48" s="1"/>
  <c r="B48"/>
  <c r="F48" i="38"/>
  <c r="G48" i="47"/>
  <c r="B29" i="76"/>
  <c r="E48" i="9"/>
  <c r="E48" i="8"/>
  <c r="E31" i="38658"/>
  <c r="D48" i="37"/>
  <c r="E29" i="20"/>
  <c r="B48" i="37"/>
  <c r="B48" i="54"/>
  <c r="H48" i="9"/>
  <c r="H48" i="26"/>
  <c r="G48" i="11"/>
  <c r="H48" i="25"/>
  <c r="F29" i="7"/>
  <c r="H29"/>
  <c r="I29"/>
  <c r="D29"/>
  <c r="G29"/>
  <c r="E48"/>
  <c r="B29" i="38670"/>
  <c r="B48" s="1"/>
  <c r="C48"/>
  <c r="F29" i="52"/>
  <c r="F48" s="1"/>
  <c r="J29" i="9"/>
  <c r="G48" i="3188"/>
  <c r="B48" i="36"/>
  <c r="E48" i="38665"/>
  <c r="B48" i="11"/>
  <c r="H48" i="10"/>
  <c r="D11" i="32"/>
  <c r="G48" i="38663" l="1"/>
  <c r="K11" i="3188"/>
  <c r="C11" i="5" s="1"/>
  <c r="E11" i="20"/>
  <c r="G11" s="1"/>
  <c r="D11" i="10"/>
  <c r="G11"/>
  <c r="E48"/>
  <c r="B48" i="38661"/>
  <c r="G11" i="38655"/>
  <c r="B11" i="41"/>
  <c r="B11" i="39"/>
  <c r="B11" i="20"/>
  <c r="G11" i="54"/>
  <c r="E48" i="38655"/>
  <c r="C48" i="32"/>
  <c r="D48" i="3188"/>
  <c r="B11" i="19"/>
  <c r="B11" i="40"/>
  <c r="D11" s="1"/>
  <c r="F11" i="11"/>
  <c r="J11" i="10"/>
  <c r="D11" i="26"/>
  <c r="E13" i="38658"/>
  <c r="E50" s="1"/>
  <c r="F11" i="41"/>
  <c r="G11" s="1"/>
  <c r="H11" i="18"/>
  <c r="I11" i="45"/>
  <c r="G11" s="1"/>
  <c r="I48" i="3188"/>
  <c r="E48"/>
  <c r="D48" i="11"/>
  <c r="B48" i="10"/>
  <c r="D48" i="35"/>
  <c r="D48" i="36"/>
  <c r="F48"/>
  <c r="F48" i="34"/>
  <c r="D48" i="32"/>
  <c r="B11" i="18"/>
  <c r="E48" i="38656"/>
  <c r="B29" i="18"/>
  <c r="B48" i="8"/>
  <c r="D29"/>
  <c r="D48" i="25"/>
  <c r="D29" i="19"/>
  <c r="B48" i="26"/>
  <c r="B48" i="34"/>
  <c r="B29" i="40"/>
  <c r="H29" i="18"/>
  <c r="D48" i="82"/>
  <c r="B29" i="39"/>
  <c r="D48" i="34"/>
  <c r="J48" i="9"/>
  <c r="C48" i="15"/>
  <c r="D48" i="8" s="1"/>
  <c r="E29" i="15"/>
  <c r="G29" i="38656" s="1"/>
  <c r="H54" i="23"/>
  <c r="D48" i="9"/>
  <c r="G29" i="41"/>
  <c r="D48" i="7"/>
  <c r="E29" i="38648"/>
  <c r="B29" i="19"/>
  <c r="K29" i="3188"/>
  <c r="B48" i="44"/>
  <c r="F29" i="45"/>
  <c r="B48" i="25"/>
  <c r="B48" i="82"/>
  <c r="B48" i="35"/>
  <c r="H48" i="7"/>
  <c r="G48"/>
  <c r="F48"/>
  <c r="I48"/>
  <c r="G48" i="8"/>
  <c r="G48" i="9"/>
  <c r="E29" i="76"/>
  <c r="K29" i="38667"/>
  <c r="D29" i="38661"/>
  <c r="D29" i="41"/>
  <c r="B48"/>
  <c r="B29" i="20"/>
  <c r="E11" i="38648"/>
  <c r="C29" i="41" l="1"/>
  <c r="G29" i="18"/>
  <c r="E48" i="20"/>
  <c r="F54" i="23" s="1"/>
  <c r="F48" i="41"/>
  <c r="G48" s="1"/>
  <c r="G13" i="38658"/>
  <c r="I13" s="1"/>
  <c r="G11" i="19"/>
  <c r="D11" i="38655"/>
  <c r="B11" i="76"/>
  <c r="B48" s="1"/>
  <c r="D11" i="27"/>
  <c r="D11" i="76" s="1"/>
  <c r="B48" i="27"/>
  <c r="D11" i="20"/>
  <c r="D11" i="38661"/>
  <c r="I11" i="43"/>
  <c r="B11" i="42" s="1"/>
  <c r="D11" i="19"/>
  <c r="D11" i="18"/>
  <c r="J11" i="38667"/>
  <c r="C11" i="44"/>
  <c r="C11" i="42" s="1"/>
  <c r="E11" i="45"/>
  <c r="H11" i="42" s="1"/>
  <c r="E11" i="44"/>
  <c r="D11" i="42" s="1"/>
  <c r="C11" i="45"/>
  <c r="G11" i="42" s="1"/>
  <c r="I11" i="44"/>
  <c r="F11" i="42" s="1"/>
  <c r="G11" i="44"/>
  <c r="E11" i="42" s="1"/>
  <c r="E11" i="5"/>
  <c r="F13" i="38659"/>
  <c r="H11" i="39"/>
  <c r="D11"/>
  <c r="F11"/>
  <c r="D11" i="41"/>
  <c r="C11"/>
  <c r="E11" i="18"/>
  <c r="B48" i="20"/>
  <c r="D29"/>
  <c r="B48" i="19"/>
  <c r="G29"/>
  <c r="B48" i="38655"/>
  <c r="D29"/>
  <c r="E29" i="5"/>
  <c r="H48" i="18"/>
  <c r="D29" i="40"/>
  <c r="B48"/>
  <c r="D48" s="1"/>
  <c r="D29" i="26"/>
  <c r="B29" i="43"/>
  <c r="F48" i="78"/>
  <c r="D48" i="41"/>
  <c r="G29" i="76"/>
  <c r="F48" i="45"/>
  <c r="C29" i="5"/>
  <c r="K48" i="3188"/>
  <c r="G29" i="20"/>
  <c r="E29" i="41"/>
  <c r="E48" i="15"/>
  <c r="E29" i="16"/>
  <c r="E48" s="1"/>
  <c r="D29" i="38656"/>
  <c r="G29" i="10"/>
  <c r="J29" i="38655"/>
  <c r="D29" i="10"/>
  <c r="D29" i="54"/>
  <c r="J29" i="26"/>
  <c r="F29" i="11"/>
  <c r="J29" i="54"/>
  <c r="G29"/>
  <c r="G29" i="26"/>
  <c r="J29" i="20"/>
  <c r="D29" i="27"/>
  <c r="D29" i="76" s="1"/>
  <c r="G29" i="38655"/>
  <c r="J29" i="10"/>
  <c r="I29" i="11"/>
  <c r="B48" i="39"/>
  <c r="D29"/>
  <c r="F29"/>
  <c r="H29"/>
  <c r="C50" i="38658"/>
  <c r="G31"/>
  <c r="D48" i="19"/>
  <c r="F29"/>
  <c r="J29" i="38667"/>
  <c r="B48" i="18"/>
  <c r="D29"/>
  <c r="E48" i="38648"/>
  <c r="G11" i="38667"/>
  <c r="E48" i="5" l="1"/>
  <c r="G48" i="20"/>
  <c r="G11" i="18"/>
  <c r="K11" i="38667"/>
  <c r="E48" i="18"/>
  <c r="G48" s="1"/>
  <c r="J11" i="54"/>
  <c r="E11" i="76"/>
  <c r="F11" i="19"/>
  <c r="L11" i="38667"/>
  <c r="I11" i="19"/>
  <c r="E48" i="76"/>
  <c r="J11" i="42"/>
  <c r="G48" i="76"/>
  <c r="J48" i="54"/>
  <c r="D48" i="38667"/>
  <c r="G29"/>
  <c r="H48" i="39"/>
  <c r="D48"/>
  <c r="F48"/>
  <c r="F52" i="22"/>
  <c r="F54"/>
  <c r="L29" i="38667"/>
  <c r="M29" s="1"/>
  <c r="I29" s="1"/>
  <c r="G48" i="19"/>
  <c r="I29"/>
  <c r="C48" i="41"/>
  <c r="G48" i="54"/>
  <c r="D48" i="18"/>
  <c r="B54" i="22"/>
  <c r="J48" i="38667"/>
  <c r="B52" i="22"/>
  <c r="J54"/>
  <c r="J52"/>
  <c r="F48" i="19"/>
  <c r="F31" i="38659"/>
  <c r="I31" i="38658"/>
  <c r="G50"/>
  <c r="I50" s="1"/>
  <c r="E48" i="41"/>
  <c r="G48" i="10"/>
  <c r="D48" i="38656"/>
  <c r="J48" i="20"/>
  <c r="D48" i="10"/>
  <c r="G48" i="26"/>
  <c r="F48" i="11"/>
  <c r="J48" i="26"/>
  <c r="D48" i="54"/>
  <c r="I48" i="11"/>
  <c r="J48" i="10"/>
  <c r="G48" i="38655"/>
  <c r="D48" i="27"/>
  <c r="D48" i="76" s="1"/>
  <c r="J48" i="38655"/>
  <c r="C48" i="5"/>
  <c r="F29" i="43"/>
  <c r="B48"/>
  <c r="D48" i="38655"/>
  <c r="H52" i="22"/>
  <c r="D54" i="23"/>
  <c r="D48" i="20"/>
  <c r="D48" i="38661"/>
  <c r="G48" i="38656"/>
  <c r="D48" i="26"/>
  <c r="M11" i="38667" l="1"/>
  <c r="I11" s="1"/>
  <c r="G11" i="76"/>
  <c r="B13" i="38659"/>
  <c r="E13" s="1"/>
  <c r="D11" i="5"/>
  <c r="D52" i="22"/>
  <c r="K48" i="38667"/>
  <c r="B31" i="38659"/>
  <c r="B48" i="5"/>
  <c r="F50" i="38659"/>
  <c r="B54" i="23"/>
  <c r="L48" i="38667"/>
  <c r="I48" i="19"/>
  <c r="H29" i="43"/>
  <c r="F48"/>
  <c r="G48" i="38667"/>
  <c r="D29" i="5"/>
  <c r="B48" i="48"/>
  <c r="M48" i="38667" l="1"/>
  <c r="I48" s="1"/>
  <c r="J13" i="38659"/>
  <c r="G13"/>
  <c r="K13" s="1"/>
  <c r="C11" i="8"/>
  <c r="F11" i="5"/>
  <c r="G11" i="38"/>
  <c r="E11" i="37"/>
  <c r="C11" i="38"/>
  <c r="E11"/>
  <c r="I11" i="26"/>
  <c r="I11" i="25"/>
  <c r="C11" i="7"/>
  <c r="F11" i="38656"/>
  <c r="I11" i="38655"/>
  <c r="I11" i="20"/>
  <c r="G11" i="25"/>
  <c r="I11" i="9"/>
  <c r="C11"/>
  <c r="C11" i="54"/>
  <c r="H11" i="11"/>
  <c r="F11" i="26"/>
  <c r="C11" i="38656"/>
  <c r="F11" i="8"/>
  <c r="C11" i="37"/>
  <c r="F11" i="20"/>
  <c r="C11" i="10"/>
  <c r="E11" i="35"/>
  <c r="E11" i="25"/>
  <c r="C11" i="34"/>
  <c r="G11"/>
  <c r="C11" i="82"/>
  <c r="C11" i="25"/>
  <c r="F11" i="10"/>
  <c r="F11" i="38655"/>
  <c r="E11" i="36"/>
  <c r="E11" i="34"/>
  <c r="F11" i="54"/>
  <c r="F11" i="9"/>
  <c r="E11" i="11"/>
  <c r="I11" i="10"/>
  <c r="C11" i="26"/>
  <c r="C11" i="36"/>
  <c r="G11"/>
  <c r="E11" i="82"/>
  <c r="C11" i="11"/>
  <c r="C11" i="35"/>
  <c r="C11" i="38655"/>
  <c r="C11" i="20"/>
  <c r="C11" i="18"/>
  <c r="I11"/>
  <c r="C11" i="19"/>
  <c r="C11" i="27"/>
  <c r="C11" i="76" s="1"/>
  <c r="C11" i="38661"/>
  <c r="H11" i="19"/>
  <c r="F11" i="18"/>
  <c r="I11" i="54"/>
  <c r="E11" i="19"/>
  <c r="F11" i="76"/>
  <c r="F29" i="5"/>
  <c r="D48"/>
  <c r="F29" i="10"/>
  <c r="C29" i="38656"/>
  <c r="C29" i="38"/>
  <c r="E29"/>
  <c r="C29" i="7"/>
  <c r="G29" i="34"/>
  <c r="E29" i="36"/>
  <c r="I29" i="54"/>
  <c r="F29"/>
  <c r="E29" i="35"/>
  <c r="F29" i="26"/>
  <c r="C29" i="11"/>
  <c r="I29" i="20"/>
  <c r="C29" i="27"/>
  <c r="C29" i="76" s="1"/>
  <c r="C29" i="36"/>
  <c r="I29" i="9"/>
  <c r="F29" i="38655"/>
  <c r="I29" i="10"/>
  <c r="H29" i="11"/>
  <c r="I29" i="25"/>
  <c r="G29" i="36"/>
  <c r="C29" i="9"/>
  <c r="I29" i="38655"/>
  <c r="C29" i="10"/>
  <c r="G29" i="25"/>
  <c r="G29" i="38"/>
  <c r="F29" i="9"/>
  <c r="F29" i="8"/>
  <c r="E29" i="37"/>
  <c r="C29"/>
  <c r="C29" i="54"/>
  <c r="I29" i="26"/>
  <c r="E29" i="11"/>
  <c r="F29" i="38656"/>
  <c r="C29" i="26"/>
  <c r="C29" i="34"/>
  <c r="E29"/>
  <c r="F29" i="20"/>
  <c r="F29" i="18"/>
  <c r="C29" i="8"/>
  <c r="E29" i="25"/>
  <c r="E29" i="82"/>
  <c r="C29" i="25"/>
  <c r="C29" i="82"/>
  <c r="C29" i="35"/>
  <c r="C29" i="38661"/>
  <c r="I29" i="18"/>
  <c r="F29" i="76"/>
  <c r="C29" i="20"/>
  <c r="C29" i="19"/>
  <c r="C29" i="38655"/>
  <c r="E29" i="19"/>
  <c r="C29" i="18"/>
  <c r="H29" i="19"/>
  <c r="I29" i="45"/>
  <c r="H48" i="43"/>
  <c r="D16" i="38660" s="1"/>
  <c r="E31" i="38659"/>
  <c r="B50"/>
  <c r="C16" i="38660"/>
  <c r="C24" s="1"/>
  <c r="E11" i="38667" l="1"/>
  <c r="D11" i="6"/>
  <c r="E11" s="1"/>
  <c r="C11" i="38648" s="1"/>
  <c r="D24" i="38660"/>
  <c r="E24" s="1"/>
  <c r="E16"/>
  <c r="J31" i="38659"/>
  <c r="E50"/>
  <c r="G31"/>
  <c r="K31" s="1"/>
  <c r="I29" i="43"/>
  <c r="B29" i="42" s="1"/>
  <c r="I48" i="45"/>
  <c r="C29"/>
  <c r="G29" i="42" s="1"/>
  <c r="E29" i="45"/>
  <c r="H29" i="42" s="1"/>
  <c r="I29" i="44"/>
  <c r="F29" i="42" s="1"/>
  <c r="G29" i="44"/>
  <c r="E29" i="42" s="1"/>
  <c r="E29" i="44"/>
  <c r="D29" i="42" s="1"/>
  <c r="C29" i="44"/>
  <c r="C29" i="42" s="1"/>
  <c r="G29" i="45"/>
  <c r="D29" i="6"/>
  <c r="F48" i="5"/>
  <c r="E29" i="38667"/>
  <c r="B48" i="70"/>
  <c r="M25" i="21"/>
  <c r="J54" i="23"/>
  <c r="C48" i="38656"/>
  <c r="C48" i="38"/>
  <c r="F48" i="10"/>
  <c r="H48" i="11"/>
  <c r="I48" i="10"/>
  <c r="F48" i="38655"/>
  <c r="I48" i="9"/>
  <c r="C48" i="27"/>
  <c r="C48" i="76" s="1"/>
  <c r="E48" i="37"/>
  <c r="C48" i="11"/>
  <c r="G48" i="34"/>
  <c r="I48" i="38655"/>
  <c r="I48" i="25"/>
  <c r="G48"/>
  <c r="G48" i="36"/>
  <c r="I48" i="20"/>
  <c r="C48" i="10"/>
  <c r="F48" i="26"/>
  <c r="C48" i="9"/>
  <c r="C48" i="7"/>
  <c r="C48" i="36"/>
  <c r="E48" i="35"/>
  <c r="E48" i="36"/>
  <c r="E48" i="11"/>
  <c r="I48" i="26"/>
  <c r="C48" i="54"/>
  <c r="F48" i="8"/>
  <c r="F48" i="9"/>
  <c r="C48" i="37"/>
  <c r="G48" i="38"/>
  <c r="F48" i="20"/>
  <c r="C48" i="35"/>
  <c r="C48" i="25"/>
  <c r="C48" i="34"/>
  <c r="C48" i="26"/>
  <c r="F48" i="38656"/>
  <c r="E48" i="34"/>
  <c r="C48" i="8"/>
  <c r="C48" i="38661"/>
  <c r="F48" i="18"/>
  <c r="C48" i="82"/>
  <c r="E48"/>
  <c r="E48" i="25"/>
  <c r="I48" i="18"/>
  <c r="C48"/>
  <c r="E48" i="19"/>
  <c r="C48" i="20"/>
  <c r="F48" i="76"/>
  <c r="I48" i="54"/>
  <c r="F48"/>
  <c r="C48" i="38655"/>
  <c r="C48" i="19"/>
  <c r="H48"/>
  <c r="E11" i="70" l="1"/>
  <c r="C48"/>
  <c r="E29"/>
  <c r="D48"/>
  <c r="E48" s="1"/>
  <c r="E29" i="6"/>
  <c r="C29" i="38648" s="1"/>
  <c r="D48" i="6"/>
  <c r="E48" s="1"/>
  <c r="C48" i="38648" s="1"/>
  <c r="I48" i="43"/>
  <c r="B48" i="42" s="1"/>
  <c r="E48" i="44"/>
  <c r="D48" i="42" s="1"/>
  <c r="L13" s="1"/>
  <c r="I48" i="44"/>
  <c r="F48" i="42" s="1"/>
  <c r="L15" s="1"/>
  <c r="C48" i="45"/>
  <c r="G48" i="42" s="1"/>
  <c r="L16" s="1"/>
  <c r="G48" i="44"/>
  <c r="E48" i="42" s="1"/>
  <c r="L14" s="1"/>
  <c r="E48" i="45"/>
  <c r="H48" i="42" s="1"/>
  <c r="L17" s="1"/>
  <c r="C48" i="44"/>
  <c r="C48" i="42" s="1"/>
  <c r="L12" s="1"/>
  <c r="G48" i="45"/>
  <c r="A54" i="42"/>
  <c r="A62" i="43"/>
  <c r="E48" i="38"/>
  <c r="E48" i="38667"/>
  <c r="J50" i="38659"/>
  <c r="G50"/>
  <c r="J29" i="42"/>
  <c r="L11" l="1"/>
  <c r="L19" s="1"/>
  <c r="J48"/>
</calcChain>
</file>

<file path=xl/comments1.xml><?xml version="1.0" encoding="utf-8"?>
<comments xmlns="http://schemas.openxmlformats.org/spreadsheetml/2006/main">
  <authors>
    <author>GPizzaro</author>
  </authors>
  <commentList>
    <comment ref="J8" authorId="0">
      <text>
        <r>
          <rPr>
            <sz val="8"/>
            <color indexed="81"/>
            <rFont val="Tahoma"/>
            <family val="2"/>
          </rPr>
          <t>Portioned assessment come from W:\Edusfb\Total School Assessment\YYYY F assessment.</t>
        </r>
      </text>
    </comment>
    <comment ref="H16" authorId="0">
      <text>
        <r>
          <rPr>
            <sz val="8"/>
            <color indexed="81"/>
            <rFont val="Tahoma"/>
            <family val="2"/>
          </rPr>
          <t xml:space="preserve">
Take it from the folder</t>
        </r>
      </text>
    </comment>
  </commentList>
</comments>
</file>

<file path=xl/sharedStrings.xml><?xml version="1.0" encoding="utf-8"?>
<sst xmlns="http://schemas.openxmlformats.org/spreadsheetml/2006/main" count="3580" uniqueCount="784">
  <si>
    <t>REVENUE AND TRANSFERS</t>
  </si>
  <si>
    <t xml:space="preserve"> EXPENSE BY CATEGORY</t>
  </si>
  <si>
    <t xml:space="preserve">  REVENUE BY CATEGORY</t>
  </si>
  <si>
    <t>EXPENSES, REVENUE AND ACCUMULATED SURPLUS</t>
  </si>
  <si>
    <t>TANGIBLE CAPITAL ASSETS</t>
  </si>
  <si>
    <r>
      <t xml:space="preserve">INFORMATION SERVICES </t>
    </r>
    <r>
      <rPr>
        <b/>
        <vertAlign val="superscript"/>
        <sz val="10"/>
        <rFont val="Arial"/>
        <family val="2"/>
      </rPr>
      <t>(2)</t>
    </r>
  </si>
  <si>
    <r>
      <t xml:space="preserve">RESIDENT PUPIL </t>
    </r>
    <r>
      <rPr>
        <b/>
        <vertAlign val="superscript"/>
        <sz val="10"/>
        <rFont val="Arial"/>
        <family val="2"/>
      </rPr>
      <t>(1)</t>
    </r>
  </si>
  <si>
    <r>
      <t xml:space="preserve">SUPPORT </t>
    </r>
    <r>
      <rPr>
        <b/>
        <vertAlign val="superscript"/>
        <sz val="10"/>
        <rFont val="Arial"/>
        <family val="2"/>
      </rPr>
      <t>(1)</t>
    </r>
  </si>
  <si>
    <r>
      <t xml:space="preserve">NEEDS </t>
    </r>
    <r>
      <rPr>
        <b/>
        <vertAlign val="superscript"/>
        <sz val="10"/>
        <rFont val="Arial"/>
        <family val="2"/>
      </rPr>
      <t>(2)</t>
    </r>
  </si>
  <si>
    <r>
      <t xml:space="preserve">CATEGORICAL </t>
    </r>
    <r>
      <rPr>
        <b/>
        <vertAlign val="superscript"/>
        <sz val="10"/>
        <rFont val="Arial"/>
        <family val="2"/>
      </rPr>
      <t>(1)</t>
    </r>
  </si>
  <si>
    <t>(5)</t>
  </si>
  <si>
    <r>
      <t xml:space="preserve">FUNCTION 300 </t>
    </r>
    <r>
      <rPr>
        <b/>
        <vertAlign val="superscript"/>
        <sz val="10"/>
        <rFont val="Arial"/>
        <family val="2"/>
      </rPr>
      <t>(1)</t>
    </r>
  </si>
  <si>
    <t>PUPIL / EDUCATOR</t>
  </si>
  <si>
    <t>RATIO</t>
  </si>
  <si>
    <t>FALLYR</t>
  </si>
  <si>
    <t>SPRINGYR</t>
  </si>
  <si>
    <t>PAGE 1 OF 3</t>
  </si>
  <si>
    <t xml:space="preserve"> </t>
  </si>
  <si>
    <t>PAGE 2 OF 3</t>
  </si>
  <si>
    <t>PAGE 3 OF 3</t>
  </si>
  <si>
    <t xml:space="preserve"> FRAME STUDENT STATISTICS</t>
  </si>
  <si>
    <t>PAGE 1 OF 2</t>
  </si>
  <si>
    <t xml:space="preserve">PAGE 2 OF 2 </t>
  </si>
  <si>
    <t xml:space="preserve"> FUNCTION 100: REGULAR INSTRUCTION</t>
  </si>
  <si>
    <t>ADMINISTRATION /</t>
  </si>
  <si>
    <t>CLINICAL AND</t>
  </si>
  <si>
    <t>BUSINESS AND</t>
  </si>
  <si>
    <t xml:space="preserve"> FUNCTION 400: COMMUNITY EDUCATION AND SERVICES</t>
  </si>
  <si>
    <t>INSTRUCTIONAL MGMT.</t>
  </si>
  <si>
    <t>MANAGEMENT</t>
  </si>
  <si>
    <t>PROFESSIONAL AND</t>
  </si>
  <si>
    <t>CURRICULUM CONSULTING</t>
  </si>
  <si>
    <t>COUNSELLING AND</t>
  </si>
  <si>
    <t xml:space="preserve"> FUNCTION 700: TRANSPORTATION OF PUPILS</t>
  </si>
  <si>
    <t xml:space="preserve"> FUNCTION 800: OPERATIONS AND MAINTENANCE</t>
  </si>
  <si>
    <t xml:space="preserve"> FUNCTION 900: FISCAL</t>
  </si>
  <si>
    <t>TECHNOLOGY</t>
  </si>
  <si>
    <t>TRANSPORTATION</t>
  </si>
  <si>
    <t>OPERATIONS AND</t>
  </si>
  <si>
    <t>REGULAR TRANSPORTATION</t>
  </si>
  <si>
    <t>ADMINISTRATION, REGULAR AND OTHER</t>
  </si>
  <si>
    <t>REPAIRS AND</t>
  </si>
  <si>
    <t>LESS</t>
  </si>
  <si>
    <t xml:space="preserve">TOTAL </t>
  </si>
  <si>
    <t>ADMINISTRATION</t>
  </si>
  <si>
    <t>ENGLISH LANGUAGE</t>
  </si>
  <si>
    <t>FRANÇAIS</t>
  </si>
  <si>
    <t>FRENCH IMMERSION</t>
  </si>
  <si>
    <t>COORDINATION</t>
  </si>
  <si>
    <t>RELATED SERVICES</t>
  </si>
  <si>
    <t>SUPPORT SERVICES</t>
  </si>
  <si>
    <t>COMMUNITY SERVICES</t>
  </si>
  <si>
    <t>BOARD OF TRUSTEES</t>
  </si>
  <si>
    <t>AND ADMINISTRATION</t>
  </si>
  <si>
    <t>ADMIN. SERVICES</t>
  </si>
  <si>
    <t>INFORMATION SERVICES</t>
  </si>
  <si>
    <t>STAFF DEVELOPMENT</t>
  </si>
  <si>
    <t>AND DEVELOPMENT</t>
  </si>
  <si>
    <t>OTHER</t>
  </si>
  <si>
    <t>ALLOWANCES IN LIEU</t>
  </si>
  <si>
    <t>BOARDING OF</t>
  </si>
  <si>
    <t>SCHOOL BUILDINGS</t>
  </si>
  <si>
    <t>REGULAR INSTRUCTION</t>
  </si>
  <si>
    <t>EXCEPTIONAL</t>
  </si>
  <si>
    <t>COMMUNITY EDUCATION</t>
  </si>
  <si>
    <t>OF PUPILS</t>
  </si>
  <si>
    <t>MAINTENANCE</t>
  </si>
  <si>
    <t>FISCAL</t>
  </si>
  <si>
    <t>TOTAL</t>
  </si>
  <si>
    <t>(PROGRAM 720)</t>
  </si>
  <si>
    <t>(PROGRAMS 710, 720 AND 790)</t>
  </si>
  <si>
    <t>REPLACEMENTS</t>
  </si>
  <si>
    <t>COMMUNITY</t>
  </si>
  <si>
    <t>EXPENDITURES</t>
  </si>
  <si>
    <t>PER</t>
  </si>
  <si>
    <t>&amp; RECREATION</t>
  </si>
  <si>
    <t>REGULAR</t>
  </si>
  <si>
    <t>OF TRANSPORTATION</t>
  </si>
  <si>
    <t>STUDENTS</t>
  </si>
  <si>
    <t>OTHER BUILDINGS</t>
  </si>
  <si>
    <t>GROUNDS</t>
  </si>
  <si>
    <t>DEBT SERVICES</t>
  </si>
  <si>
    <t>ENGLISH</t>
  </si>
  <si>
    <t>FRENCH</t>
  </si>
  <si>
    <t>NURSERY</t>
  </si>
  <si>
    <t xml:space="preserve">REGULAR </t>
  </si>
  <si>
    <t>TOTAL KM.</t>
  </si>
  <si>
    <t>COST</t>
  </si>
  <si>
    <t>LOADED</t>
  </si>
  <si>
    <t>COST PER</t>
  </si>
  <si>
    <t>EDUCATION</t>
  </si>
  <si>
    <t>FOR PER PUPIL</t>
  </si>
  <si>
    <t xml:space="preserve">    TRANSFERS BY FUNCTION</t>
  </si>
  <si>
    <t>AREA</t>
  </si>
  <si>
    <t xml:space="preserve"> DIVISION / DISTRICT</t>
  </si>
  <si>
    <t>AMOUNT</t>
  </si>
  <si>
    <t>%</t>
  </si>
  <si>
    <t>PUPIL</t>
  </si>
  <si>
    <t>LANGUAGE</t>
  </si>
  <si>
    <t>IMMERSION</t>
  </si>
  <si>
    <t>BILINGUAL</t>
  </si>
  <si>
    <t>PUPILS</t>
  </si>
  <si>
    <t>(ROUTES)</t>
  </si>
  <si>
    <t>PER KM.</t>
  </si>
  <si>
    <t>KM.</t>
  </si>
  <si>
    <t>(LOG BOOK)</t>
  </si>
  <si>
    <t xml:space="preserve">PER PUPIL </t>
  </si>
  <si>
    <t>RECHARGE</t>
  </si>
  <si>
    <t>TRANSFERS</t>
  </si>
  <si>
    <t>TOTAL PORTIONED ASSESSMENT, SPECIAL LEVY AND MILL RATES</t>
  </si>
  <si>
    <t>DATE:</t>
  </si>
  <si>
    <t>PROVINCIAL GOVERNMENT</t>
  </si>
  <si>
    <t>BASE SUPPORT</t>
  </si>
  <si>
    <t>CATEGORICAL SUPPORT</t>
  </si>
  <si>
    <t>PRIVATE</t>
  </si>
  <si>
    <t>% OF OPERATING FUND REVENUES</t>
  </si>
  <si>
    <t>PORTIONED ASSESSMENT</t>
  </si>
  <si>
    <t>FEDERAL</t>
  </si>
  <si>
    <t>MUNICIPAL</t>
  </si>
  <si>
    <t>OTHER SCHOOL</t>
  </si>
  <si>
    <t>ORGANIZATIONS</t>
  </si>
  <si>
    <t>NON-PROVINCIAL</t>
  </si>
  <si>
    <t>OPERATING</t>
  </si>
  <si>
    <t>GOVERNMENTS</t>
  </si>
  <si>
    <t>URBAN</t>
  </si>
  <si>
    <t>FARM</t>
  </si>
  <si>
    <t>SPECIAL</t>
  </si>
  <si>
    <t>ASSESSMENT</t>
  </si>
  <si>
    <t>COUNSELLING</t>
  </si>
  <si>
    <t>LIBRARY</t>
  </si>
  <si>
    <t>PROFESSIONAL</t>
  </si>
  <si>
    <t>BASE</t>
  </si>
  <si>
    <t>CATEGORICAL</t>
  </si>
  <si>
    <t>PROGRAM</t>
  </si>
  <si>
    <t>PROVINCIAL</t>
  </si>
  <si>
    <t>FUND</t>
  </si>
  <si>
    <t>GOVERNMENT</t>
  </si>
  <si>
    <t>DIVISIONS</t>
  </si>
  <si>
    <t>FIRST NATIONS</t>
  </si>
  <si>
    <t>&amp; INDIVIDUALS</t>
  </si>
  <si>
    <t>REVENUE</t>
  </si>
  <si>
    <t>SCHOOL</t>
  </si>
  <si>
    <t>FIRST</t>
  </si>
  <si>
    <t>ORG.'S &amp;</t>
  </si>
  <si>
    <t>DEBT</t>
  </si>
  <si>
    <t>CAPITAL</t>
  </si>
  <si>
    <t>AND FARM</t>
  </si>
  <si>
    <t>LAND AND</t>
  </si>
  <si>
    <t>LEVY</t>
  </si>
  <si>
    <t>MINING</t>
  </si>
  <si>
    <t>SUPPORT</t>
  </si>
  <si>
    <t>OCCUPANCY</t>
  </si>
  <si>
    <t>AND GUIDANCE</t>
  </si>
  <si>
    <t>SERVICES</t>
  </si>
  <si>
    <t>DEVELOPMENT</t>
  </si>
  <si>
    <t>NATIONS</t>
  </si>
  <si>
    <t>INDIVIDUALS</t>
  </si>
  <si>
    <t>BUILDINGS</t>
  </si>
  <si>
    <t>EQUIPMENT</t>
  </si>
  <si>
    <t>RESIDENTIAL</t>
  </si>
  <si>
    <t xml:space="preserve">OTHER  </t>
  </si>
  <si>
    <t>SPECIAL LEVY</t>
  </si>
  <si>
    <t>OTHER DIVISIONS</t>
  </si>
  <si>
    <t>OBJECT</t>
  </si>
  <si>
    <t>EMPLOYEE</t>
  </si>
  <si>
    <t>SUPPLIES AND</t>
  </si>
  <si>
    <t>SALARIES</t>
  </si>
  <si>
    <t>BENEFITS</t>
  </si>
  <si>
    <t>MATERIALS</t>
  </si>
  <si>
    <t>TOTALS</t>
  </si>
  <si>
    <t>COMMUNITY EDUCATION &amp; SERVICES</t>
  </si>
  <si>
    <t>TRANSPORTATION OF PUPILS</t>
  </si>
  <si>
    <t>OPERATIONS AND MAINTENANCE</t>
  </si>
  <si>
    <t>PAGE 2 OF 2</t>
  </si>
  <si>
    <t>FUNCTION</t>
  </si>
  <si>
    <t>INSTRUCTION</t>
  </si>
  <si>
    <t>EMPLOYEE BENEFITS AND ALLOWANCES</t>
  </si>
  <si>
    <t>FRAME STUDENT STATISTICS</t>
  </si>
  <si>
    <t xml:space="preserve">PAGE 1 OF 2 </t>
  </si>
  <si>
    <t>NO. OF</t>
  </si>
  <si>
    <t>%  IN DUAL TRACK SCHOOLS</t>
  </si>
  <si>
    <t>F.T.E.</t>
  </si>
  <si>
    <t>SUPPLEMENTARY DATA FOR FRAME REPORT</t>
  </si>
  <si>
    <t>CHECK</t>
  </si>
  <si>
    <t>ENROLMENTS - HEADCOUNT, FRAME AND ELIGIBLE</t>
  </si>
  <si>
    <t>ENROLMENT</t>
  </si>
  <si>
    <t>PUPIL / TEACHER RATIOS</t>
  </si>
  <si>
    <t>INSURANCE</t>
  </si>
  <si>
    <t>EMPLOYEE BENEFITS</t>
  </si>
  <si>
    <t>SUPPLIES &amp; MATERIALS</t>
  </si>
  <si>
    <t>OPERATIONS &amp; MAINTENANCE</t>
  </si>
  <si>
    <t>INSTRUCTIONAL &amp; PUPIL SUPPORT SERVICES</t>
  </si>
  <si>
    <t>DIVISIONAL</t>
  </si>
  <si>
    <t>DIVISIONAL ADMINISTRATION</t>
  </si>
  <si>
    <t xml:space="preserve"> FUNCTION 500: DIVISIONAL ADMINISTRATION</t>
  </si>
  <si>
    <t>PRE-KINDERGARTEN</t>
  </si>
  <si>
    <t xml:space="preserve">N/A </t>
  </si>
  <si>
    <t>SENIOR YEARS</t>
  </si>
  <si>
    <t>EXPENDITURE</t>
  </si>
  <si>
    <t>(1)</t>
  </si>
  <si>
    <t>- 10 -</t>
  </si>
  <si>
    <t>TRANSPORTED</t>
  </si>
  <si>
    <t>CURRICULAR</t>
  </si>
  <si>
    <t>INFORMATION</t>
  </si>
  <si>
    <t>EARLY</t>
  </si>
  <si>
    <t>INTERVENTION</t>
  </si>
  <si>
    <t>PAGE 1 OF 5</t>
  </si>
  <si>
    <t>PAGE 2 OF 5</t>
  </si>
  <si>
    <t>PAGE 3 OF 5</t>
  </si>
  <si>
    <t>PAGE 4 OF 5</t>
  </si>
  <si>
    <t>PAGE 5 OF 5</t>
  </si>
  <si>
    <t>ABORIGINAL</t>
  </si>
  <si>
    <t>ACADEMIC</t>
  </si>
  <si>
    <t>PROGRAMS</t>
  </si>
  <si>
    <t>LITERACY</t>
  </si>
  <si>
    <t>(Grants-</t>
  </si>
  <si>
    <t>in-Lieu)</t>
  </si>
  <si>
    <t>AND SERVICES</t>
  </si>
  <si>
    <t>ADULT LEARNING</t>
  </si>
  <si>
    <t>ADULT LEARNING CENTRES</t>
  </si>
  <si>
    <t>ACHIEVEMENT</t>
  </si>
  <si>
    <t>AND OTHER</t>
  </si>
  <si>
    <t>- 13 -</t>
  </si>
  <si>
    <t>- 12 -</t>
  </si>
  <si>
    <t>SQ. FT. PER</t>
  </si>
  <si>
    <t>INSTRUCTIONAL</t>
  </si>
  <si>
    <t>SCHOOLS</t>
  </si>
  <si>
    <t>FUNDING OF</t>
  </si>
  <si>
    <t>FUNDING OF SCHOOLS PROGRAM (CONT'D)</t>
  </si>
  <si>
    <t>FUNDING OF SCHOOLS PROGRAM</t>
  </si>
  <si>
    <t>TOTAL FUNDING</t>
  </si>
  <si>
    <t>OF SCHOOLS</t>
  </si>
  <si>
    <t>TECHNOLOGY EDUCATION</t>
  </si>
  <si>
    <t>CONTINUING</t>
  </si>
  <si>
    <t>REPAIRS</t>
  </si>
  <si>
    <t>EQUALIZATION</t>
  </si>
  <si>
    <t xml:space="preserve"> BEAUTIFUL PLAINS</t>
  </si>
  <si>
    <t xml:space="preserve"> BORDER LAND</t>
  </si>
  <si>
    <t xml:space="preserve"> BRANDON</t>
  </si>
  <si>
    <t xml:space="preserve"> EVERGREEN</t>
  </si>
  <si>
    <t xml:space="preserve"> FLIN FLON</t>
  </si>
  <si>
    <t xml:space="preserve"> FORT LA BOSSE</t>
  </si>
  <si>
    <t xml:space="preserve"> FRONTIER</t>
  </si>
  <si>
    <t xml:space="preserve"> GARDEN VALLEY</t>
  </si>
  <si>
    <t xml:space="preserve"> HANOVER</t>
  </si>
  <si>
    <t xml:space="preserve"> INTERLAKE</t>
  </si>
  <si>
    <t xml:space="preserve"> KELSEY</t>
  </si>
  <si>
    <t xml:space="preserve"> LAKESHORE</t>
  </si>
  <si>
    <t xml:space="preserve"> LORD SELKIRK</t>
  </si>
  <si>
    <t xml:space="preserve"> LOUIS RIEL</t>
  </si>
  <si>
    <t xml:space="preserve"> MOUNTAIN VIEW</t>
  </si>
  <si>
    <t xml:space="preserve"> MYSTERY LAKE</t>
  </si>
  <si>
    <t xml:space="preserve"> PARK WEST</t>
  </si>
  <si>
    <t xml:space="preserve"> PEMBINA TRAILS</t>
  </si>
  <si>
    <t xml:space="preserve"> PINE CREEK</t>
  </si>
  <si>
    <t xml:space="preserve"> PORTAGE LA PRAIRIE</t>
  </si>
  <si>
    <t xml:space="preserve"> PRAIRIE ROSE</t>
  </si>
  <si>
    <t xml:space="preserve"> PRAIRIE SPIRIT</t>
  </si>
  <si>
    <t xml:space="preserve"> RED RIVER VALLEY</t>
  </si>
  <si>
    <t xml:space="preserve"> RIVER EAST TRANSCONA</t>
  </si>
  <si>
    <t xml:space="preserve"> ROLLING RIVER</t>
  </si>
  <si>
    <t xml:space="preserve"> SEINE RIVER</t>
  </si>
  <si>
    <t xml:space="preserve"> SEVEN OAKS</t>
  </si>
  <si>
    <t xml:space="preserve"> SOUTHWEST HORIZON</t>
  </si>
  <si>
    <t xml:space="preserve"> ST. JAMES-ASSINIBOIA</t>
  </si>
  <si>
    <t xml:space="preserve"> SUNRISE</t>
  </si>
  <si>
    <t xml:space="preserve"> SWAN VALLEY</t>
  </si>
  <si>
    <t xml:space="preserve"> TURTLE MOUNTAIN</t>
  </si>
  <si>
    <t xml:space="preserve"> TURTLE RIVER</t>
  </si>
  <si>
    <t xml:space="preserve"> WESTERN</t>
  </si>
  <si>
    <t xml:space="preserve"> WINNIPEG</t>
  </si>
  <si>
    <t xml:space="preserve"> PROVINCE</t>
  </si>
  <si>
    <t xml:space="preserve"> WHITESHELL</t>
  </si>
  <si>
    <t xml:space="preserve"> WPG. TECHNICAL COLLEGE</t>
  </si>
  <si>
    <t xml:space="preserve"> D.S.F.M.</t>
  </si>
  <si>
    <t>MEDIA CENTRE</t>
  </si>
  <si>
    <t>FIELD TRIPS</t>
  </si>
  <si>
    <t>EXPENSES</t>
  </si>
  <si>
    <t xml:space="preserve">CO. </t>
  </si>
  <si>
    <t>DIVISION/DISTRICT</t>
  </si>
  <si>
    <t>BE</t>
  </si>
  <si>
    <t>BO</t>
  </si>
  <si>
    <t>BR</t>
  </si>
  <si>
    <t>DI</t>
  </si>
  <si>
    <t>EV</t>
  </si>
  <si>
    <t>FL</t>
  </si>
  <si>
    <t>FO</t>
  </si>
  <si>
    <t>FR</t>
  </si>
  <si>
    <t>GA</t>
  </si>
  <si>
    <t>HA</t>
  </si>
  <si>
    <t>IN</t>
  </si>
  <si>
    <t>KE</t>
  </si>
  <si>
    <t>LA</t>
  </si>
  <si>
    <t>LO</t>
  </si>
  <si>
    <t>LR</t>
  </si>
  <si>
    <t>MO</t>
  </si>
  <si>
    <t>MY</t>
  </si>
  <si>
    <t>PA</t>
  </si>
  <si>
    <t>PE</t>
  </si>
  <si>
    <t>PI</t>
  </si>
  <si>
    <t>PO</t>
  </si>
  <si>
    <t>PR</t>
  </si>
  <si>
    <t>PS</t>
  </si>
  <si>
    <t>RE</t>
  </si>
  <si>
    <t>RI</t>
  </si>
  <si>
    <t>RO</t>
  </si>
  <si>
    <t>SE</t>
  </si>
  <si>
    <t>SO</t>
  </si>
  <si>
    <t>SR</t>
  </si>
  <si>
    <t>ST</t>
  </si>
  <si>
    <t>SU</t>
  </si>
  <si>
    <t>SW</t>
  </si>
  <si>
    <t>TM</t>
  </si>
  <si>
    <t>TR</t>
  </si>
  <si>
    <t>WE</t>
  </si>
  <si>
    <t>WI</t>
  </si>
  <si>
    <t>WT</t>
  </si>
  <si>
    <t>XW</t>
  </si>
  <si>
    <t>CENTRES</t>
  </si>
  <si>
    <t xml:space="preserve"> FUNCTION 300: ADULT LEARNING CENTRES</t>
  </si>
  <si>
    <t xml:space="preserve">  TRUSTEES REMUNERATION</t>
  </si>
  <si>
    <t xml:space="preserve">  INSTRUCTIONAL - TEACHING</t>
  </si>
  <si>
    <t xml:space="preserve">  INSTRUCTIONAL - OTHER</t>
  </si>
  <si>
    <t xml:space="preserve">  TECHNICAL, SPECIALIZED AND SERVICE</t>
  </si>
  <si>
    <t xml:space="preserve">  SECRETARIAL, CLERICAL AND OTHER</t>
  </si>
  <si>
    <t xml:space="preserve">  CLINICIAN</t>
  </si>
  <si>
    <t xml:space="preserve">  INFORMATION TECHNOLOGY</t>
  </si>
  <si>
    <t xml:space="preserve">  TOTAL SALARIES</t>
  </si>
  <si>
    <t xml:space="preserve">  PROFESSIONAL, TECHNICAL &amp; SPECIALIZED</t>
  </si>
  <si>
    <t xml:space="preserve">  COMMUNICATIONS</t>
  </si>
  <si>
    <t xml:space="preserve">  UTILITY SERVICES</t>
  </si>
  <si>
    <t xml:space="preserve">  TRANSPORTATION OF PUPILS</t>
  </si>
  <si>
    <t xml:space="preserve">  TUITION</t>
  </si>
  <si>
    <t xml:space="preserve">  PRINTING AND BINDING</t>
  </si>
  <si>
    <t xml:space="preserve">  INSURANCE AND BOND PREMIUMS</t>
  </si>
  <si>
    <t xml:space="preserve">  MAINTENANCE AND REPAIR SERVICES</t>
  </si>
  <si>
    <t xml:space="preserve">  RENTALS</t>
  </si>
  <si>
    <t xml:space="preserve">  ADVERTISING</t>
  </si>
  <si>
    <t xml:space="preserve">  DUES AND FEES</t>
  </si>
  <si>
    <t xml:space="preserve">  PROFESSIONAL AND STAFF DEVELOPMENT</t>
  </si>
  <si>
    <t xml:space="preserve">  INFORMATION TECHNOLOGY SERVICES</t>
  </si>
  <si>
    <t xml:space="preserve">  TOTAL SERVICES</t>
  </si>
  <si>
    <t>SUPPLIES AND EQUIPMENT</t>
  </si>
  <si>
    <t xml:space="preserve">  SUPPLIES</t>
  </si>
  <si>
    <t xml:space="preserve">  CURRICULAR AND MEDIA MATERIALS</t>
  </si>
  <si>
    <t xml:space="preserve">  MINOR EQUIPMENT</t>
  </si>
  <si>
    <t xml:space="preserve">  INFORMATION TECHNOLOGY EQUIPMENT</t>
  </si>
  <si>
    <t xml:space="preserve">  TOTAL SUPPLIES AND EQUIPMENT</t>
  </si>
  <si>
    <t xml:space="preserve">  DEBT SERVICES</t>
  </si>
  <si>
    <t xml:space="preserve">  OTHER GOVERNMENT AUTHORITIES</t>
  </si>
  <si>
    <t xml:space="preserve">  TOTAL TRANSFERS</t>
  </si>
  <si>
    <t>PROVINCE</t>
  </si>
  <si>
    <t>LIBRARY /</t>
  </si>
  <si>
    <t xml:space="preserve">  TRAVEL AND MEETINGS</t>
  </si>
  <si>
    <t>OPERATING FUND - ACCUMULATED SURPLUS/(DEFICIT)</t>
  </si>
  <si>
    <t>(2)</t>
  </si>
  <si>
    <t>LOCAL TAXATION AND ASSESSMENT PER RESIDENT PUPIL</t>
  </si>
  <si>
    <t xml:space="preserve">  EXECUTIVE, MANAGERIAL &amp; SUPERVISORY</t>
  </si>
  <si>
    <t>ACTUAL</t>
  </si>
  <si>
    <t xml:space="preserve"> DIVISION/DISTRICT TOTAL</t>
  </si>
  <si>
    <t xml:space="preserve"> L.G.D. OF PINAWA</t>
  </si>
  <si>
    <t xml:space="preserve"> NOT IN ANY DIVISION</t>
  </si>
  <si>
    <t>MILL RATE</t>
  </si>
  <si>
    <t>PER RESIDENT</t>
  </si>
  <si>
    <t>STATISTICAL SUMMARY</t>
  </si>
  <si>
    <t>AND DEVELOPMENT ADMIN.</t>
  </si>
  <si>
    <t>LESS:</t>
  </si>
  <si>
    <t>LIABILITY</t>
  </si>
  <si>
    <t>CURRICULUM</t>
  </si>
  <si>
    <t>CONSULTING /</t>
  </si>
  <si>
    <t>OPERATIONS &amp;</t>
  </si>
  <si>
    <t xml:space="preserve"> &amp; ADMIN.</t>
  </si>
  <si>
    <t>PORTION OF</t>
  </si>
  <si>
    <t>FUNCTION 500</t>
  </si>
  <si>
    <t>PROGRAM 605</t>
  </si>
  <si>
    <t>PROGRAM 710</t>
  </si>
  <si>
    <t>PROGRAM 810</t>
  </si>
  <si>
    <t>SELF-FUNDED</t>
  </si>
  <si>
    <t>ADMIN.</t>
  </si>
  <si>
    <t>(3)</t>
  </si>
  <si>
    <t>(4)</t>
  </si>
  <si>
    <t>CALCULATION OF EXPENDITURE BASE AND ADMINISTRATION PERCENTAGE</t>
  </si>
  <si>
    <t>PLUS</t>
  </si>
  <si>
    <t>LESS ADULT</t>
  </si>
  <si>
    <t>TO</t>
  </si>
  <si>
    <t>LEARNING</t>
  </si>
  <si>
    <t>ADJUSTED</t>
  </si>
  <si>
    <t>AS % OF</t>
  </si>
  <si>
    <t>(from page 3)</t>
  </si>
  <si>
    <t>ADMIN. COSTS</t>
  </si>
  <si>
    <r>
      <t xml:space="preserve">EXPENSES </t>
    </r>
    <r>
      <rPr>
        <b/>
        <vertAlign val="superscript"/>
        <sz val="10"/>
        <rFont val="Arial"/>
        <family val="2"/>
      </rPr>
      <t>(1)</t>
    </r>
  </si>
  <si>
    <r>
      <t xml:space="preserve">TRANSFERS </t>
    </r>
    <r>
      <rPr>
        <b/>
        <vertAlign val="superscript"/>
        <sz val="10"/>
        <rFont val="Arial"/>
        <family val="2"/>
      </rPr>
      <t>(2)</t>
    </r>
  </si>
  <si>
    <r>
      <t xml:space="preserve">&amp; SERVICES </t>
    </r>
    <r>
      <rPr>
        <b/>
        <vertAlign val="superscript"/>
        <sz val="10"/>
        <rFont val="Arial"/>
        <family val="2"/>
      </rPr>
      <t>(4)</t>
    </r>
  </si>
  <si>
    <r>
      <t xml:space="preserve">COSTS </t>
    </r>
    <r>
      <rPr>
        <b/>
        <vertAlign val="superscript"/>
        <sz val="10"/>
        <rFont val="Arial"/>
        <family val="2"/>
      </rPr>
      <t>(5)</t>
    </r>
  </si>
  <si>
    <r>
      <t xml:space="preserve">SINGLE TRACK </t>
    </r>
    <r>
      <rPr>
        <b/>
        <vertAlign val="superscript"/>
        <sz val="10"/>
        <rFont val="Arial"/>
        <family val="2"/>
      </rPr>
      <t>(1)</t>
    </r>
  </si>
  <si>
    <r>
      <t xml:space="preserve">DUAL TRACK </t>
    </r>
    <r>
      <rPr>
        <b/>
        <vertAlign val="superscript"/>
        <sz val="10"/>
        <rFont val="Arial"/>
        <family val="2"/>
      </rPr>
      <t>(2)</t>
    </r>
  </si>
  <si>
    <r>
      <t xml:space="preserve">HEADCOUNT </t>
    </r>
    <r>
      <rPr>
        <b/>
        <vertAlign val="superscript"/>
        <sz val="10"/>
        <rFont val="Arial"/>
        <family val="2"/>
      </rPr>
      <t>(1)</t>
    </r>
  </si>
  <si>
    <r>
      <t xml:space="preserve">FRAME </t>
    </r>
    <r>
      <rPr>
        <b/>
        <vertAlign val="superscript"/>
        <sz val="10"/>
        <rFont val="Arial"/>
        <family val="2"/>
      </rPr>
      <t>(2)</t>
    </r>
  </si>
  <si>
    <r>
      <t xml:space="preserve">ELIGIBLE </t>
    </r>
    <r>
      <rPr>
        <b/>
        <vertAlign val="superscript"/>
        <sz val="10"/>
        <rFont val="Arial"/>
        <family val="2"/>
      </rPr>
      <t>(3)</t>
    </r>
  </si>
  <si>
    <r>
      <t>(1)</t>
    </r>
    <r>
      <rPr>
        <sz val="9"/>
        <rFont val="Arial"/>
        <family val="2"/>
      </rPr>
      <t xml:space="preserve">  Pupils taught in schools, whether or not they are counted for grant purposes.</t>
    </r>
  </si>
  <si>
    <r>
      <t xml:space="preserve">INSTRUCTION </t>
    </r>
    <r>
      <rPr>
        <b/>
        <vertAlign val="superscript"/>
        <sz val="10"/>
        <rFont val="Arial"/>
        <family val="2"/>
      </rPr>
      <t>(1)</t>
    </r>
  </si>
  <si>
    <r>
      <t xml:space="preserve">EDUCATOR </t>
    </r>
    <r>
      <rPr>
        <b/>
        <vertAlign val="superscript"/>
        <sz val="10"/>
        <rFont val="Arial"/>
        <family val="2"/>
      </rPr>
      <t>(2)</t>
    </r>
  </si>
  <si>
    <r>
      <t>(2)</t>
    </r>
    <r>
      <rPr>
        <sz val="9"/>
        <rFont val="Arial"/>
        <family val="2"/>
      </rPr>
      <t xml:space="preserve">  The total number of pupils enrolled in schools adjusted for full time equivalence (F.T.E.).  Full time equivalent means pupils are counted on the</t>
    </r>
  </si>
  <si>
    <r>
      <t xml:space="preserve">  RECHARGE </t>
    </r>
    <r>
      <rPr>
        <vertAlign val="superscript"/>
        <sz val="10"/>
        <rFont val="Arial"/>
        <family val="2"/>
      </rPr>
      <t>(1)</t>
    </r>
  </si>
  <si>
    <r>
      <t xml:space="preserve">SINGLE TRACK SCHOOLS </t>
    </r>
    <r>
      <rPr>
        <b/>
        <vertAlign val="superscript"/>
        <sz val="10"/>
        <rFont val="Arial"/>
        <family val="2"/>
      </rPr>
      <t>(1)</t>
    </r>
  </si>
  <si>
    <r>
      <t xml:space="preserve">DUAL TRACK SCHOOLS </t>
    </r>
    <r>
      <rPr>
        <b/>
        <vertAlign val="superscript"/>
        <sz val="10"/>
        <rFont val="Arial"/>
        <family val="2"/>
      </rPr>
      <t>(1)</t>
    </r>
  </si>
  <si>
    <r>
      <t xml:space="preserve">GIFTED EDUCATION </t>
    </r>
    <r>
      <rPr>
        <b/>
        <vertAlign val="superscript"/>
        <sz val="10"/>
        <rFont val="Arial"/>
        <family val="2"/>
      </rPr>
      <t>(1)</t>
    </r>
  </si>
  <si>
    <r>
      <t xml:space="preserve">SQ. FT. </t>
    </r>
    <r>
      <rPr>
        <b/>
        <vertAlign val="superscript"/>
        <sz val="10"/>
        <rFont val="Arial"/>
        <family val="2"/>
      </rPr>
      <t>(1)</t>
    </r>
  </si>
  <si>
    <r>
      <t xml:space="preserve">PUPIL </t>
    </r>
    <r>
      <rPr>
        <b/>
        <vertAlign val="superscript"/>
        <sz val="10"/>
        <rFont val="Arial"/>
        <family val="2"/>
      </rPr>
      <t>(2)</t>
    </r>
  </si>
  <si>
    <t xml:space="preserve">      400 (Community Education and Services).</t>
  </si>
  <si>
    <r>
      <t xml:space="preserve">PROVINCIAL </t>
    </r>
    <r>
      <rPr>
        <b/>
        <vertAlign val="superscript"/>
        <sz val="10"/>
        <rFont val="Arial"/>
        <family val="2"/>
      </rPr>
      <t>(1)</t>
    </r>
  </si>
  <si>
    <t>FOR ADULTS</t>
  </si>
  <si>
    <r>
      <t xml:space="preserve">PER PUPIL </t>
    </r>
    <r>
      <rPr>
        <b/>
        <vertAlign val="superscript"/>
        <sz val="10"/>
        <rFont val="Arial"/>
        <family val="2"/>
      </rPr>
      <t>(1)</t>
    </r>
  </si>
  <si>
    <t>PROPERTY</t>
  </si>
  <si>
    <r>
      <t xml:space="preserve">PROGRAM </t>
    </r>
    <r>
      <rPr>
        <b/>
        <vertAlign val="superscript"/>
        <sz val="9"/>
        <rFont val="Arial"/>
        <family val="2"/>
      </rPr>
      <t>(1)</t>
    </r>
  </si>
  <si>
    <r>
      <t xml:space="preserve">TAX CREDIT </t>
    </r>
    <r>
      <rPr>
        <b/>
        <vertAlign val="superscript"/>
        <sz val="9"/>
        <rFont val="Arial"/>
        <family val="2"/>
      </rPr>
      <t>(2)</t>
    </r>
  </si>
  <si>
    <r>
      <t xml:space="preserve">REVENUE </t>
    </r>
    <r>
      <rPr>
        <b/>
        <vertAlign val="superscript"/>
        <sz val="9"/>
        <rFont val="Arial"/>
        <family val="2"/>
      </rPr>
      <t>(4)</t>
    </r>
  </si>
  <si>
    <r>
      <t xml:space="preserve">REVENUE </t>
    </r>
    <r>
      <rPr>
        <b/>
        <vertAlign val="superscript"/>
        <sz val="9"/>
        <rFont val="Arial"/>
        <family val="2"/>
      </rPr>
      <t>(5)</t>
    </r>
  </si>
  <si>
    <t xml:space="preserve"> WPG. TECH. COLLEGE</t>
  </si>
  <si>
    <t xml:space="preserve">      International Baccalaureate and Advanced Placement classes.</t>
  </si>
  <si>
    <t>K-12</t>
  </si>
  <si>
    <t>K-12  F.T.E.</t>
  </si>
  <si>
    <t>NON K-12</t>
  </si>
  <si>
    <r>
      <t xml:space="preserve">LEVY </t>
    </r>
    <r>
      <rPr>
        <b/>
        <vertAlign val="superscript"/>
        <sz val="10"/>
        <rFont val="Arial"/>
        <family val="2"/>
      </rPr>
      <t>(1)</t>
    </r>
  </si>
  <si>
    <r>
      <t xml:space="preserve">MILL RATE </t>
    </r>
    <r>
      <rPr>
        <b/>
        <vertAlign val="superscript"/>
        <sz val="10"/>
        <rFont val="Arial"/>
        <family val="2"/>
      </rPr>
      <t>(2)</t>
    </r>
  </si>
  <si>
    <t>ADDITIONAL</t>
  </si>
  <si>
    <r>
      <t xml:space="preserve">SUPPORT </t>
    </r>
    <r>
      <rPr>
        <b/>
        <vertAlign val="superscript"/>
        <sz val="9"/>
        <rFont val="Arial"/>
        <family val="2"/>
      </rPr>
      <t>(1)</t>
    </r>
  </si>
  <si>
    <r>
      <t xml:space="preserve">SUPPORT </t>
    </r>
    <r>
      <rPr>
        <b/>
        <vertAlign val="superscript"/>
        <sz val="9"/>
        <rFont val="Arial"/>
        <family val="2"/>
      </rPr>
      <t>(2)</t>
    </r>
  </si>
  <si>
    <t>PROVINCIAL CONTRIBUTION TO PUBLIC EDUCATION</t>
  </si>
  <si>
    <t xml:space="preserve">Provincial </t>
  </si>
  <si>
    <t>Contribution</t>
  </si>
  <si>
    <t>Contribution as %</t>
  </si>
  <si>
    <t>FRAME Operating Fund</t>
  </si>
  <si>
    <t>Provincial Capital Grant Funding and Other</t>
  </si>
  <si>
    <t>n/a</t>
  </si>
  <si>
    <t>Farmland School Tax Rebate</t>
  </si>
  <si>
    <t>Pensioners' School Tax Assistance</t>
  </si>
  <si>
    <t>Adjusted Total</t>
  </si>
  <si>
    <t xml:space="preserve"> Source:</t>
  </si>
  <si>
    <r>
      <t xml:space="preserve">Manitoba Education Property Tax Credit </t>
    </r>
    <r>
      <rPr>
        <vertAlign val="superscript"/>
        <sz val="11"/>
        <rFont val="Arial"/>
        <family val="2"/>
      </rPr>
      <t>(1)</t>
    </r>
  </si>
  <si>
    <t xml:space="preserve">  PROPERTY TAXES</t>
  </si>
  <si>
    <t xml:space="preserve"> FUNCTION 200: STUDENT SUPPORT SERVICES</t>
  </si>
  <si>
    <t>STUDENT SUPPORT</t>
  </si>
  <si>
    <t>INSTRUCTIONAL &amp; OTHER</t>
  </si>
  <si>
    <t xml:space="preserve"> FUNCTION 600: INSTRUCTIONAL &amp; OTHER SUPPORT SERVICES</t>
  </si>
  <si>
    <t>N-12</t>
  </si>
  <si>
    <t>STUDENT</t>
  </si>
  <si>
    <t>CHILDHOOD</t>
  </si>
  <si>
    <t>ENGLISH AS AN</t>
  </si>
  <si>
    <t>PLACEMENT</t>
  </si>
  <si>
    <t>PAGE 6 OF 17</t>
  </si>
  <si>
    <t>PAGE 1 OF 17</t>
  </si>
  <si>
    <t>PAGE 16 OF 17</t>
  </si>
  <si>
    <t>PAGE 15 OF 17</t>
  </si>
  <si>
    <t>PAGE 14 OF 17</t>
  </si>
  <si>
    <t>PAGE 13 OF 17</t>
  </si>
  <si>
    <t>PAGE 12 OF 17</t>
  </si>
  <si>
    <t>PAGE 11 OF 17</t>
  </si>
  <si>
    <t>PAGE 10 OF 17</t>
  </si>
  <si>
    <t>PAGE 9 OF 17</t>
  </si>
  <si>
    <t>PAGE 8 OF 17</t>
  </si>
  <si>
    <t>PAGE 7 OF 17</t>
  </si>
  <si>
    <t>PAGE 5 OF 17</t>
  </si>
  <si>
    <t>PAGE 4 OF 17</t>
  </si>
  <si>
    <t>PAGE 3 OF 17</t>
  </si>
  <si>
    <t>PAGE 2 OF 17</t>
  </si>
  <si>
    <t>PAGE 17 OF 17</t>
  </si>
  <si>
    <t>INTEREST AND</t>
  </si>
  <si>
    <t>BANK CHARGES</t>
  </si>
  <si>
    <t>BAD</t>
  </si>
  <si>
    <t>PORTIONED</t>
  </si>
  <si>
    <t xml:space="preserve"> SUPPORT LEVY</t>
  </si>
  <si>
    <t>TOTAL DEFINED ADMINISTRATION EXPENSES</t>
  </si>
  <si>
    <t>RECONCILIATION  OF  EXPENSES</t>
  </si>
  <si>
    <r>
      <t xml:space="preserve">EXPENSES </t>
    </r>
    <r>
      <rPr>
        <b/>
        <vertAlign val="superscript"/>
        <sz val="10"/>
        <rFont val="Arial"/>
        <family val="2"/>
      </rPr>
      <t>(1)</t>
    </r>
    <r>
      <rPr>
        <sz val="9"/>
        <color indexed="9"/>
        <rFont val="Arial"/>
        <family val="2"/>
      </rPr>
      <t>X</t>
    </r>
  </si>
  <si>
    <t>ACCUMULATED</t>
  </si>
  <si>
    <t>CLOSING</t>
  </si>
  <si>
    <t>SURPLUS /</t>
  </si>
  <si>
    <t>EQUITY</t>
  </si>
  <si>
    <t>PAGE 1 OF 4</t>
  </si>
  <si>
    <t>PAGE 3 OF 4</t>
  </si>
  <si>
    <t>PAGE 2 OF 4</t>
  </si>
  <si>
    <t>PAGE 4 OF 4</t>
  </si>
  <si>
    <t>EXPENSE BY FUNCTION AND OBJECT</t>
  </si>
  <si>
    <t>EXPENSE BY 2ND LEVEL OBJECT</t>
  </si>
  <si>
    <t>AS A PERCENTAGE OF TOTAL OPERATING FUND EXPENSES</t>
  </si>
  <si>
    <t>STUDENT SUPPORT SERVICES</t>
  </si>
  <si>
    <r>
      <t xml:space="preserve">OF TRANFERS </t>
    </r>
    <r>
      <rPr>
        <b/>
        <vertAlign val="superscript"/>
        <sz val="10"/>
        <rFont val="Arial"/>
        <family val="2"/>
      </rPr>
      <t>(3)</t>
    </r>
  </si>
  <si>
    <t>EXPENSES NET</t>
  </si>
  <si>
    <t>School Division Capital (transfers to capital fund)</t>
  </si>
  <si>
    <t>ANALYSIS OF EXPENSE BY FUNCTION</t>
  </si>
  <si>
    <t xml:space="preserve"> ANALYSIS OF OPERATIONS AND MAINTENANCE EXPENSES FOR SCHOOL BUILDINGS</t>
  </si>
  <si>
    <t>ANALYSIS OF EXPENSE BY PROGRAM</t>
  </si>
  <si>
    <t>OPERATING FUND COST PER PUPIL</t>
  </si>
  <si>
    <r>
      <t xml:space="preserve"> INFORMATION TECHNOLOGY EXPENSES </t>
    </r>
    <r>
      <rPr>
        <b/>
        <vertAlign val="superscript"/>
        <sz val="10"/>
        <rFont val="Arial"/>
        <family val="2"/>
      </rPr>
      <t>(1)</t>
    </r>
  </si>
  <si>
    <t>ANALYSIS OF TRANSPORTATION EXPENSES (CONT'D)</t>
  </si>
  <si>
    <t>ANALYSIS OF TRANSPORTATION EXPENSES</t>
  </si>
  <si>
    <t>RESERVE</t>
  </si>
  <si>
    <t>COMPRISED OF:</t>
  </si>
  <si>
    <t>EQUITY IN</t>
  </si>
  <si>
    <t>TANGIBLE</t>
  </si>
  <si>
    <t>GENERATED</t>
  </si>
  <si>
    <t>FUNDS</t>
  </si>
  <si>
    <t>BAD DEBT</t>
  </si>
  <si>
    <t>EXPENSE</t>
  </si>
  <si>
    <r>
      <t xml:space="preserve">  RECHARGE </t>
    </r>
    <r>
      <rPr>
        <vertAlign val="superscript"/>
        <sz val="9"/>
        <rFont val="Arial"/>
        <family val="2"/>
      </rPr>
      <t>(1)</t>
    </r>
  </si>
  <si>
    <t xml:space="preserve">  BAD DEBT EXPENSE</t>
  </si>
  <si>
    <r>
      <t xml:space="preserve">GOVERNMENT </t>
    </r>
    <r>
      <rPr>
        <b/>
        <vertAlign val="superscript"/>
        <sz val="10"/>
        <rFont val="Arial"/>
        <family val="2"/>
      </rPr>
      <t>(1)</t>
    </r>
  </si>
  <si>
    <r>
      <t xml:space="preserve">SOURCES </t>
    </r>
    <r>
      <rPr>
        <b/>
        <vertAlign val="superscript"/>
        <sz val="10"/>
        <rFont val="Arial"/>
        <family val="2"/>
      </rPr>
      <t>(2)</t>
    </r>
  </si>
  <si>
    <r>
      <t xml:space="preserve">LAND </t>
    </r>
    <r>
      <rPr>
        <b/>
        <vertAlign val="superscript"/>
        <sz val="10"/>
        <rFont val="Arial"/>
        <family val="2"/>
      </rPr>
      <t>(1)</t>
    </r>
  </si>
  <si>
    <r>
      <t xml:space="preserve">ASSETS </t>
    </r>
    <r>
      <rPr>
        <b/>
        <vertAlign val="superscript"/>
        <sz val="10"/>
        <rFont val="Arial"/>
        <family val="2"/>
      </rPr>
      <t>(1)</t>
    </r>
  </si>
  <si>
    <r>
      <t xml:space="preserve">ACCOUNTS </t>
    </r>
    <r>
      <rPr>
        <b/>
        <vertAlign val="superscript"/>
        <sz val="10"/>
        <rFont val="Arial"/>
        <family val="2"/>
      </rPr>
      <t>(2)</t>
    </r>
  </si>
  <si>
    <t>Total Expense on</t>
  </si>
  <si>
    <t>Public Education</t>
  </si>
  <si>
    <t xml:space="preserve">  ACCUMULATED SURPLUS / EQUITY</t>
  </si>
  <si>
    <r>
      <t xml:space="preserve">AMORTIZATION </t>
    </r>
    <r>
      <rPr>
        <b/>
        <vertAlign val="superscript"/>
        <sz val="9"/>
        <rFont val="Arial"/>
        <family val="2"/>
      </rPr>
      <t>(1)</t>
    </r>
  </si>
  <si>
    <r>
      <t xml:space="preserve">INTEREST </t>
    </r>
    <r>
      <rPr>
        <b/>
        <vertAlign val="superscript"/>
        <sz val="9"/>
        <rFont val="Arial"/>
        <family val="2"/>
      </rPr>
      <t>(2)</t>
    </r>
  </si>
  <si>
    <r>
      <t>GOVERNMENT</t>
    </r>
    <r>
      <rPr>
        <b/>
        <vertAlign val="superscript"/>
        <sz val="9"/>
        <rFont val="Arial"/>
        <family val="2"/>
      </rPr>
      <t xml:space="preserve"> (1)</t>
    </r>
  </si>
  <si>
    <t xml:space="preserve">      and liabilities.</t>
  </si>
  <si>
    <t>HEALTH AND</t>
  </si>
  <si>
    <t>EDUCATION LEVY</t>
  </si>
  <si>
    <r>
      <t>EQUIPMENT</t>
    </r>
    <r>
      <rPr>
        <b/>
        <vertAlign val="superscript"/>
        <sz val="10"/>
        <rFont val="Arial"/>
        <family val="2"/>
      </rPr>
      <t xml:space="preserve"> (2)</t>
    </r>
  </si>
  <si>
    <t>NET TRANSFERS</t>
  </si>
  <si>
    <t>FURNITURE /</t>
  </si>
  <si>
    <t>COMPUTER</t>
  </si>
  <si>
    <t>FIXTURES &amp;</t>
  </si>
  <si>
    <t>HARDWARE &amp;</t>
  </si>
  <si>
    <t>TO / (FROM)</t>
  </si>
  <si>
    <t xml:space="preserve">  FISCAL YEAR ADDITIONS TO TANGIBLE CAPITAL ASSETS</t>
  </si>
  <si>
    <t xml:space="preserve">TAX  </t>
  </si>
  <si>
    <t>INCENTIVE</t>
  </si>
  <si>
    <r>
      <t xml:space="preserve">REVENUE </t>
    </r>
    <r>
      <rPr>
        <b/>
        <vertAlign val="superscript"/>
        <sz val="9"/>
        <rFont val="Arial"/>
        <family val="2"/>
      </rPr>
      <t>(6)</t>
    </r>
  </si>
  <si>
    <t>UNDESIGNATED</t>
  </si>
  <si>
    <t>Health and Education Levy</t>
  </si>
  <si>
    <t>GUIDANCE</t>
  </si>
  <si>
    <t>Dates</t>
  </si>
  <si>
    <t>September 30,</t>
  </si>
  <si>
    <r>
      <t xml:space="preserve">ADMINISTRATION EXPENSES </t>
    </r>
    <r>
      <rPr>
        <b/>
        <vertAlign val="superscript"/>
        <sz val="10"/>
        <rFont val="Arial"/>
        <family val="2"/>
      </rPr>
      <t>(1)</t>
    </r>
    <r>
      <rPr>
        <b/>
        <sz val="9"/>
        <rFont val="Arial"/>
        <family val="2"/>
      </rPr>
      <t xml:space="preserve"> </t>
    </r>
  </si>
  <si>
    <t>Teachers' Pensions</t>
  </si>
  <si>
    <t>ADDITIONAL LANGUAGE</t>
  </si>
  <si>
    <r>
      <t xml:space="preserve">OTHER  </t>
    </r>
    <r>
      <rPr>
        <b/>
        <vertAlign val="superscript"/>
        <sz val="9"/>
        <rFont val="Arial"/>
        <family val="2"/>
      </rPr>
      <t>(1)</t>
    </r>
  </si>
  <si>
    <t xml:space="preserve">       leasehold improvements and assets under construction.</t>
  </si>
  <si>
    <r>
      <t>SERVICES</t>
    </r>
    <r>
      <rPr>
        <b/>
        <vertAlign val="superscript"/>
        <sz val="9"/>
        <rFont val="Arial"/>
        <family val="2"/>
      </rPr>
      <t xml:space="preserve"> (1)</t>
    </r>
  </si>
  <si>
    <r>
      <t>BUILDINGS</t>
    </r>
    <r>
      <rPr>
        <b/>
        <vertAlign val="superscript"/>
        <sz val="9"/>
        <rFont val="Arial"/>
        <family val="2"/>
      </rPr>
      <t xml:space="preserve"> </t>
    </r>
    <r>
      <rPr>
        <b/>
        <vertAlign val="superscript"/>
        <sz val="10"/>
        <rFont val="Arial"/>
        <family val="2"/>
      </rPr>
      <t>(2)</t>
    </r>
  </si>
  <si>
    <t>INSTRUCTIONAL AND OTHER SUPPORT SERVICES</t>
  </si>
  <si>
    <t>ANALYSIS OF INFORMATION TECHNOLOGY EXPENSES</t>
  </si>
  <si>
    <t>ITEMS</t>
  </si>
  <si>
    <t>(1)  Support for Function 200 Student Support Services expenses less Counselling and Guidance and Categorical support for Special Needs.</t>
  </si>
  <si>
    <t xml:space="preserve">The portion of the Education Property Tax Credit (EPTC) delivered through the income tax system. Total EPTC is </t>
  </si>
  <si>
    <t>FORMULA</t>
  </si>
  <si>
    <t xml:space="preserve"> RESOURCE</t>
  </si>
  <si>
    <t xml:space="preserve">  EXECUTIVE, MANAGERIAL
 AND SUPERVISORY</t>
  </si>
  <si>
    <t xml:space="preserve"> TECHNICAL, 
SPECIALIZED AND SERVICE</t>
  </si>
  <si>
    <t>SECRETARIAL 
CLERICAL
 AND OTHER</t>
  </si>
  <si>
    <t>TOTAL 
FTE</t>
  </si>
  <si>
    <t xml:space="preserve"> DIVISION/DISTRICT</t>
  </si>
  <si>
    <t>BEAUTIFUL PLAINS</t>
  </si>
  <si>
    <t>BORDER LAND</t>
  </si>
  <si>
    <t>BRANDON</t>
  </si>
  <si>
    <t>EVERGREEN</t>
  </si>
  <si>
    <t>FLIN FLON</t>
  </si>
  <si>
    <t>FORT LA BOSSE</t>
  </si>
  <si>
    <t>FRONTIER</t>
  </si>
  <si>
    <t>GARDEN VALLEY</t>
  </si>
  <si>
    <t>HANOVER</t>
  </si>
  <si>
    <t>INTERLAKE</t>
  </si>
  <si>
    <t>KELSEY</t>
  </si>
  <si>
    <t>LAKESHORE</t>
  </si>
  <si>
    <t>LORD SELKIRK</t>
  </si>
  <si>
    <t>LOUIS RIEL</t>
  </si>
  <si>
    <t>MOUNTAIN VIEW</t>
  </si>
  <si>
    <t>MYSTERY LAKE</t>
  </si>
  <si>
    <t>PARK WEST</t>
  </si>
  <si>
    <t>PEMBINA TRAILS</t>
  </si>
  <si>
    <t>PINE CREEK</t>
  </si>
  <si>
    <t>PORTAGE LA PRAIRIE</t>
  </si>
  <si>
    <t>PRAIRIE ROSE</t>
  </si>
  <si>
    <t>PRAIRIE SPIRIT</t>
  </si>
  <si>
    <t>RED RIVER VALLEY</t>
  </si>
  <si>
    <t>RIVER EAST TRANSCONA</t>
  </si>
  <si>
    <t>ROLLING RIVER</t>
  </si>
  <si>
    <t>SEINE RIVER</t>
  </si>
  <si>
    <t>SEVEN OAKS</t>
  </si>
  <si>
    <t>SOUTHWEST HORIZON</t>
  </si>
  <si>
    <t>ST. JAMES-ASSINIBOIA</t>
  </si>
  <si>
    <t>SUNRISE</t>
  </si>
  <si>
    <t>SWAN VALLEY</t>
  </si>
  <si>
    <t>TURTLE MOUNTAIN</t>
  </si>
  <si>
    <t>TURTLE RIVER</t>
  </si>
  <si>
    <t>WESTERN</t>
  </si>
  <si>
    <t>WINNIPEG</t>
  </si>
  <si>
    <t>WHITESHELL</t>
  </si>
  <si>
    <t>W.T.C.</t>
  </si>
  <si>
    <t>DIRECT SUPPORT TO PUPILS</t>
  </si>
  <si>
    <t>DIRECT SUPPORT</t>
  </si>
  <si>
    <t>TO PUPILS</t>
  </si>
  <si>
    <t>PER PUPIL</t>
  </si>
  <si>
    <t>(1) Total of Regular Instruction, Student Support Services and Instructional and Other Support Services. See pages 15 and 16</t>
  </si>
  <si>
    <r>
      <t xml:space="preserve"> </t>
    </r>
    <r>
      <rPr>
        <sz val="9"/>
        <rFont val="Arial"/>
        <family val="2"/>
      </rPr>
      <t xml:space="preserve">      for details.</t>
    </r>
  </si>
  <si>
    <t>(3)  Information Technology.</t>
  </si>
  <si>
    <t xml:space="preserve">      to the school divisions' financial statements.</t>
  </si>
  <si>
    <t xml:space="preserve">      page 3 for Total Expenses.</t>
  </si>
  <si>
    <t>NET SPECIAL LEVY</t>
  </si>
  <si>
    <t>GROSS SPECIAL</t>
  </si>
  <si>
    <t>TAX INCENTIVE</t>
  </si>
  <si>
    <t>NET SPECIAL</t>
  </si>
  <si>
    <r>
      <t>GRANT</t>
    </r>
    <r>
      <rPr>
        <b/>
        <vertAlign val="superscript"/>
        <sz val="9"/>
        <rFont val="Arial"/>
        <family val="2"/>
      </rPr>
      <t xml:space="preserve"> (1)</t>
    </r>
  </si>
  <si>
    <t xml:space="preserve">      </t>
  </si>
  <si>
    <t>CurrY</t>
  </si>
  <si>
    <t>PrevY</t>
  </si>
  <si>
    <r>
      <t xml:space="preserve">REGULAR INSTRUCTION </t>
    </r>
    <r>
      <rPr>
        <b/>
        <vertAlign val="superscript"/>
        <sz val="9"/>
        <rFont val="Arial"/>
        <family val="2"/>
      </rPr>
      <t>(1)</t>
    </r>
  </si>
  <si>
    <t xml:space="preserve">       information.</t>
  </si>
  <si>
    <t xml:space="preserve">       Learning Centres on page 15 owing to the inclusion of operating transfers for the purpose of calculating administration costs.</t>
  </si>
  <si>
    <t xml:space="preserve">       per pupil costs.</t>
  </si>
  <si>
    <t xml:space="preserve">       page 42 for EPTC revenue.</t>
  </si>
  <si>
    <t xml:space="preserve">      division for more information. Does not include costs related to generalized enrichment activities undertaken by school divisions, or</t>
  </si>
  <si>
    <t>(1)  For a definition of Adult Learning Centres, see expense definitions, page iii.  Expenses shown here may differ from those shown for Adult</t>
  </si>
  <si>
    <t>(1)  From page 4 (for more information, see page 4).</t>
  </si>
  <si>
    <t>(2)  From page 9 (for more information, see page 9).</t>
  </si>
  <si>
    <t>(1)  School divisions are required to limit the proportion of the budget spent on administration expenditures in defined categories to 4% (urban school</t>
  </si>
  <si>
    <t>(3)  Administration, supervision and coordination of Curriculum Consulting and Development (Function 600, Program 605).</t>
  </si>
  <si>
    <t>(1)  90% or more of Regular Instruction enrolment is in one language program.</t>
  </si>
  <si>
    <t>(2)  No one language program comprises 90% or more of Regular Instruction enrolment.</t>
  </si>
  <si>
    <t>(1)  Operating fund transfers (i.e. payments to other school divisions, organizations and individuals) are excluded to provide more accurate per pupil</t>
  </si>
  <si>
    <t>(1)  Total operating expenses as reported on the Schedule of Revenue, Expenses and Accumulated Surplus by each school division.</t>
  </si>
  <si>
    <t>(3)  As reported on pages 10 and 13 (on a provincial basis).</t>
  </si>
  <si>
    <t>(4)  Expenses for Adult Learning Centres and Community Education and Services (Functions 300 and 400).</t>
  </si>
  <si>
    <t>(5)  As reported on page 4.</t>
  </si>
  <si>
    <t>(2)  Based on total instructional-teaching (excluding Community Education and Adult Learning Centres) as well as school-based administrative</t>
  </si>
  <si>
    <t>(1)  Reallocation of administration costs associated with Adult Learning Centre operations from Function 500 to Function 300.</t>
  </si>
  <si>
    <t>(1)  90% or more of Regular Instruction enrolment is in one language.</t>
  </si>
  <si>
    <t>(1)  No one language program comprises 90% or more of Regular Instruction enrolment.</t>
  </si>
  <si>
    <t>(1)  Expenses shown are extra costs associated with special needs students in regular classes, not the total cost of educating those students.</t>
  </si>
  <si>
    <t>(1)  Includes food services, health services, and other activities related to instructional and other support not included in previous programs.</t>
  </si>
  <si>
    <t>(2)  Square footage (as per note above) divided by total F.T.E. enrolment (from page 7).</t>
  </si>
  <si>
    <t>(1)  Excludes information technology expenses in Function 300 (Adult Learning Centres), Function 400 (Community Education and Services)</t>
  </si>
  <si>
    <t>(2)  Capitalized Information Technology equipment is reported on page 49.</t>
  </si>
  <si>
    <t>(1)  Excludes information technology expenses in Function 300 (Adult Learning Centres) and Function 400 (Community Education and Services).</t>
  </si>
  <si>
    <t>(2)  Total Management Information Services expenses in Function 500 (from page 27).</t>
  </si>
  <si>
    <t>(1)  The portion shown here is comprised of operating support only. The total provincial contribution to K-12 public school education, which also</t>
  </si>
  <si>
    <t>(1)  See appendix for more detail.</t>
  </si>
  <si>
    <t>(5)  Includes revenue from other provincial government departments.</t>
  </si>
  <si>
    <t>(1)  Includes amortization of capital assets over their useful lives as defined in section 8 of the FRAME Manual - available on the Internet at:</t>
  </si>
  <si>
    <t>(1)  Comprised of principal and interest payments for debentures issued to finance asset additions.</t>
  </si>
  <si>
    <t>(2)  Includes other governments, investment income, donations and gain/(loss) on disposal of capital assets. .</t>
  </si>
  <si>
    <t>(1)  Residual interest (accounting value) in all tangible capital assets (i.e. land, buildings, vehicles and equipment) net of accumulated amortization</t>
  </si>
  <si>
    <t>(2)  Internally restricted and held for future capital expense purposes.</t>
  </si>
  <si>
    <t>(1)  Land and improvements.</t>
  </si>
  <si>
    <t>(3)  For information technology equipment purchased in Operating Fund, see page 38.</t>
  </si>
  <si>
    <t>(4)  Includes school buses and other vehicles.</t>
  </si>
  <si>
    <t>(2)  Mill rates for Flin Flon and Mystery Lake are adjusted for mining revenue.</t>
  </si>
  <si>
    <t>(2)  Provided in recognition of the higher costs associated with sparsely populated rural and northern divisions.</t>
  </si>
  <si>
    <t>(1)  Includes vehicle support for school buses.</t>
  </si>
  <si>
    <t xml:space="preserve">       transfers for the purpose of calculating administration costs.</t>
  </si>
  <si>
    <t xml:space="preserve">       are exempt from these limits and are not reflected in the above totals. The defined administration categories exclude administration at the school</t>
  </si>
  <si>
    <t xml:space="preserve">(2)  Comprised of school and other building new construction and betterments financed primarily through debenture debt. Includes </t>
  </si>
  <si>
    <t xml:space="preserve"> DSFM</t>
  </si>
  <si>
    <t>(1)  Assessment per resident pupil is based on total portioned assessment adjusted for allocations to the DSFM and corresponds to data provided</t>
  </si>
  <si>
    <t xml:space="preserve">      mining properties. DSFM assessment per resident pupil is derived on a pro rata basis according to enrolment within DSFM boundaries.</t>
  </si>
  <si>
    <t xml:space="preserve">       divisions), 4.5% (rural school divisions) and 5.0% (northern school divisions).  Frontier School Division, DSFM and the Winnipeg Technical College</t>
  </si>
  <si>
    <t>DSFM</t>
  </si>
  <si>
    <t xml:space="preserve">       basis of time attending school - eg. Kindergarten as 1/2.  This total is the same as reported on page 7.</t>
  </si>
  <si>
    <t xml:space="preserve">       Revenue District includes out-of-district pupils.</t>
  </si>
  <si>
    <t xml:space="preserve">       and form part of Total Information Technology Expenses.</t>
  </si>
  <si>
    <t>(2)  Effective with the 2005 tax year, the Resident Homeowner Advance portion of the Manitoba Education Property Tax Credit (EPTC) is provided directly to</t>
  </si>
  <si>
    <t xml:space="preserve">       school divisions as revenue from the Province of Manitoba to more accurately reflect the amount of provincial funding provided in support of education. </t>
  </si>
  <si>
    <t>PHYSICAL</t>
  </si>
  <si>
    <r>
      <rPr>
        <sz val="9"/>
        <color indexed="12"/>
        <rFont val="Arial"/>
        <family val="2"/>
      </rPr>
      <t xml:space="preserve"> </t>
    </r>
    <r>
      <rPr>
        <u/>
        <sz val="9"/>
        <color indexed="12"/>
        <rFont val="Arial"/>
        <family val="2"/>
      </rPr>
      <t>http://www.edu.gov.mb.ca/k12/finance/frame_manual/index.html</t>
    </r>
  </si>
  <si>
    <t>(2)  For a definition of Divisional Administration, see expense definitions, page iii.</t>
  </si>
  <si>
    <t>(4)  Administration of Pupil Transportation.  For a definition of Transportation of Pupils, see expense definitions, page iii.</t>
  </si>
  <si>
    <t>(5)  Administration of Operations and Maintenance.  For a definition of Operations and Maintenance, see expense definitions, page iii.</t>
  </si>
  <si>
    <t xml:space="preserve">       provides an analysis of the defined administration expenditures as a percentage of the adjusted operating expenditure base.  Expenditures shown</t>
  </si>
  <si>
    <r>
      <t xml:space="preserve">PLACEMENT </t>
    </r>
    <r>
      <rPr>
        <b/>
        <vertAlign val="superscript"/>
        <sz val="9"/>
        <rFont val="Arial"/>
        <family val="2"/>
      </rPr>
      <t>(1)</t>
    </r>
  </si>
  <si>
    <r>
      <t xml:space="preserve">GRANT </t>
    </r>
    <r>
      <rPr>
        <b/>
        <vertAlign val="superscript"/>
        <sz val="9"/>
        <rFont val="Arial"/>
        <family val="2"/>
      </rPr>
      <t>(3)</t>
    </r>
  </si>
  <si>
    <r>
      <t>SOFTWARE</t>
    </r>
    <r>
      <rPr>
        <b/>
        <vertAlign val="superscript"/>
        <sz val="10"/>
        <rFont val="Arial"/>
        <family val="2"/>
      </rPr>
      <t xml:space="preserve"> (3)</t>
    </r>
  </si>
  <si>
    <r>
      <t xml:space="preserve">  VEHICLES </t>
    </r>
    <r>
      <rPr>
        <vertAlign val="superscript"/>
        <sz val="10"/>
        <rFont val="Arial"/>
        <family val="2"/>
      </rPr>
      <t>(4)</t>
    </r>
  </si>
  <si>
    <r>
      <t xml:space="preserve">PORTIONED ASSESSMENT AND EDUCATION SUPPORT LEVY  </t>
    </r>
    <r>
      <rPr>
        <b/>
        <vertAlign val="superscript"/>
        <sz val="10"/>
        <rFont val="Arial"/>
        <family val="2"/>
      </rPr>
      <t>(1)</t>
    </r>
  </si>
  <si>
    <t>ADDITIONAL INSTRUCTIONAL SUPPORT FOR 
SMALL SCHOOLS</t>
  </si>
  <si>
    <r>
      <t xml:space="preserve">TRANSPORTATION </t>
    </r>
    <r>
      <rPr>
        <b/>
        <vertAlign val="superscript"/>
        <sz val="10"/>
        <rFont val="Arial"/>
        <family val="2"/>
      </rPr>
      <t>(1)</t>
    </r>
  </si>
  <si>
    <t xml:space="preserve"> TEACHING</t>
  </si>
  <si>
    <t xml:space="preserve"> INSTRUCTIONAL
</t>
  </si>
  <si>
    <r>
      <t>FUNCTIONS 100 + 200 + 600</t>
    </r>
    <r>
      <rPr>
        <b/>
        <vertAlign val="superscript"/>
        <sz val="9"/>
        <rFont val="Arial"/>
        <family val="2"/>
      </rPr>
      <t xml:space="preserve"> (1)</t>
    </r>
  </si>
  <si>
    <t>Manitoba Public Schools Finance Board</t>
  </si>
  <si>
    <r>
      <t xml:space="preserve"> 
 CLINICIAN</t>
    </r>
    <r>
      <rPr>
        <b/>
        <vertAlign val="superscript"/>
        <sz val="9"/>
        <rFont val="Arial"/>
        <family val="2"/>
      </rPr>
      <t xml:space="preserve"> </t>
    </r>
    <r>
      <rPr>
        <vertAlign val="superscript"/>
        <sz val="9"/>
        <rFont val="Arial"/>
        <family val="2"/>
      </rPr>
      <t>(2)</t>
    </r>
  </si>
  <si>
    <r>
      <t xml:space="preserve">  
  IT  </t>
    </r>
    <r>
      <rPr>
        <b/>
        <vertAlign val="superscript"/>
        <sz val="9"/>
        <rFont val="Arial"/>
        <family val="2"/>
      </rPr>
      <t>(3)</t>
    </r>
  </si>
  <si>
    <t>Per Funded</t>
  </si>
  <si>
    <t>Resident</t>
  </si>
  <si>
    <t>Pupil &lt; 21</t>
  </si>
  <si>
    <t>for Page 55</t>
  </si>
  <si>
    <t xml:space="preserve">      the school has authority to make decisions as to when, how, and on what the funds are to be spent (e.g. Parent council and student</t>
  </si>
  <si>
    <t>(1) The Special Purpose Fund reports school generated funds and controlled charitable foundations. School generated funds are those funds which</t>
  </si>
  <si>
    <t xml:space="preserve">      council funds are not included).  </t>
  </si>
  <si>
    <t>SCHOOL GENERATED FUNDS</t>
  </si>
  <si>
    <t>TOTAL SCHOOL</t>
  </si>
  <si>
    <r>
      <t xml:space="preserve">LIABILITY </t>
    </r>
    <r>
      <rPr>
        <b/>
        <vertAlign val="superscript"/>
        <sz val="10"/>
        <rFont val="Arial"/>
        <family val="2"/>
      </rPr>
      <t>(2)</t>
    </r>
  </si>
  <si>
    <t>GENERATED FUNDS</t>
  </si>
  <si>
    <r>
      <t xml:space="preserve">ACCUMULATED SURPLUS </t>
    </r>
    <r>
      <rPr>
        <b/>
        <vertAlign val="superscript"/>
        <sz val="10"/>
        <rFont val="Arial"/>
        <family val="2"/>
      </rPr>
      <t>(1)</t>
    </r>
  </si>
  <si>
    <t>(DESIGNATED FUNDS)</t>
  </si>
  <si>
    <t xml:space="preserve">(2)  The liability is money held for designated projects in school bank accounts for which schools do not have authority to make decisions as to </t>
  </si>
  <si>
    <t xml:space="preserve">       teachers are excluded.</t>
  </si>
  <si>
    <t xml:space="preserve">       how, and on what the funds are to be spent. </t>
  </si>
  <si>
    <t>(2)  Includes clinicians contracted/outsourced/private or employed by other divisions on a full time equivalent basis.</t>
  </si>
  <si>
    <t>SEPT. 30, 2010</t>
  </si>
  <si>
    <t>(1)  All expenses related to gifted programming may not be included due to the difficulty of costing certain programming. Contact your school</t>
  </si>
  <si>
    <t xml:space="preserve">      in the calculation of support to school divisions. Assessment per resident pupil for Flin Flon, Frontier and Mystery Lake reflects non-assessed</t>
  </si>
  <si>
    <t>(from page 63)</t>
  </si>
  <si>
    <t xml:space="preserve">       page 59 and Special Needs).</t>
  </si>
  <si>
    <t>(3)  From page 56 (for more information, see page 56).</t>
  </si>
  <si>
    <r>
      <t>% of K-12 Expense</t>
    </r>
    <r>
      <rPr>
        <b/>
        <vertAlign val="superscript"/>
        <sz val="9"/>
        <rFont val="Arial"/>
        <family val="2"/>
      </rPr>
      <t xml:space="preserve"> (2)</t>
    </r>
  </si>
  <si>
    <t>(2) Expenses net of transfers (page 3).</t>
  </si>
  <si>
    <r>
      <t>FULL TIME EQUIVALENT (FTE) PERSONNEL EMPLOYED</t>
    </r>
    <r>
      <rPr>
        <b/>
        <vertAlign val="superscript"/>
        <sz val="9"/>
        <rFont val="Arial"/>
        <family val="2"/>
      </rPr>
      <t xml:space="preserve"> (1)</t>
    </r>
  </si>
  <si>
    <t xml:space="preserve">      in Regular Instruction is equal to Total K-12 F.T.E. enrolment.</t>
  </si>
  <si>
    <t>(1) Special Placement students are no longer reported separately. They are included in Regular Instruction Enrolment. As a result, total enrolment</t>
  </si>
  <si>
    <t>2011/12</t>
  </si>
  <si>
    <t>SEPT. 30, 2011</t>
  </si>
  <si>
    <t xml:space="preserve">(4)  From page 54 (for more information, see page 54). </t>
  </si>
  <si>
    <t>(2) Designated Surplus is the amount that school divisions have set aside for specific purposes. For further information, please refer</t>
  </si>
  <si>
    <t xml:space="preserve">(3) Operating expenses include transfers to other school divisions, organizations and individuals but not net transfers to capital. See </t>
  </si>
  <si>
    <r>
      <t xml:space="preserve">DESIGNATED </t>
    </r>
    <r>
      <rPr>
        <b/>
        <vertAlign val="superscript"/>
        <sz val="9"/>
        <rFont val="Arial"/>
        <family val="2"/>
      </rPr>
      <t>(2)</t>
    </r>
  </si>
  <si>
    <r>
      <t xml:space="preserve">EXPENSES </t>
    </r>
    <r>
      <rPr>
        <b/>
        <vertAlign val="superscript"/>
        <sz val="10"/>
        <rFont val="Arial"/>
        <family val="2"/>
      </rPr>
      <t>(3)</t>
    </r>
  </si>
  <si>
    <t>Coming from Budget.</t>
  </si>
  <si>
    <t>2011/2012 ACTUAL</t>
  </si>
  <si>
    <t>(1)  Accumulated Surplus / (Deficit) at Year End is gross of estimated non-vested accumulated sick leave.</t>
  </si>
  <si>
    <t>W:\Edusfb\Age and Area</t>
  </si>
  <si>
    <t xml:space="preserve">        for Function 500 or Program 710 may differ from corresponding amounts shown elsewhere in this report owing to the inclusion of operating</t>
  </si>
  <si>
    <r>
      <t xml:space="preserve">ACCUMULATED SURPLUS / (DEFICIT) AT YEAR END </t>
    </r>
    <r>
      <rPr>
        <b/>
        <vertAlign val="superscript"/>
        <sz val="9"/>
        <rFont val="Arial"/>
        <family val="2"/>
      </rPr>
      <t xml:space="preserve"> (1)</t>
    </r>
  </si>
  <si>
    <r>
      <t>GUARANTEE</t>
    </r>
    <r>
      <rPr>
        <b/>
        <vertAlign val="superscript"/>
        <sz val="9"/>
        <rFont val="Arial"/>
        <family val="2"/>
      </rPr>
      <t xml:space="preserve"> (3)</t>
    </r>
  </si>
  <si>
    <r>
      <t xml:space="preserve">SUPPORT </t>
    </r>
    <r>
      <rPr>
        <b/>
        <vertAlign val="superscript"/>
        <sz val="9"/>
        <rFont val="Arial"/>
        <family val="2"/>
      </rPr>
      <t>(4)</t>
    </r>
  </si>
  <si>
    <r>
      <t xml:space="preserve">PROGRAM </t>
    </r>
    <r>
      <rPr>
        <b/>
        <vertAlign val="superscript"/>
        <sz val="10"/>
        <rFont val="Arial"/>
        <family val="2"/>
      </rPr>
      <t>(5)</t>
    </r>
  </si>
  <si>
    <t>(4)  Includes School Buildings "D" Support, Technology Education Equipment and other minor capital support.</t>
  </si>
  <si>
    <t>(5)  Includes adjustment for days schools are closed (not shown).</t>
  </si>
  <si>
    <t>2012/2013 ($ millions)</t>
  </si>
  <si>
    <t>2012/13</t>
  </si>
  <si>
    <r>
      <t xml:space="preserve">2012/13 </t>
    </r>
    <r>
      <rPr>
        <b/>
        <vertAlign val="superscript"/>
        <sz val="10"/>
        <rFont val="Arial"/>
        <family val="2"/>
      </rPr>
      <t>(2)</t>
    </r>
  </si>
  <si>
    <r>
      <t xml:space="preserve">2012 </t>
    </r>
    <r>
      <rPr>
        <b/>
        <vertAlign val="superscript"/>
        <sz val="10"/>
        <rFont val="Arial"/>
        <family val="2"/>
      </rPr>
      <t>(3)</t>
    </r>
  </si>
  <si>
    <r>
      <t xml:space="preserve">2012 </t>
    </r>
    <r>
      <rPr>
        <b/>
        <vertAlign val="superscript"/>
        <sz val="10"/>
        <rFont val="Arial"/>
        <family val="2"/>
      </rPr>
      <t>(4)</t>
    </r>
  </si>
  <si>
    <t xml:space="preserve">FOR THE 2012 TAXATION YEAR </t>
  </si>
  <si>
    <t>SEPT. 30, 2012</t>
  </si>
  <si>
    <t>2012/2013 ACTUAL</t>
  </si>
  <si>
    <t xml:space="preserve">(3)  Provincially supported pupils (actual September 30, 2011 for 2012/13 and actual September 30, 2010 for 2011/12). The Whiteshell Special </t>
  </si>
  <si>
    <t>(2)  Operating fund transfers are payments to other school divisions, organizations and individuals. These are removed to provide more accurate</t>
  </si>
  <si>
    <t xml:space="preserve">      costs. Also excluded are expenditures on educational services not provided to K-12 pupils: Function 300 (Adult Learning Centres) and Function</t>
  </si>
  <si>
    <t>(1)  Based on area (square footage) of active school buildings as at September 30, 2012. Includes rented and leased space.</t>
  </si>
  <si>
    <t>Sept. 30 / 12</t>
  </si>
  <si>
    <t>2012 TSA</t>
  </si>
  <si>
    <t>W:\Edusfb\Frame.fin\[Final13.xls]Scdatabase - Column AD</t>
  </si>
  <si>
    <t>(3)  Although the Tax Incentive Grant was discontinued in 2012, the funding provided in 2011 continues to be provided. Amounts shown here are the portions</t>
  </si>
  <si>
    <t xml:space="preserve">       by division after the allocation to the DSFM.</t>
  </si>
  <si>
    <t xml:space="preserve">(1)  Special levy net of the Tax Incentive Grant (page 55) requisitioned by school divisions for the 2012 tax year. Actual remittance to </t>
  </si>
  <si>
    <t xml:space="preserve">(1)  The Tax Incentive Grant was offered to school divisions that maintained their prior year Special Levy amount adjusted for real growth in </t>
  </si>
  <si>
    <t xml:space="preserve">       division before the allocation to the DSFM.</t>
  </si>
  <si>
    <t xml:space="preserve">       property assessment. The 2012 grant is unchanged from the amount provided in 2011. Amounts shown here are the portions by </t>
  </si>
  <si>
    <t>$314.7 million. See page 42 for more information.</t>
  </si>
  <si>
    <t>The total cost of public education in Manitoba includes direct expenses for the operation of schools (e. g. educator and administrator salaries, teaching supplies, pupil transportation, utilities, building maintenance) and capital expenses for school building construction and major building repairs and renovations. Also included are provincial expenses for pensions for retired teachers and the provincial education tax credit programs for homeowners, tenants and farmers which result in reduced property tax bills. The total provincial contribution to public education accounts for 76.9% of the total of these expenses.</t>
  </si>
  <si>
    <t>Reallocation of administration costs associated with Adult Learning Centre operations from Function 800 and Function 500 to Function 300.</t>
  </si>
  <si>
    <t>(1)  Equalization is provided to recognize the varying ability of school divisions to meet the cost of unsupported program requirements</t>
  </si>
  <si>
    <t xml:space="preserve">        through the property tax base of the school division.</t>
  </si>
  <si>
    <t>(2)  Additional Equalization is provided to specifically assist school divisions or districts that have both higher than average tax effort and</t>
  </si>
  <si>
    <t xml:space="preserve">        lower than average assessment per pupil.</t>
  </si>
  <si>
    <t xml:space="preserve">       level (Function 100 - Regular Instruction, Program 110) and special needs administration (Function 200 - Exceptional, Program 210). This appendix</t>
  </si>
  <si>
    <t>SERVICING</t>
  </si>
  <si>
    <t>(1) The mill rate for other property in 2012 is 11.36.</t>
  </si>
  <si>
    <t>(1)  Based on object code 330 Instructional-Teaching personnel and F.T.E. students in Function 100. Included are teachers in physical education,</t>
  </si>
  <si>
    <t xml:space="preserve">       staff - eg. department heads, coordinators, principals and vice-principals - and K-12 F.T.E. enrolment. Division administrators (Function 500)</t>
  </si>
  <si>
    <t xml:space="preserve">       are excluded. While this definition is consistent with Statistics Canada's, the provincial ratio may not agree exactly due to different data sources.</t>
  </si>
  <si>
    <t xml:space="preserve">       music, EAL, etc. in addition to regular classroom teachers. School-based administrative personnel and Special Placement classroom</t>
  </si>
  <si>
    <t>(2)  Represents long term debt servicing interest costs.</t>
  </si>
  <si>
    <r>
      <t>SPARSITY</t>
    </r>
    <r>
      <rPr>
        <b/>
        <vertAlign val="superscript"/>
        <sz val="9"/>
        <rFont val="Arial"/>
        <family val="2"/>
      </rPr>
      <t xml:space="preserve"> (2)</t>
    </r>
  </si>
  <si>
    <t>INITIATIVE</t>
  </si>
  <si>
    <t>(1)  All other categorical support not shown elsewhere (eg. Aboriginal and International Languages, Northern Allowance, etc.).</t>
  </si>
  <si>
    <t xml:space="preserve">       Amounts shown here do not include the income tax portion of the EPTC nor the School Tax Assistance for Tenants and Homeowners (55+) because </t>
  </si>
  <si>
    <t xml:space="preserve">       these are not  quantifiable on a school division basis.  For the income tax portion of the EPTC and the PSTA, see page i.</t>
  </si>
  <si>
    <t>(1)  From page 50. School Generated Funds Accumulated surplus is money for which schools have authority to make decisions as to when,</t>
  </si>
  <si>
    <t xml:space="preserve">       when, how, and on what the funds are to be spent (e.g. Parent council and student council funds).</t>
  </si>
  <si>
    <t xml:space="preserve">       school divisions by municipalities is reduced by the Education Property Tax Credit. See pages 42 and 43 for more detail.</t>
  </si>
  <si>
    <t>(1)  Includes all personnel in all functions. See FRAME Manual at http://www.edu.gov.mb.ca/k12/finance/frame_manual/index.html for definitions.</t>
  </si>
  <si>
    <t xml:space="preserve">       and, Management Information Services in Function 500. Total expenses for Management Information Services are included on page 39 </t>
  </si>
  <si>
    <t>(4)  Includes other miscellaneous support (Institutional Programs, Nursing Supports, General Support Grant, Smaller Classes Initiative etc.).</t>
  </si>
  <si>
    <t>All pages of the FRAME report containing the tables of financial and statistical data are included in this file.</t>
  </si>
  <si>
    <t>In most cases, formulas have been left intact to show how statistics such as percentages and average costs per pupil are derived.</t>
  </si>
  <si>
    <t>The cover page, table of contents, forward and introduction, etc. as well as the graphs (e.g. pie charts, bar charts, etc.) are not included.  The complete report is available in PDF format on the same web site from which you retrieved this Excel file.</t>
  </si>
  <si>
    <t>Each worksheet tab is numbered to match the corresponding page found in the published document so, for example, to see page 15, click the worksheet tab named "- 15 -".</t>
  </si>
  <si>
    <t>This file is unprotected for data manipulation and calculation.  Data may also be copied to other files or additional data copied to this one.  In cases of dispute however, the published FRAME reports and the corresponding files located on the Manitoba Government web site remain  the final authority.</t>
  </si>
  <si>
    <t>FRAME Report: 2012/13 Actual</t>
  </si>
</sst>
</file>

<file path=xl/styles.xml><?xml version="1.0" encoding="utf-8"?>
<styleSheet xmlns="http://schemas.openxmlformats.org/spreadsheetml/2006/main">
  <numFmts count="2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
    <numFmt numFmtId="167" formatCode="0.0%"/>
    <numFmt numFmtId="168" formatCode="#,##0.0_);\(#,##0.0\)"/>
    <numFmt numFmtId="169" formatCode="0.0_)"/>
    <numFmt numFmtId="170" formatCode="0.00_)"/>
    <numFmt numFmtId="171" formatCode="#,##0_ ;\(#,##0\)"/>
    <numFmt numFmtId="172" formatCode="#,##0\ ;\(#,##0\ \)"/>
    <numFmt numFmtId="173" formatCode="#,##0.0;\-#,##0.0"/>
    <numFmt numFmtId="174" formatCode="#,##0.0000;\-#,##0.0000"/>
    <numFmt numFmtId="175" formatCode="#,##0.0_ ;\(#,##0.0\)"/>
    <numFmt numFmtId="176" formatCode="#,##0.0_);[Red]\(#,##0.0\)"/>
    <numFmt numFmtId="177" formatCode="#,##0.00_ ;\(#,##0.00\)"/>
    <numFmt numFmtId="178" formatCode="_(* #,##0.0_);_(* \(#,##0.0\);_(* &quot;-&quot;??_);_(@_)"/>
    <numFmt numFmtId="179" formatCode="&quot;$&quot;#,##0.0_);[Red]\(&quot;$&quot;#,##0.0\)"/>
    <numFmt numFmtId="180" formatCode="[$-F800]dddd\,\ mmmm\ dd\,\ yyyy"/>
    <numFmt numFmtId="181" formatCode="dd\-mmm\-yy_)"/>
  </numFmts>
  <fonts count="35">
    <font>
      <sz val="9"/>
      <name val="Times New Roman"/>
    </font>
    <font>
      <sz val="10"/>
      <name val="Times New Roman"/>
      <family val="1"/>
    </font>
    <font>
      <sz val="10"/>
      <name val="Courier"/>
      <family val="3"/>
    </font>
    <font>
      <sz val="10"/>
      <name val="Arial"/>
      <family val="2"/>
    </font>
    <font>
      <b/>
      <sz val="9"/>
      <name val="Arial"/>
      <family val="2"/>
    </font>
    <font>
      <vertAlign val="superscript"/>
      <sz val="9"/>
      <name val="Arial"/>
      <family val="2"/>
    </font>
    <font>
      <sz val="8"/>
      <name val="Times New Roman"/>
      <family val="1"/>
    </font>
    <font>
      <sz val="9"/>
      <name val="Arial"/>
      <family val="2"/>
    </font>
    <font>
      <sz val="8"/>
      <name val="Arial"/>
      <family val="2"/>
    </font>
    <font>
      <b/>
      <sz val="12"/>
      <name val="Arial"/>
      <family val="2"/>
    </font>
    <font>
      <sz val="9"/>
      <color indexed="12"/>
      <name val="Arial"/>
      <family val="2"/>
    </font>
    <font>
      <b/>
      <vertAlign val="superscript"/>
      <sz val="9"/>
      <name val="Arial"/>
      <family val="2"/>
    </font>
    <font>
      <b/>
      <vertAlign val="superscript"/>
      <sz val="10"/>
      <name val="Arial"/>
      <family val="2"/>
    </font>
    <font>
      <vertAlign val="superscript"/>
      <sz val="10"/>
      <name val="Arial"/>
      <family val="2"/>
    </font>
    <font>
      <u/>
      <sz val="9"/>
      <name val="Arial"/>
      <family val="2"/>
    </font>
    <font>
      <sz val="11"/>
      <name val="Arial"/>
      <family val="2"/>
    </font>
    <font>
      <sz val="9"/>
      <color indexed="9"/>
      <name val="Arial"/>
      <family val="2"/>
    </font>
    <font>
      <sz val="11.5"/>
      <name val="Arial"/>
      <family val="2"/>
    </font>
    <font>
      <u/>
      <sz val="9"/>
      <color indexed="12"/>
      <name val="Times New Roman"/>
      <family val="1"/>
    </font>
    <font>
      <sz val="10"/>
      <name val="Arial"/>
      <family val="2"/>
    </font>
    <font>
      <sz val="8"/>
      <name val="Arial"/>
      <family val="2"/>
    </font>
    <font>
      <b/>
      <sz val="13"/>
      <name val="Arial"/>
      <family val="2"/>
    </font>
    <font>
      <sz val="13"/>
      <name val="Arial"/>
      <family val="2"/>
    </font>
    <font>
      <sz val="12"/>
      <name val="Arial"/>
      <family val="2"/>
    </font>
    <font>
      <b/>
      <sz val="11"/>
      <name val="Arial"/>
      <family val="2"/>
    </font>
    <font>
      <b/>
      <i/>
      <sz val="10"/>
      <name val="Arial"/>
      <family val="2"/>
    </font>
    <font>
      <vertAlign val="superscript"/>
      <sz val="11"/>
      <name val="Arial"/>
      <family val="2"/>
    </font>
    <font>
      <sz val="12"/>
      <color indexed="10"/>
      <name val="Arial"/>
      <family val="2"/>
    </font>
    <font>
      <u/>
      <sz val="9"/>
      <color indexed="12"/>
      <name val="Arial"/>
      <family val="2"/>
    </font>
    <font>
      <sz val="8"/>
      <color indexed="81"/>
      <name val="Tahoma"/>
      <family val="2"/>
    </font>
    <font>
      <b/>
      <sz val="9"/>
      <color indexed="10"/>
      <name val="Arial"/>
      <family val="2"/>
    </font>
    <font>
      <sz val="9"/>
      <name val="Times New Roman"/>
      <family val="1"/>
    </font>
    <font>
      <sz val="11"/>
      <name val="Calibri"/>
      <family val="2"/>
    </font>
    <font>
      <sz val="9"/>
      <color theme="0"/>
      <name val="Arial"/>
      <family val="2"/>
    </font>
    <font>
      <sz val="9"/>
      <color rgb="FFFF0000"/>
      <name val="Arial"/>
      <family val="2"/>
    </font>
  </fonts>
  <fills count="14">
    <fill>
      <patternFill patternType="none"/>
    </fill>
    <fill>
      <patternFill patternType="gray125"/>
    </fill>
    <fill>
      <patternFill patternType="solid">
        <fgColor indexed="22"/>
        <bgColor indexed="22"/>
      </patternFill>
    </fill>
    <fill>
      <patternFill patternType="solid">
        <fgColor indexed="9"/>
        <bgColor indexed="9"/>
      </patternFill>
    </fill>
    <fill>
      <patternFill patternType="solid">
        <fgColor indexed="65"/>
        <bgColor indexed="64"/>
      </patternFill>
    </fill>
    <fill>
      <patternFill patternType="solid">
        <fgColor indexed="9"/>
        <bgColor indexed="8"/>
      </patternFill>
    </fill>
    <fill>
      <patternFill patternType="gray125">
        <fgColor indexed="9"/>
        <bgColor indexed="9"/>
      </patternFill>
    </fill>
    <fill>
      <patternFill patternType="solid">
        <fgColor indexed="27"/>
        <bgColor indexed="8"/>
      </patternFill>
    </fill>
    <fill>
      <patternFill patternType="solid">
        <fgColor indexed="27"/>
        <bgColor indexed="64"/>
      </patternFill>
    </fill>
    <fill>
      <patternFill patternType="solid">
        <fgColor indexed="41"/>
        <bgColor indexed="64"/>
      </patternFill>
    </fill>
    <fill>
      <patternFill patternType="solid">
        <fgColor indexed="27"/>
        <bgColor indexed="27"/>
      </patternFill>
    </fill>
    <fill>
      <patternFill patternType="solid">
        <fgColor indexed="41"/>
        <bgColor indexed="8"/>
      </patternFill>
    </fill>
    <fill>
      <patternFill patternType="solid">
        <fgColor indexed="41"/>
        <bgColor indexed="42"/>
      </patternFill>
    </fill>
    <fill>
      <patternFill patternType="solid">
        <fgColor rgb="FFFFFF00"/>
        <bgColor indexed="64"/>
      </patternFill>
    </fill>
  </fills>
  <borders count="65">
    <border>
      <left/>
      <right/>
      <top/>
      <bottom/>
      <diagonal/>
    </border>
    <border>
      <left style="thin">
        <color indexed="8"/>
      </left>
      <right style="thin">
        <color indexed="8"/>
      </right>
      <top/>
      <bottom/>
      <diagonal/>
    </border>
    <border>
      <left/>
      <right/>
      <top style="thin">
        <color indexed="8"/>
      </top>
      <bottom/>
      <diagonal/>
    </border>
    <border>
      <left/>
      <right/>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bottom style="thin">
        <color indexed="64"/>
      </bottom>
      <diagonal/>
    </border>
    <border>
      <left/>
      <right/>
      <top style="thin">
        <color indexed="64"/>
      </top>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double">
        <color indexed="8"/>
      </left>
      <right/>
      <top/>
      <bottom style="thin">
        <color indexed="8"/>
      </bottom>
      <diagonal/>
    </border>
    <border>
      <left style="double">
        <color indexed="8"/>
      </left>
      <right/>
      <top/>
      <bottom/>
      <diagonal/>
    </border>
    <border>
      <left style="thin">
        <color indexed="8"/>
      </left>
      <right style="double">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double">
        <color indexed="8"/>
      </left>
      <right style="thin">
        <color indexed="8"/>
      </right>
      <top/>
      <bottom/>
      <diagonal/>
    </border>
    <border>
      <left style="double">
        <color indexed="8"/>
      </left>
      <right style="thin">
        <color indexed="8"/>
      </right>
      <top/>
      <bottom style="thin">
        <color indexed="8"/>
      </bottom>
      <diagonal/>
    </border>
    <border>
      <left/>
      <right/>
      <top style="thin">
        <color indexed="8"/>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8"/>
      </left>
      <right style="double">
        <color indexed="8"/>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8"/>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double">
        <color indexed="8"/>
      </right>
      <top style="thin">
        <color indexed="64"/>
      </top>
      <bottom/>
      <diagonal/>
    </border>
    <border>
      <left style="thin">
        <color indexed="8"/>
      </left>
      <right style="double">
        <color indexed="8"/>
      </right>
      <top/>
      <bottom style="thin">
        <color indexed="8"/>
      </bottom>
      <diagonal/>
    </border>
    <border>
      <left style="thin">
        <color indexed="64"/>
      </left>
      <right style="thin">
        <color indexed="64"/>
      </right>
      <top/>
      <bottom style="thin">
        <color indexed="8"/>
      </bottom>
      <diagonal/>
    </border>
    <border>
      <left style="thin">
        <color indexed="64"/>
      </left>
      <right/>
      <top/>
      <bottom style="thin">
        <color indexed="8"/>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right style="thin">
        <color indexed="8"/>
      </right>
      <top style="thin">
        <color indexed="64"/>
      </top>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style="thin">
        <color indexed="8"/>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s>
  <cellStyleXfs count="14">
    <xf numFmtId="37" fontId="0" fillId="0" borderId="0"/>
    <xf numFmtId="0" fontId="2" fillId="2" borderId="1"/>
    <xf numFmtId="43" fontId="1" fillId="0" borderId="0" applyFont="0" applyFill="0" applyBorder="0" applyAlignment="0" applyProtection="0"/>
    <xf numFmtId="165" fontId="19" fillId="0" borderId="0" applyFont="0" applyFill="0" applyBorder="0" applyAlignment="0" applyProtection="0"/>
    <xf numFmtId="165" fontId="19" fillId="0" borderId="0" applyFont="0" applyFill="0" applyBorder="0" applyAlignment="0" applyProtection="0"/>
    <xf numFmtId="44" fontId="1" fillId="0" borderId="0" applyFont="0" applyFill="0" applyBorder="0" applyAlignment="0" applyProtection="0"/>
    <xf numFmtId="164" fontId="19" fillId="0" borderId="0" applyFont="0" applyFill="0" applyBorder="0" applyAlignment="0" applyProtection="0"/>
    <xf numFmtId="0" fontId="18" fillId="0" borderId="0" applyNumberFormat="0" applyFill="0" applyBorder="0" applyAlignment="0" applyProtection="0">
      <alignment vertical="top"/>
      <protection locked="0"/>
    </xf>
    <xf numFmtId="0" fontId="19" fillId="0" borderId="0"/>
    <xf numFmtId="0" fontId="19" fillId="0" borderId="0"/>
    <xf numFmtId="39" fontId="31" fillId="0" borderId="0"/>
    <xf numFmtId="0" fontId="19" fillId="0" borderId="0"/>
    <xf numFmtId="9" fontId="1" fillId="0" borderId="0" applyFont="0" applyFill="0" applyBorder="0" applyAlignment="0" applyProtection="0"/>
    <xf numFmtId="37" fontId="31" fillId="0" borderId="0"/>
  </cellStyleXfs>
  <cellXfs count="782">
    <xf numFmtId="37" fontId="0" fillId="0" borderId="0" xfId="0"/>
    <xf numFmtId="37" fontId="7" fillId="0" borderId="0" xfId="0" applyFont="1"/>
    <xf numFmtId="37" fontId="8" fillId="0" borderId="0" xfId="0" applyFont="1"/>
    <xf numFmtId="37" fontId="7" fillId="0" borderId="0" xfId="0" applyFont="1" applyAlignment="1">
      <alignment horizontal="right"/>
    </xf>
    <xf numFmtId="168" fontId="7" fillId="0" borderId="0" xfId="0" applyNumberFormat="1" applyFont="1"/>
    <xf numFmtId="37" fontId="4" fillId="0" borderId="0" xfId="0" applyFont="1"/>
    <xf numFmtId="166" fontId="7" fillId="0" borderId="0" xfId="0" applyNumberFormat="1" applyFont="1" applyProtection="1"/>
    <xf numFmtId="37" fontId="7" fillId="3" borderId="0" xfId="0" applyFont="1" applyFill="1"/>
    <xf numFmtId="37" fontId="4" fillId="3" borderId="2" xfId="0" applyFont="1" applyFill="1" applyBorder="1" applyAlignment="1">
      <alignment horizontal="centerContinuous" vertical="center"/>
    </xf>
    <xf numFmtId="37" fontId="7" fillId="3" borderId="2" xfId="0" applyFont="1" applyFill="1" applyBorder="1" applyAlignment="1">
      <alignment horizontal="centerContinuous"/>
    </xf>
    <xf numFmtId="37" fontId="4" fillId="3" borderId="3" xfId="0" applyFont="1" applyFill="1" applyBorder="1" applyAlignment="1">
      <alignment horizontal="centerContinuous" vertical="center"/>
    </xf>
    <xf numFmtId="37" fontId="7" fillId="3" borderId="3" xfId="0" applyFont="1" applyFill="1" applyBorder="1" applyAlignment="1">
      <alignment horizontal="centerContinuous"/>
    </xf>
    <xf numFmtId="37" fontId="10" fillId="3" borderId="3" xfId="0" applyFont="1" applyFill="1" applyBorder="1" applyAlignment="1">
      <alignment horizontal="centerContinuous"/>
    </xf>
    <xf numFmtId="37" fontId="7" fillId="3" borderId="0" xfId="0" applyFont="1" applyFill="1" applyAlignment="1">
      <alignment horizontal="center"/>
    </xf>
    <xf numFmtId="37" fontId="4" fillId="3" borderId="4" xfId="0" applyFont="1" applyFill="1" applyBorder="1" applyAlignment="1">
      <alignment horizontal="center"/>
    </xf>
    <xf numFmtId="0" fontId="4" fillId="3" borderId="5" xfId="0" applyNumberFormat="1" applyFont="1" applyFill="1" applyBorder="1" applyAlignment="1">
      <alignment horizontal="center"/>
    </xf>
    <xf numFmtId="37" fontId="4" fillId="3" borderId="5" xfId="0" applyFont="1" applyFill="1" applyBorder="1" applyAlignment="1">
      <alignment horizontal="center"/>
    </xf>
    <xf numFmtId="37" fontId="4" fillId="3" borderId="1" xfId="0" applyFont="1" applyFill="1" applyBorder="1" applyAlignment="1">
      <alignment horizontal="center"/>
    </xf>
    <xf numFmtId="0" fontId="4" fillId="3" borderId="6" xfId="0" applyNumberFormat="1" applyFont="1" applyFill="1" applyBorder="1" applyAlignment="1">
      <alignment horizontal="center"/>
    </xf>
    <xf numFmtId="37" fontId="4" fillId="3" borderId="6" xfId="0" applyFont="1" applyFill="1" applyBorder="1" applyAlignment="1">
      <alignment horizontal="center"/>
    </xf>
    <xf numFmtId="49" fontId="4" fillId="0" borderId="7" xfId="0" applyNumberFormat="1" applyFont="1" applyBorder="1"/>
    <xf numFmtId="37" fontId="4" fillId="3" borderId="2" xfId="0" applyFont="1" applyFill="1" applyBorder="1" applyAlignment="1">
      <alignment horizontal="center"/>
    </xf>
    <xf numFmtId="49" fontId="4" fillId="0" borderId="8" xfId="0" applyNumberFormat="1" applyFont="1" applyBorder="1"/>
    <xf numFmtId="37" fontId="4" fillId="3" borderId="9" xfId="0" applyFont="1" applyFill="1" applyBorder="1" applyAlignment="1">
      <alignment horizontal="center" vertical="top"/>
    </xf>
    <xf numFmtId="37" fontId="4" fillId="3" borderId="10" xfId="0" applyFont="1" applyFill="1" applyBorder="1" applyAlignment="1">
      <alignment horizontal="center" vertical="top"/>
    </xf>
    <xf numFmtId="49" fontId="4" fillId="0" borderId="0" xfId="0" applyNumberFormat="1" applyFont="1"/>
    <xf numFmtId="49" fontId="7" fillId="0" borderId="1" xfId="0" applyNumberFormat="1" applyFont="1" applyBorder="1" applyAlignment="1">
      <alignment vertical="center"/>
    </xf>
    <xf numFmtId="171" fontId="7" fillId="0" borderId="1" xfId="0" applyNumberFormat="1" applyFont="1" applyBorder="1" applyAlignment="1">
      <alignment vertical="center"/>
    </xf>
    <xf numFmtId="49" fontId="7" fillId="0" borderId="0" xfId="0" applyNumberFormat="1" applyFont="1" applyAlignment="1">
      <alignment vertical="center"/>
    </xf>
    <xf numFmtId="172" fontId="7" fillId="0" borderId="0" xfId="0" applyNumberFormat="1" applyFont="1" applyAlignment="1">
      <alignment vertical="center"/>
    </xf>
    <xf numFmtId="37" fontId="7" fillId="0" borderId="11" xfId="0" applyFont="1" applyBorder="1"/>
    <xf numFmtId="49" fontId="7" fillId="0" borderId="0" xfId="0" applyNumberFormat="1" applyFont="1" applyAlignment="1"/>
    <xf numFmtId="37" fontId="7" fillId="0" borderId="0" xfId="0" applyFont="1" applyAlignment="1">
      <alignment horizontal="left"/>
    </xf>
    <xf numFmtId="49" fontId="7" fillId="0" borderId="0" xfId="0" applyNumberFormat="1" applyFont="1" applyAlignment="1">
      <alignment horizontal="left"/>
    </xf>
    <xf numFmtId="37" fontId="7" fillId="3" borderId="12" xfId="0" applyFont="1" applyFill="1" applyBorder="1" applyAlignment="1">
      <alignment horizontal="centerContinuous"/>
    </xf>
    <xf numFmtId="37" fontId="7" fillId="3" borderId="12" xfId="0" applyFont="1" applyFill="1" applyBorder="1" applyAlignment="1"/>
    <xf numFmtId="166" fontId="7" fillId="0" borderId="3" xfId="0" applyNumberFormat="1" applyFont="1" applyBorder="1" applyAlignment="1" applyProtection="1">
      <alignment horizontal="centerContinuous"/>
    </xf>
    <xf numFmtId="37" fontId="7" fillId="3" borderId="11" xfId="0" applyFont="1" applyFill="1" applyBorder="1" applyAlignment="1">
      <alignment horizontal="centerContinuous"/>
    </xf>
    <xf numFmtId="37" fontId="7" fillId="3" borderId="0" xfId="0" applyFont="1" applyFill="1" applyBorder="1"/>
    <xf numFmtId="37" fontId="7" fillId="0" borderId="0" xfId="0" applyNumberFormat="1" applyFont="1" applyBorder="1" applyProtection="1"/>
    <xf numFmtId="37" fontId="4" fillId="0" borderId="4" xfId="0" applyFont="1" applyBorder="1"/>
    <xf numFmtId="37" fontId="4" fillId="3" borderId="5" xfId="0" applyFont="1" applyFill="1" applyBorder="1" applyAlignment="1">
      <alignment horizontal="right"/>
    </xf>
    <xf numFmtId="37" fontId="4" fillId="0" borderId="8" xfId="0" applyFont="1" applyBorder="1"/>
    <xf numFmtId="37" fontId="4" fillId="0" borderId="10" xfId="0" applyFont="1" applyBorder="1" applyAlignment="1">
      <alignment horizontal="right"/>
    </xf>
    <xf numFmtId="171" fontId="7" fillId="0" borderId="1" xfId="0" applyNumberFormat="1" applyFont="1" applyBorder="1" applyAlignment="1">
      <alignment horizontal="right" vertical="center"/>
    </xf>
    <xf numFmtId="37" fontId="7" fillId="0" borderId="0" xfId="0" applyFont="1" applyAlignment="1"/>
    <xf numFmtId="37" fontId="7" fillId="0" borderId="13" xfId="0" applyFont="1" applyBorder="1"/>
    <xf numFmtId="37" fontId="4" fillId="0" borderId="13" xfId="0" applyFont="1" applyBorder="1" applyAlignment="1">
      <alignment horizontal="centerContinuous"/>
    </xf>
    <xf numFmtId="37" fontId="7" fillId="0" borderId="13" xfId="0" applyFont="1" applyBorder="1" applyAlignment="1">
      <alignment horizontal="centerContinuous"/>
    </xf>
    <xf numFmtId="37" fontId="7" fillId="0" borderId="13" xfId="0" applyFont="1" applyBorder="1" applyAlignment="1"/>
    <xf numFmtId="37" fontId="7" fillId="3" borderId="0" xfId="0" applyFont="1" applyFill="1" applyAlignment="1">
      <alignment horizontal="centerContinuous"/>
    </xf>
    <xf numFmtId="37" fontId="7" fillId="0" borderId="14" xfId="0" applyFont="1" applyBorder="1"/>
    <xf numFmtId="37" fontId="7" fillId="0" borderId="5" xfId="0" applyFont="1" applyBorder="1"/>
    <xf numFmtId="37" fontId="4" fillId="0" borderId="10" xfId="0" applyFont="1" applyBorder="1" applyAlignment="1">
      <alignment horizontal="center"/>
    </xf>
    <xf numFmtId="37" fontId="4" fillId="3" borderId="9" xfId="0" applyFont="1" applyFill="1" applyBorder="1" applyAlignment="1">
      <alignment horizontal="centerContinuous"/>
    </xf>
    <xf numFmtId="37" fontId="4" fillId="0" borderId="15" xfId="0" applyFont="1" applyBorder="1"/>
    <xf numFmtId="171" fontId="7" fillId="0" borderId="1" xfId="0" applyNumberFormat="1" applyFont="1" applyBorder="1" applyProtection="1"/>
    <xf numFmtId="171" fontId="7" fillId="0" borderId="6" xfId="0" applyNumberFormat="1" applyFont="1" applyBorder="1" applyProtection="1"/>
    <xf numFmtId="37" fontId="7" fillId="0" borderId="6" xfId="0" applyFont="1" applyBorder="1"/>
    <xf numFmtId="171" fontId="7" fillId="0" borderId="16" xfId="0" applyNumberFormat="1" applyFont="1" applyBorder="1" applyProtection="1"/>
    <xf numFmtId="37" fontId="7" fillId="0" borderId="1" xfId="0" applyNumberFormat="1" applyFont="1" applyBorder="1" applyProtection="1"/>
    <xf numFmtId="37" fontId="7" fillId="0" borderId="6" xfId="0" applyNumberFormat="1" applyFont="1" applyBorder="1" applyProtection="1"/>
    <xf numFmtId="37" fontId="7" fillId="0" borderId="16" xfId="0" applyNumberFormat="1" applyFont="1" applyBorder="1" applyProtection="1"/>
    <xf numFmtId="37" fontId="4" fillId="0" borderId="15" xfId="0" applyFont="1" applyBorder="1" applyAlignment="1">
      <alignment vertical="top"/>
    </xf>
    <xf numFmtId="37" fontId="4" fillId="0" borderId="0" xfId="0" applyFont="1" applyAlignment="1">
      <alignment wrapText="1"/>
    </xf>
    <xf numFmtId="37" fontId="7" fillId="0" borderId="0" xfId="0" applyNumberFormat="1" applyFont="1" applyProtection="1"/>
    <xf numFmtId="37" fontId="7" fillId="0" borderId="17" xfId="0" applyFont="1" applyBorder="1"/>
    <xf numFmtId="37" fontId="4" fillId="0" borderId="18" xfId="0" applyFont="1" applyBorder="1"/>
    <xf numFmtId="171" fontId="4" fillId="0" borderId="19" xfId="0" applyNumberFormat="1" applyFont="1" applyBorder="1" applyProtection="1"/>
    <xf numFmtId="171" fontId="4" fillId="0" borderId="18" xfId="0" applyNumberFormat="1" applyFont="1" applyBorder="1" applyProtection="1"/>
    <xf numFmtId="171" fontId="7" fillId="0" borderId="13" xfId="0" applyNumberFormat="1" applyFont="1" applyBorder="1"/>
    <xf numFmtId="166" fontId="7" fillId="0" borderId="2" xfId="0" applyNumberFormat="1" applyFont="1" applyBorder="1" applyProtection="1"/>
    <xf numFmtId="37" fontId="7" fillId="3" borderId="2" xfId="0" applyFont="1" applyFill="1" applyBorder="1" applyAlignment="1">
      <alignment horizontal="center"/>
    </xf>
    <xf numFmtId="166" fontId="7" fillId="0" borderId="3" xfId="0" applyNumberFormat="1" applyFont="1" applyBorder="1" applyProtection="1"/>
    <xf numFmtId="37" fontId="7" fillId="3" borderId="3" xfId="0" applyFont="1" applyFill="1" applyBorder="1"/>
    <xf numFmtId="37" fontId="4" fillId="0" borderId="7" xfId="0" applyFont="1" applyBorder="1"/>
    <xf numFmtId="37" fontId="4" fillId="3" borderId="0" xfId="0" applyFont="1" applyFill="1" applyBorder="1" applyAlignment="1">
      <alignment horizontal="right"/>
    </xf>
    <xf numFmtId="37" fontId="4" fillId="3" borderId="1" xfId="0" applyFont="1" applyFill="1" applyBorder="1"/>
    <xf numFmtId="37" fontId="4" fillId="3" borderId="0" xfId="0" applyFont="1" applyFill="1"/>
    <xf numFmtId="175" fontId="7" fillId="0" borderId="1" xfId="0" applyNumberFormat="1" applyFont="1" applyBorder="1" applyAlignment="1">
      <alignment vertical="center"/>
    </xf>
    <xf numFmtId="175" fontId="7" fillId="0" borderId="0" xfId="0" applyNumberFormat="1" applyFont="1" applyAlignment="1">
      <alignment vertical="center"/>
    </xf>
    <xf numFmtId="37" fontId="4" fillId="3" borderId="2" xfId="0" applyFont="1" applyFill="1" applyBorder="1" applyAlignment="1">
      <alignment horizontal="centerContinuous"/>
    </xf>
    <xf numFmtId="37" fontId="7" fillId="3" borderId="2" xfId="0" applyFont="1" applyFill="1" applyBorder="1" applyAlignment="1"/>
    <xf numFmtId="37" fontId="4" fillId="3" borderId="3" xfId="0" applyFont="1" applyFill="1" applyBorder="1" applyAlignment="1" applyProtection="1">
      <alignment horizontal="centerContinuous" vertical="center"/>
    </xf>
    <xf numFmtId="37" fontId="7" fillId="3" borderId="3" xfId="0" applyFont="1" applyFill="1" applyBorder="1" applyAlignment="1"/>
    <xf numFmtId="37" fontId="4" fillId="3" borderId="4" xfId="0" applyFont="1" applyFill="1" applyBorder="1" applyAlignment="1">
      <alignment horizontal="centerContinuous"/>
    </xf>
    <xf numFmtId="37" fontId="4" fillId="3" borderId="5" xfId="0" applyFont="1" applyFill="1" applyBorder="1" applyAlignment="1">
      <alignment horizontal="centerContinuous"/>
    </xf>
    <xf numFmtId="37" fontId="4" fillId="0" borderId="10" xfId="0" applyFont="1" applyBorder="1" applyAlignment="1">
      <alignment horizontal="centerContinuous"/>
    </xf>
    <xf numFmtId="37" fontId="4" fillId="0" borderId="9" xfId="0" applyFont="1" applyBorder="1" applyAlignment="1">
      <alignment horizontal="centerContinuous"/>
    </xf>
    <xf numFmtId="168" fontId="7" fillId="0" borderId="11" xfId="0" applyNumberFormat="1" applyFont="1" applyBorder="1" applyProtection="1"/>
    <xf numFmtId="37" fontId="7" fillId="0" borderId="0" xfId="0" applyFont="1" applyAlignment="1">
      <alignment horizontal="centerContinuous"/>
    </xf>
    <xf numFmtId="168" fontId="7" fillId="0" borderId="0" xfId="0" applyNumberFormat="1" applyFont="1" applyAlignment="1" applyProtection="1">
      <alignment horizontal="centerContinuous"/>
    </xf>
    <xf numFmtId="37" fontId="7" fillId="3" borderId="2" xfId="0" applyFont="1" applyFill="1" applyBorder="1" applyAlignment="1">
      <alignment horizontal="right"/>
    </xf>
    <xf numFmtId="37" fontId="4" fillId="0" borderId="9" xfId="0" applyFont="1" applyBorder="1"/>
    <xf numFmtId="37" fontId="4" fillId="0" borderId="9" xfId="0" applyFont="1" applyBorder="1" applyAlignment="1">
      <alignment horizontal="center"/>
    </xf>
    <xf numFmtId="37" fontId="4" fillId="4" borderId="1" xfId="0" applyFont="1" applyFill="1" applyBorder="1" applyAlignment="1">
      <alignment horizontal="center"/>
    </xf>
    <xf numFmtId="37" fontId="7" fillId="0" borderId="0" xfId="0" applyFont="1" applyProtection="1"/>
    <xf numFmtId="37" fontId="7" fillId="4" borderId="0" xfId="0" applyFont="1" applyFill="1" applyBorder="1"/>
    <xf numFmtId="168" fontId="7" fillId="5" borderId="0" xfId="0" applyNumberFormat="1" applyFont="1" applyFill="1" applyBorder="1" applyProtection="1"/>
    <xf numFmtId="168" fontId="4" fillId="5" borderId="0" xfId="0" applyNumberFormat="1" applyFont="1" applyFill="1" applyBorder="1" applyProtection="1"/>
    <xf numFmtId="37" fontId="7" fillId="3" borderId="0" xfId="0" applyFont="1" applyFill="1" applyProtection="1"/>
    <xf numFmtId="37" fontId="4" fillId="3" borderId="2" xfId="0" applyFont="1" applyFill="1" applyBorder="1" applyAlignment="1" applyProtection="1">
      <alignment horizontal="centerContinuous" vertical="center"/>
    </xf>
    <xf numFmtId="37" fontId="7" fillId="3" borderId="2" xfId="0" applyFont="1" applyFill="1" applyBorder="1" applyAlignment="1" applyProtection="1">
      <alignment horizontal="centerContinuous"/>
    </xf>
    <xf numFmtId="37" fontId="7" fillId="3" borderId="2" xfId="0" applyFont="1" applyFill="1" applyBorder="1" applyAlignment="1" applyProtection="1">
      <alignment horizontal="right"/>
    </xf>
    <xf numFmtId="37" fontId="4" fillId="3" borderId="3" xfId="0" quotePrefix="1" applyFont="1" applyFill="1" applyBorder="1" applyAlignment="1" applyProtection="1">
      <alignment horizontal="centerContinuous" vertical="center"/>
    </xf>
    <xf numFmtId="37" fontId="7" fillId="3" borderId="3" xfId="0" applyFont="1" applyFill="1" applyBorder="1" applyAlignment="1" applyProtection="1">
      <alignment horizontal="centerContinuous"/>
    </xf>
    <xf numFmtId="37" fontId="7" fillId="3" borderId="3" xfId="0" quotePrefix="1" applyFont="1" applyFill="1" applyBorder="1" applyAlignment="1" applyProtection="1">
      <alignment horizontal="centerContinuous"/>
    </xf>
    <xf numFmtId="37" fontId="7" fillId="3" borderId="3" xfId="0" applyFont="1" applyFill="1" applyBorder="1" applyProtection="1"/>
    <xf numFmtId="170" fontId="7" fillId="3" borderId="0" xfId="0" applyNumberFormat="1" applyFont="1" applyFill="1" applyProtection="1"/>
    <xf numFmtId="37" fontId="4" fillId="0" borderId="20" xfId="0" applyFont="1" applyBorder="1" applyAlignment="1" applyProtection="1">
      <alignment horizontal="centerContinuous"/>
    </xf>
    <xf numFmtId="37" fontId="4" fillId="0" borderId="3" xfId="0" applyFont="1" applyBorder="1" applyAlignment="1" applyProtection="1">
      <alignment horizontal="centerContinuous"/>
    </xf>
    <xf numFmtId="37" fontId="4" fillId="0" borderId="21" xfId="0" applyFont="1" applyBorder="1" applyAlignment="1" applyProtection="1">
      <alignment horizontal="centerContinuous"/>
    </xf>
    <xf numFmtId="37" fontId="4" fillId="0" borderId="10" xfId="0" applyFont="1" applyBorder="1" applyAlignment="1" applyProtection="1">
      <alignment horizontal="centerContinuous"/>
    </xf>
    <xf numFmtId="37" fontId="4" fillId="0" borderId="7" xfId="0" applyFont="1" applyBorder="1" applyAlignment="1">
      <alignment vertical="center"/>
    </xf>
    <xf numFmtId="37" fontId="4" fillId="0" borderId="0" xfId="0" applyFont="1" applyBorder="1" applyAlignment="1" applyProtection="1">
      <alignment horizontal="center" vertical="center"/>
    </xf>
    <xf numFmtId="37" fontId="4" fillId="0" borderId="16" xfId="0" applyFont="1" applyBorder="1" applyAlignment="1" applyProtection="1">
      <alignment vertical="center"/>
    </xf>
    <xf numFmtId="37" fontId="4" fillId="0" borderId="16" xfId="0" applyFont="1" applyBorder="1" applyAlignment="1" applyProtection="1">
      <alignment horizontal="center" vertical="center"/>
    </xf>
    <xf numFmtId="37" fontId="4" fillId="0" borderId="22" xfId="0" applyFont="1" applyBorder="1" applyAlignment="1" applyProtection="1">
      <alignment horizontal="center" vertical="center"/>
    </xf>
    <xf numFmtId="37" fontId="4" fillId="0" borderId="1" xfId="0" applyFont="1" applyBorder="1" applyAlignment="1" applyProtection="1">
      <alignment horizontal="center" vertical="center"/>
    </xf>
    <xf numFmtId="37" fontId="4" fillId="0" borderId="8" xfId="0" applyFont="1" applyBorder="1" applyAlignment="1">
      <alignment vertical="center"/>
    </xf>
    <xf numFmtId="37" fontId="4" fillId="0" borderId="3" xfId="0" applyFont="1" applyBorder="1" applyAlignment="1" applyProtection="1">
      <alignment horizontal="center" vertical="center"/>
    </xf>
    <xf numFmtId="37" fontId="4" fillId="0" borderId="20" xfId="0" applyFont="1" applyBorder="1" applyAlignment="1" applyProtection="1">
      <alignment horizontal="center" vertical="center"/>
    </xf>
    <xf numFmtId="37" fontId="4" fillId="0" borderId="21" xfId="0" applyFont="1" applyBorder="1" applyAlignment="1" applyProtection="1">
      <alignment horizontal="center" vertical="center"/>
    </xf>
    <xf numFmtId="37" fontId="4" fillId="0" borderId="9" xfId="0" applyFont="1" applyBorder="1" applyAlignment="1" applyProtection="1">
      <alignment horizontal="center" vertical="center"/>
    </xf>
    <xf numFmtId="175" fontId="7" fillId="0" borderId="23" xfId="0" applyNumberFormat="1" applyFont="1" applyBorder="1" applyAlignment="1">
      <alignment vertical="center"/>
    </xf>
    <xf numFmtId="175" fontId="7" fillId="0" borderId="6" xfId="0" applyNumberFormat="1" applyFont="1" applyBorder="1" applyAlignment="1">
      <alignment vertical="center"/>
    </xf>
    <xf numFmtId="37" fontId="7" fillId="0" borderId="11" xfId="0" applyFont="1" applyBorder="1" applyProtection="1"/>
    <xf numFmtId="49" fontId="8" fillId="0" borderId="0" xfId="0" applyNumberFormat="1" applyFont="1" applyAlignment="1">
      <alignment horizontal="right"/>
    </xf>
    <xf numFmtId="49" fontId="13" fillId="0" borderId="6" xfId="0" applyNumberFormat="1" applyFont="1" applyBorder="1"/>
    <xf numFmtId="37" fontId="7" fillId="0" borderId="13" xfId="0" applyFont="1" applyBorder="1" applyAlignment="1">
      <alignment horizontal="right"/>
    </xf>
    <xf numFmtId="37" fontId="4" fillId="0" borderId="17" xfId="0" applyFont="1" applyBorder="1" applyAlignment="1">
      <alignment horizontal="centerContinuous"/>
    </xf>
    <xf numFmtId="37" fontId="7" fillId="0" borderId="18" xfId="0" applyFont="1" applyBorder="1" applyAlignment="1">
      <alignment horizontal="centerContinuous"/>
    </xf>
    <xf numFmtId="37" fontId="4" fillId="3" borderId="24" xfId="0" applyFont="1" applyFill="1" applyBorder="1" applyAlignment="1">
      <alignment horizontal="center"/>
    </xf>
    <xf numFmtId="37" fontId="4" fillId="3" borderId="20" xfId="0" applyFont="1" applyFill="1" applyBorder="1" applyAlignment="1">
      <alignment horizontal="centerContinuous"/>
    </xf>
    <xf numFmtId="37" fontId="7" fillId="0" borderId="2" xfId="0" applyFont="1" applyBorder="1"/>
    <xf numFmtId="171" fontId="7" fillId="3" borderId="7" xfId="0" applyNumberFormat="1" applyFont="1" applyFill="1" applyBorder="1" applyProtection="1"/>
    <xf numFmtId="167" fontId="7" fillId="3" borderId="7" xfId="0" applyNumberFormat="1" applyFont="1" applyFill="1" applyBorder="1" applyProtection="1"/>
    <xf numFmtId="37" fontId="7" fillId="3" borderId="25" xfId="0" applyFont="1" applyFill="1" applyBorder="1"/>
    <xf numFmtId="171" fontId="7" fillId="3" borderId="25" xfId="0" applyNumberFormat="1" applyFont="1" applyFill="1" applyBorder="1" applyProtection="1"/>
    <xf numFmtId="37" fontId="7" fillId="0" borderId="25" xfId="0" applyFont="1" applyBorder="1"/>
    <xf numFmtId="171" fontId="7" fillId="0" borderId="25" xfId="0" applyNumberFormat="1" applyFont="1" applyBorder="1" applyProtection="1"/>
    <xf numFmtId="171" fontId="7" fillId="0" borderId="25" xfId="0" applyNumberFormat="1" applyFont="1" applyBorder="1"/>
    <xf numFmtId="37" fontId="7" fillId="0" borderId="8" xfId="0" applyFont="1" applyBorder="1" applyAlignment="1">
      <alignment horizontal="left"/>
    </xf>
    <xf numFmtId="37" fontId="4" fillId="0" borderId="24" xfId="0" applyFont="1" applyFill="1" applyBorder="1"/>
    <xf numFmtId="37" fontId="7" fillId="0" borderId="25" xfId="0" quotePrefix="1" applyFont="1" applyBorder="1" applyAlignment="1">
      <alignment horizontal="left"/>
    </xf>
    <xf numFmtId="37" fontId="7" fillId="0" borderId="8" xfId="0" applyFont="1" applyBorder="1"/>
    <xf numFmtId="37" fontId="4" fillId="0" borderId="7" xfId="0" applyFont="1" applyFill="1" applyBorder="1"/>
    <xf numFmtId="167" fontId="7" fillId="0" borderId="0" xfId="0" applyNumberFormat="1" applyFont="1" applyProtection="1"/>
    <xf numFmtId="49" fontId="7" fillId="0" borderId="0" xfId="0" applyNumberFormat="1" applyFont="1"/>
    <xf numFmtId="167" fontId="7" fillId="0" borderId="0" xfId="12" applyNumberFormat="1" applyFont="1"/>
    <xf numFmtId="49" fontId="8" fillId="0" borderId="0" xfId="0" applyNumberFormat="1" applyFont="1"/>
    <xf numFmtId="37" fontId="7" fillId="0" borderId="0" xfId="0" quotePrefix="1" applyFont="1" applyAlignment="1">
      <alignment horizontal="left"/>
    </xf>
    <xf numFmtId="166" fontId="7" fillId="0" borderId="2" xfId="0" applyNumberFormat="1" applyFont="1" applyBorder="1" applyAlignment="1" applyProtection="1">
      <alignment vertical="center"/>
    </xf>
    <xf numFmtId="37" fontId="7" fillId="3" borderId="2" xfId="0" applyFont="1" applyFill="1" applyBorder="1" applyAlignment="1">
      <alignment horizontal="right" vertical="center"/>
    </xf>
    <xf numFmtId="166" fontId="7" fillId="0" borderId="3" xfId="0" applyNumberFormat="1" applyFont="1" applyBorder="1" applyAlignment="1" applyProtection="1">
      <alignment vertical="center"/>
    </xf>
    <xf numFmtId="37" fontId="4" fillId="3" borderId="6" xfId="0" applyFont="1" applyFill="1" applyBorder="1"/>
    <xf numFmtId="37" fontId="4" fillId="3" borderId="1" xfId="0" applyFont="1" applyFill="1" applyBorder="1" applyAlignment="1">
      <alignment horizontal="centerContinuous"/>
    </xf>
    <xf numFmtId="37" fontId="4" fillId="3" borderId="6" xfId="0" applyFont="1" applyFill="1" applyBorder="1" applyAlignment="1">
      <alignment horizontal="centerContinuous"/>
    </xf>
    <xf numFmtId="167" fontId="7" fillId="0" borderId="1" xfId="12" applyNumberFormat="1" applyFont="1" applyBorder="1"/>
    <xf numFmtId="166" fontId="7" fillId="0" borderId="2" xfId="0" applyNumberFormat="1" applyFont="1" applyBorder="1" applyAlignment="1" applyProtection="1">
      <alignment horizontal="centerContinuous" vertical="center"/>
    </xf>
    <xf numFmtId="37" fontId="7" fillId="0" borderId="12" xfId="0" applyFont="1" applyBorder="1" applyAlignment="1">
      <alignment horizontal="centerContinuous" vertical="center"/>
    </xf>
    <xf numFmtId="37" fontId="7" fillId="3" borderId="2" xfId="0" applyFont="1" applyFill="1" applyBorder="1" applyAlignment="1">
      <alignment horizontal="centerContinuous" vertical="center"/>
    </xf>
    <xf numFmtId="37" fontId="10" fillId="0" borderId="2" xfId="0" applyFont="1" applyBorder="1" applyProtection="1">
      <protection locked="0"/>
    </xf>
    <xf numFmtId="166" fontId="7" fillId="0" borderId="3" xfId="0" applyNumberFormat="1" applyFont="1" applyBorder="1" applyAlignment="1" applyProtection="1">
      <alignment horizontal="centerContinuous" vertical="center"/>
    </xf>
    <xf numFmtId="37" fontId="7" fillId="3" borderId="3" xfId="0" applyFont="1" applyFill="1" applyBorder="1" applyAlignment="1">
      <alignment horizontal="centerContinuous" vertical="center"/>
    </xf>
    <xf numFmtId="37" fontId="10" fillId="0" borderId="3" xfId="0" applyFont="1" applyBorder="1" applyProtection="1">
      <protection locked="0"/>
    </xf>
    <xf numFmtId="37" fontId="4" fillId="0" borderId="26" xfId="0" applyFont="1" applyFill="1" applyBorder="1" applyAlignment="1">
      <alignment horizontal="centerContinuous"/>
    </xf>
    <xf numFmtId="37" fontId="4" fillId="0" borderId="27" xfId="0" applyFont="1" applyFill="1" applyBorder="1" applyAlignment="1">
      <alignment horizontal="centerContinuous"/>
    </xf>
    <xf numFmtId="37" fontId="4" fillId="0" borderId="28" xfId="0" applyFont="1" applyFill="1" applyBorder="1" applyAlignment="1">
      <alignment horizontal="left"/>
    </xf>
    <xf numFmtId="37" fontId="7" fillId="0" borderId="26" xfId="0" applyFont="1" applyFill="1" applyBorder="1" applyAlignment="1"/>
    <xf numFmtId="37" fontId="7" fillId="0" borderId="29" xfId="0" applyFont="1" applyFill="1" applyBorder="1" applyAlignment="1"/>
    <xf numFmtId="171" fontId="7" fillId="0" borderId="1" xfId="0" applyNumberFormat="1" applyFont="1" applyBorder="1"/>
    <xf numFmtId="171" fontId="7" fillId="0" borderId="0" xfId="0" applyNumberFormat="1" applyFont="1"/>
    <xf numFmtId="37" fontId="7" fillId="0" borderId="12" xfId="0" applyFont="1" applyBorder="1" applyAlignment="1"/>
    <xf numFmtId="37" fontId="4" fillId="3" borderId="17" xfId="0" applyFont="1" applyFill="1" applyBorder="1" applyAlignment="1">
      <alignment horizontal="left"/>
    </xf>
    <xf numFmtId="37" fontId="4" fillId="3" borderId="13" xfId="0" applyFont="1" applyFill="1" applyBorder="1" applyAlignment="1"/>
    <xf numFmtId="37" fontId="7" fillId="3" borderId="13" xfId="0" applyFont="1" applyFill="1" applyBorder="1" applyAlignment="1"/>
    <xf numFmtId="37" fontId="7" fillId="3" borderId="18" xfId="0" applyFont="1" applyFill="1" applyBorder="1" applyAlignment="1"/>
    <xf numFmtId="37" fontId="7" fillId="0" borderId="12" xfId="0" applyFont="1" applyBorder="1" applyAlignment="1">
      <alignment horizontal="centerContinuous"/>
    </xf>
    <xf numFmtId="37" fontId="7" fillId="0" borderId="11" xfId="0" applyFont="1" applyBorder="1" applyAlignment="1">
      <alignment horizontal="centerContinuous"/>
    </xf>
    <xf numFmtId="0" fontId="7" fillId="3" borderId="2" xfId="0" applyNumberFormat="1" applyFont="1" applyFill="1" applyBorder="1" applyAlignment="1"/>
    <xf numFmtId="0" fontId="7" fillId="3" borderId="3" xfId="0" applyNumberFormat="1" applyFont="1" applyFill="1" applyBorder="1" applyAlignment="1"/>
    <xf numFmtId="37" fontId="7" fillId="3" borderId="6" xfId="0" applyFont="1" applyFill="1" applyBorder="1"/>
    <xf numFmtId="37" fontId="4" fillId="0" borderId="5" xfId="0" applyFont="1" applyBorder="1" applyAlignment="1">
      <alignment horizontal="centerContinuous"/>
    </xf>
    <xf numFmtId="39" fontId="7" fillId="0" borderId="0" xfId="0" applyNumberFormat="1" applyFont="1" applyProtection="1"/>
    <xf numFmtId="37" fontId="4" fillId="3" borderId="17" xfId="0" applyFont="1" applyFill="1" applyBorder="1"/>
    <xf numFmtId="37" fontId="4" fillId="3" borderId="13" xfId="0" applyFont="1" applyFill="1" applyBorder="1"/>
    <xf numFmtId="37" fontId="7" fillId="3" borderId="13" xfId="0" applyFont="1" applyFill="1" applyBorder="1"/>
    <xf numFmtId="37" fontId="7" fillId="3" borderId="18" xfId="0" applyFont="1" applyFill="1" applyBorder="1"/>
    <xf numFmtId="37" fontId="4" fillId="0" borderId="18" xfId="0" applyFont="1" applyBorder="1" applyAlignment="1">
      <alignment horizontal="centerContinuous"/>
    </xf>
    <xf numFmtId="166" fontId="7" fillId="0" borderId="2" xfId="0" applyNumberFormat="1" applyFont="1" applyBorder="1" applyAlignment="1" applyProtection="1">
      <alignment horizontal="centerContinuous"/>
    </xf>
    <xf numFmtId="37" fontId="4" fillId="3" borderId="18" xfId="0" applyFont="1" applyFill="1" applyBorder="1" applyAlignment="1">
      <alignment horizontal="centerContinuous"/>
    </xf>
    <xf numFmtId="37" fontId="4" fillId="0" borderId="19" xfId="0" applyFont="1" applyBorder="1" applyAlignment="1">
      <alignment horizontal="centerContinuous"/>
    </xf>
    <xf numFmtId="37" fontId="4" fillId="3" borderId="13" xfId="0" applyFont="1" applyFill="1" applyBorder="1" applyAlignment="1">
      <alignment horizontal="centerContinuous"/>
    </xf>
    <xf numFmtId="37" fontId="7" fillId="3" borderId="13" xfId="0" applyFont="1" applyFill="1" applyBorder="1" applyAlignment="1">
      <alignment horizontal="centerContinuous"/>
    </xf>
    <xf numFmtId="37" fontId="7" fillId="3" borderId="18" xfId="0" applyFont="1" applyFill="1" applyBorder="1" applyAlignment="1">
      <alignment horizontal="centerContinuous"/>
    </xf>
    <xf numFmtId="37" fontId="4" fillId="3" borderId="13" xfId="0" applyFont="1" applyFill="1" applyBorder="1" applyProtection="1"/>
    <xf numFmtId="37" fontId="7" fillId="3" borderId="13" xfId="0" applyFont="1" applyFill="1" applyBorder="1" applyProtection="1"/>
    <xf numFmtId="37" fontId="7" fillId="3" borderId="18" xfId="0" applyFont="1" applyFill="1" applyBorder="1" applyProtection="1"/>
    <xf numFmtId="37" fontId="4" fillId="3" borderId="1" xfId="0" applyFont="1" applyFill="1" applyBorder="1" applyProtection="1"/>
    <xf numFmtId="37" fontId="4" fillId="3" borderId="6" xfId="0" applyFont="1" applyFill="1" applyBorder="1" applyAlignment="1" applyProtection="1">
      <alignment horizontal="center"/>
    </xf>
    <xf numFmtId="37" fontId="4" fillId="3" borderId="1" xfId="0" applyFont="1" applyFill="1" applyBorder="1" applyAlignment="1" applyProtection="1">
      <alignment horizontal="centerContinuous"/>
    </xf>
    <xf numFmtId="37" fontId="4" fillId="0" borderId="9" xfId="0" applyFont="1" applyBorder="1" applyAlignment="1" applyProtection="1">
      <alignment horizontal="centerContinuous"/>
    </xf>
    <xf numFmtId="0" fontId="7" fillId="3" borderId="13" xfId="0" applyNumberFormat="1" applyFont="1" applyFill="1" applyBorder="1" applyAlignment="1">
      <alignment horizontal="centerContinuous"/>
    </xf>
    <xf numFmtId="0" fontId="7" fillId="3" borderId="18" xfId="0" applyNumberFormat="1" applyFont="1" applyFill="1" applyBorder="1" applyAlignment="1">
      <alignment horizontal="centerContinuous"/>
    </xf>
    <xf numFmtId="37" fontId="7" fillId="0" borderId="18" xfId="0" applyFont="1" applyBorder="1"/>
    <xf numFmtId="37" fontId="7" fillId="0" borderId="0" xfId="0" applyFont="1" applyBorder="1"/>
    <xf numFmtId="37" fontId="7" fillId="3" borderId="2" xfId="0" quotePrefix="1" applyFont="1" applyFill="1" applyBorder="1" applyAlignment="1"/>
    <xf numFmtId="37" fontId="7" fillId="3" borderId="2" xfId="0" applyFont="1" applyFill="1" applyBorder="1" applyAlignment="1" applyProtection="1"/>
    <xf numFmtId="37" fontId="7" fillId="3" borderId="3" xfId="0" applyFont="1" applyFill="1" applyBorder="1" applyAlignment="1" applyProtection="1"/>
    <xf numFmtId="37" fontId="7" fillId="3" borderId="3" xfId="0" applyFont="1" applyFill="1" applyBorder="1" applyAlignment="1" applyProtection="1">
      <alignment horizontal="center"/>
    </xf>
    <xf numFmtId="37" fontId="4" fillId="3" borderId="17" xfId="0" applyFont="1" applyFill="1" applyBorder="1" applyProtection="1"/>
    <xf numFmtId="37" fontId="7" fillId="3" borderId="13" xfId="0" applyFont="1" applyFill="1" applyBorder="1" applyAlignment="1" applyProtection="1">
      <alignment horizontal="centerContinuous"/>
    </xf>
    <xf numFmtId="37" fontId="7" fillId="3" borderId="18" xfId="0" applyFont="1" applyFill="1" applyBorder="1" applyAlignment="1" applyProtection="1">
      <alignment horizontal="centerContinuous"/>
    </xf>
    <xf numFmtId="37" fontId="4" fillId="3" borderId="6" xfId="0" applyFont="1" applyFill="1" applyBorder="1" applyProtection="1"/>
    <xf numFmtId="37" fontId="4" fillId="3" borderId="30" xfId="0" applyFont="1" applyFill="1" applyBorder="1" applyAlignment="1" applyProtection="1">
      <alignment horizontal="center"/>
    </xf>
    <xf numFmtId="37" fontId="4" fillId="3" borderId="3" xfId="0" applyFont="1" applyFill="1" applyBorder="1" applyAlignment="1" applyProtection="1">
      <alignment horizontal="centerContinuous"/>
    </xf>
    <xf numFmtId="37" fontId="4" fillId="3" borderId="10" xfId="0" applyFont="1" applyFill="1" applyBorder="1" applyAlignment="1" applyProtection="1">
      <alignment horizontal="centerContinuous"/>
    </xf>
    <xf numFmtId="37" fontId="7" fillId="0" borderId="6" xfId="0" applyFont="1" applyBorder="1" applyProtection="1"/>
    <xf numFmtId="37" fontId="4" fillId="0" borderId="30" xfId="0" applyFont="1" applyBorder="1" applyAlignment="1" applyProtection="1">
      <alignment horizontal="center"/>
    </xf>
    <xf numFmtId="37" fontId="7" fillId="0" borderId="4" xfId="0" applyFont="1" applyBorder="1" applyProtection="1"/>
    <xf numFmtId="37" fontId="4" fillId="0" borderId="6" xfId="0" applyFont="1" applyBorder="1" applyAlignment="1" applyProtection="1">
      <alignment horizontal="center"/>
    </xf>
    <xf numFmtId="37" fontId="4" fillId="0" borderId="31" xfId="0" applyFont="1" applyBorder="1" applyAlignment="1" applyProtection="1">
      <alignment horizontal="centerContinuous"/>
    </xf>
    <xf numFmtId="37" fontId="4" fillId="0" borderId="9" xfId="0" applyFont="1" applyBorder="1" applyAlignment="1" applyProtection="1">
      <alignment horizontal="center"/>
    </xf>
    <xf numFmtId="171" fontId="7" fillId="0" borderId="16" xfId="0" applyNumberFormat="1" applyFont="1" applyBorder="1" applyAlignment="1">
      <alignment vertical="center"/>
    </xf>
    <xf numFmtId="176" fontId="7" fillId="0" borderId="30" xfId="0" applyNumberFormat="1" applyFont="1" applyBorder="1" applyAlignment="1">
      <alignment vertical="center"/>
    </xf>
    <xf numFmtId="176" fontId="7" fillId="0" borderId="0" xfId="0" applyNumberFormat="1" applyFont="1" applyAlignment="1">
      <alignment vertical="center"/>
    </xf>
    <xf numFmtId="0" fontId="4" fillId="3" borderId="13" xfId="0" applyNumberFormat="1" applyFont="1" applyFill="1" applyBorder="1" applyAlignment="1" applyProtection="1">
      <alignment horizontal="centerContinuous"/>
    </xf>
    <xf numFmtId="0" fontId="7" fillId="3" borderId="18" xfId="0" applyNumberFormat="1" applyFont="1" applyFill="1" applyBorder="1" applyAlignment="1" applyProtection="1">
      <alignment horizontal="centerContinuous"/>
    </xf>
    <xf numFmtId="37" fontId="4" fillId="3" borderId="6" xfId="0" applyFont="1" applyFill="1" applyBorder="1" applyAlignment="1" applyProtection="1">
      <alignment horizontal="centerContinuous"/>
    </xf>
    <xf numFmtId="10" fontId="7" fillId="3" borderId="2" xfId="0" applyNumberFormat="1" applyFont="1" applyFill="1" applyBorder="1" applyAlignment="1" applyProtection="1">
      <alignment horizontal="centerContinuous"/>
    </xf>
    <xf numFmtId="37" fontId="4" fillId="3" borderId="3" xfId="0" applyFont="1" applyFill="1" applyBorder="1" applyAlignment="1" applyProtection="1">
      <alignment horizontal="centerContinuous" vertical="center"/>
      <protection locked="0"/>
    </xf>
    <xf numFmtId="37" fontId="7" fillId="3" borderId="3" xfId="0" applyFont="1" applyFill="1" applyBorder="1" applyAlignment="1" applyProtection="1">
      <alignment horizontal="centerContinuous"/>
      <protection locked="0"/>
    </xf>
    <xf numFmtId="37" fontId="4" fillId="0" borderId="13" xfId="0" applyFont="1" applyBorder="1" applyAlignment="1">
      <alignment horizontal="centerContinuous" vertical="center"/>
    </xf>
    <xf numFmtId="166" fontId="7" fillId="0" borderId="0" xfId="0" applyNumberFormat="1" applyFont="1" applyBorder="1" applyProtection="1"/>
    <xf numFmtId="37" fontId="4" fillId="3" borderId="17" xfId="0" applyFont="1" applyFill="1" applyBorder="1" applyAlignment="1">
      <alignment horizontal="centerContinuous"/>
    </xf>
    <xf numFmtId="166" fontId="10" fillId="0" borderId="0" xfId="0" applyNumberFormat="1" applyFont="1" applyProtection="1">
      <protection locked="0"/>
    </xf>
    <xf numFmtId="37" fontId="4" fillId="0" borderId="2" xfId="0" applyFont="1" applyBorder="1" applyAlignment="1">
      <alignment horizontal="centerContinuous" vertical="center"/>
    </xf>
    <xf numFmtId="37" fontId="7" fillId="0" borderId="2" xfId="0" applyFont="1" applyBorder="1" applyAlignment="1">
      <alignment horizontal="centerContinuous"/>
    </xf>
    <xf numFmtId="37" fontId="7" fillId="0" borderId="2" xfId="0" applyFont="1" applyBorder="1" applyAlignment="1"/>
    <xf numFmtId="37" fontId="4" fillId="0" borderId="3" xfId="0" quotePrefix="1" applyFont="1" applyBorder="1" applyAlignment="1">
      <alignment horizontal="centerContinuous" vertical="center"/>
    </xf>
    <xf numFmtId="37" fontId="7" fillId="0" borderId="3" xfId="0" applyFont="1" applyBorder="1" applyAlignment="1">
      <alignment horizontal="centerContinuous"/>
    </xf>
    <xf numFmtId="166" fontId="7" fillId="0" borderId="13" xfId="0" applyNumberFormat="1" applyFont="1" applyBorder="1" applyAlignment="1" applyProtection="1">
      <alignment vertical="center"/>
    </xf>
    <xf numFmtId="37" fontId="7" fillId="0" borderId="13" xfId="0" applyFont="1" applyBorder="1" applyAlignment="1">
      <alignment vertical="center"/>
    </xf>
    <xf numFmtId="37" fontId="7" fillId="0" borderId="13" xfId="0" applyFont="1" applyBorder="1" applyAlignment="1">
      <alignment horizontal="right" vertical="center"/>
    </xf>
    <xf numFmtId="37" fontId="4" fillId="3" borderId="19" xfId="0" applyFont="1" applyFill="1" applyBorder="1" applyAlignment="1">
      <alignment horizontal="centerContinuous"/>
    </xf>
    <xf numFmtId="37" fontId="7" fillId="0" borderId="13" xfId="0" applyFont="1" applyBorder="1" applyAlignment="1">
      <alignment horizontal="left" vertical="center"/>
    </xf>
    <xf numFmtId="37" fontId="7" fillId="0" borderId="13" xfId="0" applyFont="1" applyBorder="1" applyAlignment="1">
      <alignment horizontal="left"/>
    </xf>
    <xf numFmtId="37" fontId="4" fillId="3" borderId="13" xfId="0" quotePrefix="1" applyFont="1" applyFill="1" applyBorder="1" applyAlignment="1" applyProtection="1">
      <alignment horizontal="centerContinuous" vertical="center"/>
    </xf>
    <xf numFmtId="37" fontId="4" fillId="0" borderId="4" xfId="0" applyFont="1" applyBorder="1" applyAlignment="1">
      <alignment horizontal="centerContinuous"/>
    </xf>
    <xf numFmtId="37" fontId="4" fillId="0" borderId="4" xfId="0" applyFont="1" applyBorder="1" applyAlignment="1">
      <alignment horizontal="center"/>
    </xf>
    <xf numFmtId="37" fontId="4" fillId="0" borderId="1" xfId="0" applyFont="1" applyBorder="1" applyAlignment="1">
      <alignment horizontal="centerContinuous"/>
    </xf>
    <xf numFmtId="37" fontId="4" fillId="0" borderId="1" xfId="0" applyFont="1" applyBorder="1" applyAlignment="1">
      <alignment horizontal="center"/>
    </xf>
    <xf numFmtId="37" fontId="7" fillId="0" borderId="0" xfId="0" applyFont="1" applyAlignment="1">
      <alignment wrapText="1"/>
    </xf>
    <xf numFmtId="166" fontId="7" fillId="0" borderId="0" xfId="0" applyNumberFormat="1" applyFont="1"/>
    <xf numFmtId="37" fontId="7" fillId="0" borderId="32" xfId="0" applyFont="1" applyBorder="1"/>
    <xf numFmtId="37" fontId="7" fillId="0" borderId="2" xfId="0" applyFont="1" applyBorder="1" applyAlignment="1">
      <alignment horizontal="centerContinuous" vertical="center"/>
    </xf>
    <xf numFmtId="37" fontId="7" fillId="0" borderId="3" xfId="0" applyFont="1" applyBorder="1" applyAlignment="1">
      <alignment horizontal="centerContinuous" vertical="center"/>
    </xf>
    <xf numFmtId="37" fontId="7" fillId="0" borderId="3" xfId="0" applyFont="1" applyBorder="1" applyAlignment="1">
      <alignment vertical="center"/>
    </xf>
    <xf numFmtId="37" fontId="7" fillId="0" borderId="0" xfId="0" quotePrefix="1" applyFont="1" applyBorder="1" applyAlignment="1">
      <alignment horizontal="centerContinuous"/>
    </xf>
    <xf numFmtId="166" fontId="7" fillId="0" borderId="12" xfId="0" applyNumberFormat="1" applyFont="1" applyBorder="1" applyAlignment="1" applyProtection="1">
      <alignment vertical="center"/>
    </xf>
    <xf numFmtId="37" fontId="4" fillId="0" borderId="12" xfId="0" applyFont="1" applyBorder="1" applyAlignment="1">
      <alignment horizontal="centerContinuous" vertical="center"/>
    </xf>
    <xf numFmtId="166" fontId="7" fillId="0" borderId="11" xfId="0" applyNumberFormat="1" applyFont="1" applyBorder="1" applyAlignment="1" applyProtection="1">
      <alignment vertical="center"/>
    </xf>
    <xf numFmtId="37" fontId="7" fillId="0" borderId="11" xfId="0" applyFont="1" applyBorder="1" applyAlignment="1"/>
    <xf numFmtId="37" fontId="7" fillId="0" borderId="2" xfId="0" quotePrefix="1" applyFont="1" applyBorder="1" applyAlignment="1">
      <alignment horizontal="right" vertical="center"/>
    </xf>
    <xf numFmtId="37" fontId="7" fillId="0" borderId="0" xfId="0" applyFont="1" applyBorder="1" applyAlignment="1">
      <alignment vertical="center"/>
    </xf>
    <xf numFmtId="37" fontId="4" fillId="0" borderId="3" xfId="0" applyFont="1" applyBorder="1" applyAlignment="1">
      <alignment horizontal="centerContinuous" vertical="center"/>
    </xf>
    <xf numFmtId="49" fontId="7" fillId="0" borderId="0" xfId="2" applyNumberFormat="1" applyFont="1"/>
    <xf numFmtId="37" fontId="14" fillId="0" borderId="3" xfId="0" applyFont="1" applyBorder="1" applyAlignment="1">
      <alignment horizontal="centerContinuous" vertical="center"/>
    </xf>
    <xf numFmtId="49" fontId="4" fillId="0" borderId="9" xfId="0" applyNumberFormat="1" applyFont="1" applyBorder="1"/>
    <xf numFmtId="49" fontId="7" fillId="0" borderId="1" xfId="0" applyNumberFormat="1" applyFont="1" applyBorder="1"/>
    <xf numFmtId="175" fontId="7" fillId="0" borderId="1" xfId="0" applyNumberFormat="1" applyFont="1" applyBorder="1"/>
    <xf numFmtId="174" fontId="7" fillId="0" borderId="0" xfId="0" applyNumberFormat="1" applyFont="1"/>
    <xf numFmtId="175" fontId="7" fillId="0" borderId="0" xfId="0" applyNumberFormat="1" applyFont="1"/>
    <xf numFmtId="171" fontId="7" fillId="0" borderId="0" xfId="0" applyNumberFormat="1" applyFont="1" applyProtection="1"/>
    <xf numFmtId="37" fontId="4" fillId="0" borderId="25" xfId="0" applyFont="1" applyBorder="1" applyAlignment="1">
      <alignment horizontal="center" vertical="center"/>
    </xf>
    <xf numFmtId="43" fontId="7" fillId="0" borderId="0" xfId="2" applyFont="1" applyAlignment="1">
      <alignment horizontal="left"/>
    </xf>
    <xf numFmtId="37" fontId="7" fillId="0" borderId="11" xfId="0" applyFont="1" applyBorder="1" applyAlignment="1">
      <alignment vertical="center"/>
    </xf>
    <xf numFmtId="37" fontId="4" fillId="3" borderId="12" xfId="0" applyFont="1" applyFill="1" applyBorder="1" applyAlignment="1">
      <alignment horizontal="centerContinuous" vertical="center"/>
    </xf>
    <xf numFmtId="37" fontId="7" fillId="3" borderId="12" xfId="0" applyFont="1" applyFill="1" applyBorder="1" applyAlignment="1">
      <alignment horizontal="centerContinuous" vertical="center"/>
    </xf>
    <xf numFmtId="37" fontId="4" fillId="3" borderId="11" xfId="0" applyFont="1" applyFill="1" applyBorder="1" applyAlignment="1" applyProtection="1">
      <alignment horizontal="centerContinuous" vertical="top"/>
    </xf>
    <xf numFmtId="37" fontId="7" fillId="3" borderId="11" xfId="0" quotePrefix="1" applyFont="1" applyFill="1" applyBorder="1" applyAlignment="1" applyProtection="1">
      <alignment horizontal="centerContinuous" vertical="center"/>
    </xf>
    <xf numFmtId="37" fontId="7" fillId="3" borderId="11" xfId="0" applyFont="1" applyFill="1" applyBorder="1" applyAlignment="1">
      <alignment horizontal="centerContinuous" vertical="center"/>
    </xf>
    <xf numFmtId="37" fontId="7" fillId="0" borderId="11" xfId="0" applyFont="1" applyBorder="1" applyAlignment="1">
      <alignment horizontal="centerContinuous" vertical="center"/>
    </xf>
    <xf numFmtId="37" fontId="7" fillId="0" borderId="0" xfId="0" applyFont="1" applyAlignment="1">
      <alignment horizontal="center"/>
    </xf>
    <xf numFmtId="37" fontId="4" fillId="3" borderId="13" xfId="0" applyFont="1" applyFill="1" applyBorder="1" applyAlignment="1">
      <alignment horizontal="centerContinuous" vertical="center"/>
    </xf>
    <xf numFmtId="37" fontId="4" fillId="3" borderId="0" xfId="0" applyFont="1" applyFill="1" applyBorder="1" applyAlignment="1">
      <alignment horizontal="centerContinuous" vertical="center"/>
    </xf>
    <xf numFmtId="37" fontId="7" fillId="3" borderId="0" xfId="0" applyFont="1" applyFill="1" applyBorder="1" applyAlignment="1">
      <alignment horizontal="centerContinuous"/>
    </xf>
    <xf numFmtId="37" fontId="7" fillId="3" borderId="0" xfId="0" quotePrefix="1" applyFont="1" applyFill="1" applyBorder="1" applyAlignment="1">
      <alignment horizontal="right"/>
    </xf>
    <xf numFmtId="37" fontId="4" fillId="0" borderId="33" xfId="0" applyFont="1" applyBorder="1" applyAlignment="1">
      <alignment horizontal="center"/>
    </xf>
    <xf numFmtId="37" fontId="7" fillId="0" borderId="7" xfId="0" applyFont="1" applyBorder="1"/>
    <xf numFmtId="37" fontId="4" fillId="0" borderId="25" xfId="0" applyFont="1" applyBorder="1" applyAlignment="1">
      <alignment horizontal="center"/>
    </xf>
    <xf numFmtId="37" fontId="4" fillId="6" borderId="25" xfId="0" applyFont="1" applyFill="1" applyBorder="1" applyAlignment="1">
      <alignment horizontal="center"/>
    </xf>
    <xf numFmtId="37" fontId="4" fillId="6" borderId="8" xfId="0" applyFont="1" applyFill="1" applyBorder="1" applyAlignment="1">
      <alignment horizontal="center"/>
    </xf>
    <xf numFmtId="49" fontId="7" fillId="0" borderId="0" xfId="0" applyNumberFormat="1" applyFont="1" applyBorder="1" applyAlignment="1">
      <alignment horizontal="left"/>
    </xf>
    <xf numFmtId="37" fontId="7" fillId="0" borderId="0" xfId="0" applyFont="1" applyBorder="1" applyAlignment="1"/>
    <xf numFmtId="37" fontId="7" fillId="3" borderId="0" xfId="0" applyFont="1" applyFill="1" applyBorder="1" applyAlignment="1">
      <alignment horizontal="right"/>
    </xf>
    <xf numFmtId="37" fontId="4" fillId="3" borderId="33" xfId="0" applyFont="1" applyFill="1" applyBorder="1" applyAlignment="1">
      <alignment horizontal="centerContinuous" vertical="center"/>
    </xf>
    <xf numFmtId="37" fontId="4" fillId="0" borderId="33" xfId="0" applyFont="1" applyBorder="1" applyAlignment="1">
      <alignment horizontal="center" vertical="center"/>
    </xf>
    <xf numFmtId="37" fontId="7" fillId="0" borderId="0" xfId="0" applyFont="1" applyBorder="1" applyAlignment="1">
      <alignment horizontal="left"/>
    </xf>
    <xf numFmtId="166" fontId="7" fillId="0" borderId="13" xfId="0" applyNumberFormat="1" applyFont="1" applyBorder="1" applyProtection="1"/>
    <xf numFmtId="37" fontId="7" fillId="0" borderId="13" xfId="0" applyFont="1" applyBorder="1" applyAlignment="1">
      <alignment horizontal="centerContinuous" vertical="center"/>
    </xf>
    <xf numFmtId="166" fontId="7" fillId="0" borderId="0" xfId="0" applyNumberFormat="1" applyFont="1" applyAlignment="1" applyProtection="1">
      <alignment horizontal="centerContinuous"/>
    </xf>
    <xf numFmtId="37" fontId="4" fillId="0" borderId="17" xfId="0" applyFont="1" applyBorder="1" applyAlignment="1">
      <alignment horizontal="centerContinuous" vertical="center"/>
    </xf>
    <xf numFmtId="37" fontId="4" fillId="0" borderId="6" xfId="0" applyFont="1" applyBorder="1" applyAlignment="1">
      <alignment horizontal="center"/>
    </xf>
    <xf numFmtId="37" fontId="10" fillId="0" borderId="13" xfId="0" applyFont="1" applyBorder="1" applyAlignment="1" applyProtection="1">
      <alignment horizontal="centerContinuous" vertical="center"/>
      <protection locked="0"/>
    </xf>
    <xf numFmtId="43" fontId="7" fillId="0" borderId="0" xfId="2" applyFont="1" applyAlignment="1"/>
    <xf numFmtId="37" fontId="7" fillId="0" borderId="0" xfId="0" quotePrefix="1" applyFont="1" applyAlignment="1"/>
    <xf numFmtId="37" fontId="4" fillId="0" borderId="26" xfId="0" applyFont="1" applyBorder="1" applyAlignment="1">
      <alignment horizontal="centerContinuous" vertical="center"/>
    </xf>
    <xf numFmtId="37" fontId="7" fillId="0" borderId="26" xfId="0" applyFont="1" applyBorder="1" applyAlignment="1">
      <alignment horizontal="centerContinuous" vertical="center"/>
    </xf>
    <xf numFmtId="37" fontId="10" fillId="0" borderId="13" xfId="0" applyFont="1" applyBorder="1" applyAlignment="1" applyProtection="1">
      <alignment vertical="center"/>
      <protection locked="0"/>
    </xf>
    <xf numFmtId="37" fontId="4" fillId="0" borderId="1" xfId="0" applyFont="1" applyBorder="1"/>
    <xf numFmtId="37" fontId="7" fillId="0" borderId="10" xfId="0" applyFont="1" applyBorder="1" applyAlignment="1">
      <alignment horizontal="centerContinuous"/>
    </xf>
    <xf numFmtId="49" fontId="12" fillId="0" borderId="10" xfId="0" applyNumberFormat="1" applyFont="1" applyBorder="1" applyAlignment="1">
      <alignment horizontal="center"/>
    </xf>
    <xf numFmtId="49" fontId="12" fillId="0" borderId="8" xfId="0" applyNumberFormat="1" applyFont="1" applyBorder="1" applyAlignment="1">
      <alignment horizontal="center" vertical="top"/>
    </xf>
    <xf numFmtId="166" fontId="7" fillId="0" borderId="0" xfId="0" applyNumberFormat="1" applyFont="1" applyAlignment="1" applyProtection="1">
      <alignment horizontal="right"/>
    </xf>
    <xf numFmtId="37" fontId="7" fillId="0" borderId="34" xfId="0" applyFont="1" applyBorder="1"/>
    <xf numFmtId="37" fontId="7" fillId="0" borderId="26" xfId="0" applyFont="1" applyBorder="1"/>
    <xf numFmtId="37" fontId="7" fillId="0" borderId="29" xfId="0" applyFont="1" applyBorder="1"/>
    <xf numFmtId="0" fontId="7" fillId="0" borderId="0" xfId="0" applyNumberFormat="1" applyFont="1" applyAlignment="1">
      <alignment horizontal="center"/>
    </xf>
    <xf numFmtId="37" fontId="7" fillId="3" borderId="0" xfId="0" applyFont="1" applyFill="1" applyAlignment="1">
      <alignment horizontal="left"/>
    </xf>
    <xf numFmtId="37" fontId="7" fillId="0" borderId="0" xfId="0" quotePrefix="1" applyFont="1" applyAlignment="1">
      <alignment horizontal="center"/>
    </xf>
    <xf numFmtId="37" fontId="4" fillId="3" borderId="5" xfId="0" applyFont="1" applyFill="1" applyBorder="1" applyAlignment="1">
      <alignment vertical="center"/>
    </xf>
    <xf numFmtId="37" fontId="4" fillId="0" borderId="10" xfId="0" applyFont="1" applyBorder="1" applyAlignment="1">
      <alignment horizontal="right" vertical="center"/>
    </xf>
    <xf numFmtId="10" fontId="7" fillId="0" borderId="0" xfId="12" applyNumberFormat="1" applyFont="1"/>
    <xf numFmtId="37" fontId="9" fillId="3" borderId="0" xfId="0" applyFont="1" applyFill="1" applyAlignment="1">
      <alignment horizontal="centerContinuous"/>
    </xf>
    <xf numFmtId="37" fontId="9" fillId="0" borderId="0" xfId="0" applyFont="1" applyAlignment="1">
      <alignment horizontal="centerContinuous"/>
    </xf>
    <xf numFmtId="37" fontId="4" fillId="7" borderId="17" xfId="0" applyFont="1" applyFill="1" applyBorder="1" applyAlignment="1">
      <alignment horizontal="centerContinuous"/>
    </xf>
    <xf numFmtId="37" fontId="4" fillId="7" borderId="18" xfId="0" applyFont="1" applyFill="1" applyBorder="1" applyAlignment="1">
      <alignment horizontal="centerContinuous"/>
    </xf>
    <xf numFmtId="37" fontId="4" fillId="7" borderId="18" xfId="0" applyFont="1" applyFill="1" applyBorder="1" applyAlignment="1">
      <alignment horizontal="centerContinuous" vertical="center"/>
    </xf>
    <xf numFmtId="49" fontId="7" fillId="7" borderId="1" xfId="0" applyNumberFormat="1" applyFont="1" applyFill="1" applyBorder="1" applyAlignment="1">
      <alignment vertical="center"/>
    </xf>
    <xf numFmtId="171" fontId="7" fillId="7" borderId="1" xfId="0" applyNumberFormat="1" applyFont="1" applyFill="1" applyBorder="1" applyAlignment="1">
      <alignment vertical="center"/>
    </xf>
    <xf numFmtId="49" fontId="4" fillId="7" borderId="19" xfId="2" applyNumberFormat="1" applyFont="1" applyFill="1" applyBorder="1" applyAlignment="1">
      <alignment vertical="center"/>
    </xf>
    <xf numFmtId="171" fontId="4" fillId="7" borderId="19" xfId="0" applyNumberFormat="1" applyFont="1" applyFill="1" applyBorder="1" applyAlignment="1">
      <alignment vertical="center"/>
    </xf>
    <xf numFmtId="37" fontId="4" fillId="7" borderId="17" xfId="0" applyFont="1" applyFill="1" applyBorder="1" applyAlignment="1" applyProtection="1">
      <alignment horizontal="centerContinuous" vertical="center"/>
    </xf>
    <xf numFmtId="37" fontId="4" fillId="7" borderId="13" xfId="0" applyFont="1" applyFill="1" applyBorder="1" applyAlignment="1" applyProtection="1">
      <alignment horizontal="centerContinuous"/>
    </xf>
    <xf numFmtId="37" fontId="4" fillId="7" borderId="18" xfId="0" applyFont="1" applyFill="1" applyBorder="1" applyAlignment="1" applyProtection="1">
      <alignment horizontal="centerContinuous"/>
    </xf>
    <xf numFmtId="175" fontId="7" fillId="7" borderId="1" xfId="0" applyNumberFormat="1" applyFont="1" applyFill="1" applyBorder="1" applyAlignment="1">
      <alignment vertical="center"/>
    </xf>
    <xf numFmtId="175" fontId="7" fillId="7" borderId="23" xfId="0" applyNumberFormat="1" applyFont="1" applyFill="1" applyBorder="1" applyAlignment="1">
      <alignment vertical="center"/>
    </xf>
    <xf numFmtId="175" fontId="7" fillId="7" borderId="6" xfId="0" applyNumberFormat="1" applyFont="1" applyFill="1" applyBorder="1" applyAlignment="1">
      <alignment vertical="center"/>
    </xf>
    <xf numFmtId="175" fontId="4" fillId="7" borderId="19" xfId="0" applyNumberFormat="1" applyFont="1" applyFill="1" applyBorder="1" applyAlignment="1">
      <alignment vertical="center"/>
    </xf>
    <xf numFmtId="175" fontId="4" fillId="7" borderId="35" xfId="0" applyNumberFormat="1" applyFont="1" applyFill="1" applyBorder="1" applyAlignment="1">
      <alignment vertical="center"/>
    </xf>
    <xf numFmtId="175" fontId="4" fillId="7" borderId="18" xfId="0" applyNumberFormat="1" applyFont="1" applyFill="1" applyBorder="1" applyAlignment="1">
      <alignment vertical="center"/>
    </xf>
    <xf numFmtId="37" fontId="4" fillId="7" borderId="17" xfId="0" applyFont="1" applyFill="1" applyBorder="1" applyAlignment="1" applyProtection="1">
      <alignment horizontal="centerContinuous"/>
    </xf>
    <xf numFmtId="37" fontId="4" fillId="7" borderId="20" xfId="0" applyFont="1" applyFill="1" applyBorder="1" applyAlignment="1">
      <alignment horizontal="centerContinuous"/>
    </xf>
    <xf numFmtId="37" fontId="4" fillId="7" borderId="3" xfId="0" applyFont="1" applyFill="1" applyBorder="1" applyAlignment="1">
      <alignment horizontal="centerContinuous"/>
    </xf>
    <xf numFmtId="37" fontId="4" fillId="7" borderId="10" xfId="0" applyFont="1" applyFill="1" applyBorder="1" applyAlignment="1">
      <alignment horizontal="centerContinuous"/>
    </xf>
    <xf numFmtId="37" fontId="4" fillId="7" borderId="9" xfId="0" applyFont="1" applyFill="1" applyBorder="1" applyAlignment="1">
      <alignment horizontal="center"/>
    </xf>
    <xf numFmtId="37" fontId="4" fillId="7" borderId="17" xfId="0" applyFont="1" applyFill="1" applyBorder="1" applyAlignment="1">
      <alignment horizontal="centerContinuous" vertical="center"/>
    </xf>
    <xf numFmtId="37" fontId="7" fillId="7" borderId="13" xfId="0" applyFont="1" applyFill="1" applyBorder="1" applyAlignment="1">
      <alignment horizontal="centerContinuous"/>
    </xf>
    <xf numFmtId="37" fontId="7" fillId="7" borderId="18" xfId="0" applyFont="1" applyFill="1" applyBorder="1" applyAlignment="1">
      <alignment horizontal="centerContinuous"/>
    </xf>
    <xf numFmtId="37" fontId="4" fillId="7" borderId="4" xfId="0" applyFont="1" applyFill="1" applyBorder="1" applyAlignment="1">
      <alignment horizontal="centerContinuous"/>
    </xf>
    <xf numFmtId="37" fontId="4" fillId="7" borderId="5" xfId="0" applyFont="1" applyFill="1" applyBorder="1" applyAlignment="1">
      <alignment horizontal="center"/>
    </xf>
    <xf numFmtId="37" fontId="4" fillId="7" borderId="2" xfId="0" applyFont="1" applyFill="1" applyBorder="1" applyAlignment="1">
      <alignment horizontal="center"/>
    </xf>
    <xf numFmtId="37" fontId="7" fillId="7" borderId="5" xfId="0" applyFont="1" applyFill="1" applyBorder="1" applyAlignment="1">
      <alignment horizontal="centerContinuous"/>
    </xf>
    <xf numFmtId="37" fontId="4" fillId="7" borderId="9" xfId="0" applyFont="1" applyFill="1" applyBorder="1" applyAlignment="1">
      <alignment horizontal="centerContinuous"/>
    </xf>
    <xf numFmtId="37" fontId="7" fillId="7" borderId="3" xfId="0" applyFont="1" applyFill="1" applyBorder="1" applyAlignment="1">
      <alignment horizontal="centerContinuous"/>
    </xf>
    <xf numFmtId="37" fontId="4" fillId="7" borderId="14" xfId="0" applyFont="1" applyFill="1" applyBorder="1" applyAlignment="1">
      <alignment horizontal="centerContinuous"/>
    </xf>
    <xf numFmtId="37" fontId="4" fillId="7" borderId="5" xfId="0" applyFont="1" applyFill="1" applyBorder="1" applyAlignment="1">
      <alignment horizontal="centerContinuous"/>
    </xf>
    <xf numFmtId="37" fontId="4" fillId="7" borderId="2" xfId="0" applyFont="1" applyFill="1" applyBorder="1"/>
    <xf numFmtId="37" fontId="4" fillId="7" borderId="2" xfId="0" applyFont="1" applyFill="1" applyBorder="1" applyAlignment="1">
      <alignment horizontal="centerContinuous"/>
    </xf>
    <xf numFmtId="37" fontId="4" fillId="8" borderId="24" xfId="0" applyFont="1" applyFill="1" applyBorder="1"/>
    <xf numFmtId="37" fontId="4" fillId="9" borderId="24" xfId="0" applyFont="1" applyFill="1" applyBorder="1"/>
    <xf numFmtId="37" fontId="4" fillId="8" borderId="36" xfId="0" applyFont="1" applyFill="1" applyBorder="1"/>
    <xf numFmtId="37" fontId="7" fillId="7" borderId="2" xfId="0" applyFont="1" applyFill="1" applyBorder="1" applyAlignment="1">
      <alignment horizontal="centerContinuous"/>
    </xf>
    <xf numFmtId="37" fontId="7" fillId="7" borderId="10" xfId="0" applyFont="1" applyFill="1" applyBorder="1" applyAlignment="1">
      <alignment horizontal="centerContinuous"/>
    </xf>
    <xf numFmtId="37" fontId="7" fillId="7" borderId="14" xfId="0" applyFont="1" applyFill="1" applyBorder="1"/>
    <xf numFmtId="37" fontId="4" fillId="7" borderId="14" xfId="0" applyFont="1" applyFill="1" applyBorder="1" applyAlignment="1">
      <alignment horizontal="left"/>
    </xf>
    <xf numFmtId="37" fontId="4" fillId="7" borderId="2" xfId="0" applyFont="1" applyFill="1" applyBorder="1" applyAlignment="1">
      <alignment horizontal="left"/>
    </xf>
    <xf numFmtId="37" fontId="4" fillId="7" borderId="5" xfId="0" applyFont="1" applyFill="1" applyBorder="1" applyAlignment="1">
      <alignment horizontal="left"/>
    </xf>
    <xf numFmtId="37" fontId="4" fillId="7" borderId="37" xfId="0" applyFont="1" applyFill="1" applyBorder="1" applyAlignment="1">
      <alignment horizontal="centerContinuous"/>
    </xf>
    <xf numFmtId="37" fontId="4" fillId="7" borderId="12" xfId="0" applyFont="1" applyFill="1" applyBorder="1" applyAlignment="1">
      <alignment horizontal="centerContinuous"/>
    </xf>
    <xf numFmtId="37" fontId="4" fillId="7" borderId="38" xfId="0" applyFont="1" applyFill="1" applyBorder="1" applyAlignment="1">
      <alignment horizontal="centerContinuous"/>
    </xf>
    <xf numFmtId="37" fontId="4" fillId="7" borderId="37" xfId="0" applyFont="1" applyFill="1" applyBorder="1" applyAlignment="1">
      <alignment horizontal="left"/>
    </xf>
    <xf numFmtId="37" fontId="4" fillId="7" borderId="12" xfId="0" applyFont="1" applyFill="1" applyBorder="1" applyAlignment="1">
      <alignment horizontal="left"/>
    </xf>
    <xf numFmtId="37" fontId="4" fillId="7" borderId="38" xfId="0" applyFont="1" applyFill="1" applyBorder="1" applyAlignment="1">
      <alignment horizontal="left"/>
    </xf>
    <xf numFmtId="37" fontId="4" fillId="7" borderId="39" xfId="0" applyFont="1" applyFill="1" applyBorder="1" applyAlignment="1">
      <alignment horizontal="centerContinuous"/>
    </xf>
    <xf numFmtId="37" fontId="4" fillId="7" borderId="11" xfId="0" applyFont="1" applyFill="1" applyBorder="1" applyAlignment="1">
      <alignment horizontal="centerContinuous"/>
    </xf>
    <xf numFmtId="37" fontId="4" fillId="7" borderId="40" xfId="0" applyFont="1" applyFill="1" applyBorder="1" applyAlignment="1">
      <alignment horizontal="centerContinuous"/>
    </xf>
    <xf numFmtId="37" fontId="4" fillId="7" borderId="41" xfId="0" applyFont="1" applyFill="1" applyBorder="1" applyAlignment="1" applyProtection="1">
      <alignment horizontal="centerContinuous"/>
    </xf>
    <xf numFmtId="37" fontId="7" fillId="7" borderId="0" xfId="0" applyFont="1" applyFill="1" applyAlignment="1" applyProtection="1">
      <alignment horizontal="centerContinuous"/>
    </xf>
    <xf numFmtId="37" fontId="7" fillId="7" borderId="6" xfId="0" applyFont="1" applyFill="1" applyBorder="1" applyAlignment="1" applyProtection="1">
      <alignment horizontal="centerContinuous"/>
    </xf>
    <xf numFmtId="37" fontId="4" fillId="7" borderId="16" xfId="0" applyFont="1" applyFill="1" applyBorder="1" applyAlignment="1" applyProtection="1">
      <alignment horizontal="centerContinuous"/>
    </xf>
    <xf numFmtId="37" fontId="4" fillId="7" borderId="20" xfId="0" applyFont="1" applyFill="1" applyBorder="1" applyAlignment="1" applyProtection="1">
      <alignment horizontal="centerContinuous"/>
    </xf>
    <xf numFmtId="37" fontId="4" fillId="7" borderId="3" xfId="0" applyFont="1" applyFill="1" applyBorder="1" applyAlignment="1" applyProtection="1">
      <alignment horizontal="centerContinuous"/>
    </xf>
    <xf numFmtId="37" fontId="4" fillId="7" borderId="10" xfId="0" applyFont="1" applyFill="1" applyBorder="1" applyAlignment="1" applyProtection="1">
      <alignment horizontal="centerContinuous"/>
    </xf>
    <xf numFmtId="49" fontId="7" fillId="10" borderId="1" xfId="0" applyNumberFormat="1" applyFont="1" applyFill="1" applyBorder="1" applyAlignment="1">
      <alignment vertical="center"/>
    </xf>
    <xf numFmtId="171" fontId="7" fillId="10" borderId="16" xfId="0" applyNumberFormat="1" applyFont="1" applyFill="1" applyBorder="1" applyAlignment="1">
      <alignment vertical="center"/>
    </xf>
    <xf numFmtId="176" fontId="7" fillId="10" borderId="30" xfId="0" applyNumberFormat="1" applyFont="1" applyFill="1" applyBorder="1" applyAlignment="1">
      <alignment vertical="center"/>
    </xf>
    <xf numFmtId="171" fontId="4" fillId="7" borderId="17" xfId="0" applyNumberFormat="1" applyFont="1" applyFill="1" applyBorder="1" applyAlignment="1">
      <alignment vertical="center"/>
    </xf>
    <xf numFmtId="176" fontId="4" fillId="7" borderId="42" xfId="0" applyNumberFormat="1" applyFont="1" applyFill="1" applyBorder="1" applyAlignment="1">
      <alignment vertical="center"/>
    </xf>
    <xf numFmtId="37" fontId="4" fillId="7" borderId="14" xfId="0" applyFont="1" applyFill="1" applyBorder="1" applyAlignment="1"/>
    <xf numFmtId="37" fontId="4" fillId="7" borderId="5" xfId="0" applyFont="1" applyFill="1" applyBorder="1" applyAlignment="1"/>
    <xf numFmtId="37" fontId="4" fillId="7" borderId="16" xfId="0" applyFont="1" applyFill="1" applyBorder="1" applyAlignment="1">
      <alignment horizontal="centerContinuous"/>
    </xf>
    <xf numFmtId="37" fontId="4" fillId="7" borderId="6" xfId="0" applyFont="1" applyFill="1" applyBorder="1" applyAlignment="1">
      <alignment horizontal="centerContinuous"/>
    </xf>
    <xf numFmtId="169" fontId="7" fillId="3" borderId="25" xfId="0" applyNumberFormat="1" applyFont="1" applyFill="1" applyBorder="1" applyProtection="1"/>
    <xf numFmtId="169" fontId="7" fillId="0" borderId="25" xfId="0" applyNumberFormat="1" applyFont="1" applyBorder="1" applyProtection="1"/>
    <xf numFmtId="169" fontId="4" fillId="0" borderId="7" xfId="12" applyNumberFormat="1" applyFont="1" applyFill="1" applyBorder="1"/>
    <xf numFmtId="171" fontId="4" fillId="0" borderId="24" xfId="0" applyNumberFormat="1" applyFont="1" applyBorder="1" applyProtection="1"/>
    <xf numFmtId="169" fontId="4" fillId="0" borderId="24" xfId="0" applyNumberFormat="1" applyFont="1" applyBorder="1" applyProtection="1"/>
    <xf numFmtId="171" fontId="4" fillId="9" borderId="24" xfId="0" applyNumberFormat="1" applyFont="1" applyFill="1" applyBorder="1" applyProtection="1"/>
    <xf numFmtId="169" fontId="4" fillId="9" borderId="24" xfId="0" applyNumberFormat="1" applyFont="1" applyFill="1" applyBorder="1" applyProtection="1"/>
    <xf numFmtId="37" fontId="4" fillId="7" borderId="4" xfId="0" applyNumberFormat="1" applyFont="1" applyFill="1" applyBorder="1" applyAlignment="1" applyProtection="1">
      <alignment horizontal="centerContinuous"/>
    </xf>
    <xf numFmtId="37" fontId="4" fillId="7" borderId="4" xfId="0" applyNumberFormat="1" applyFont="1" applyFill="1" applyBorder="1" applyAlignment="1" applyProtection="1">
      <alignment horizontal="center"/>
    </xf>
    <xf numFmtId="37" fontId="4" fillId="7" borderId="4" xfId="0" applyFont="1" applyFill="1" applyBorder="1"/>
    <xf numFmtId="37" fontId="4" fillId="7" borderId="1" xfId="0" applyNumberFormat="1" applyFont="1" applyFill="1" applyBorder="1" applyAlignment="1" applyProtection="1">
      <alignment horizontal="centerContinuous"/>
    </xf>
    <xf numFmtId="37" fontId="4" fillId="7" borderId="1" xfId="0" applyNumberFormat="1" applyFont="1" applyFill="1" applyBorder="1" applyAlignment="1" applyProtection="1"/>
    <xf numFmtId="37" fontId="4" fillId="7" borderId="1" xfId="0" applyFont="1" applyFill="1" applyBorder="1" applyAlignment="1"/>
    <xf numFmtId="37" fontId="4" fillId="7" borderId="1" xfId="0" applyFont="1" applyFill="1" applyBorder="1" applyAlignment="1">
      <alignment horizontal="centerContinuous"/>
    </xf>
    <xf numFmtId="37" fontId="4" fillId="7" borderId="9" xfId="0" applyNumberFormat="1" applyFont="1" applyFill="1" applyBorder="1" applyAlignment="1" applyProtection="1">
      <alignment horizontal="centerContinuous"/>
    </xf>
    <xf numFmtId="171" fontId="7" fillId="7" borderId="1" xfId="0" applyNumberFormat="1" applyFont="1" applyFill="1" applyBorder="1"/>
    <xf numFmtId="175" fontId="7" fillId="7" borderId="1" xfId="0" applyNumberFormat="1" applyFont="1" applyFill="1" applyBorder="1"/>
    <xf numFmtId="49" fontId="7" fillId="7" borderId="1" xfId="0" applyNumberFormat="1" applyFont="1" applyFill="1" applyBorder="1"/>
    <xf numFmtId="49" fontId="4" fillId="7" borderId="19" xfId="0" applyNumberFormat="1" applyFont="1" applyFill="1" applyBorder="1"/>
    <xf numFmtId="171" fontId="4" fillId="7" borderId="19" xfId="0" applyNumberFormat="1" applyFont="1" applyFill="1" applyBorder="1"/>
    <xf numFmtId="175" fontId="4" fillId="7" borderId="19" xfId="0" applyNumberFormat="1" applyFont="1" applyFill="1" applyBorder="1" applyProtection="1"/>
    <xf numFmtId="37" fontId="4" fillId="7" borderId="4" xfId="0" applyFont="1" applyFill="1" applyBorder="1" applyAlignment="1">
      <alignment horizontal="center"/>
    </xf>
    <xf numFmtId="37" fontId="4" fillId="7" borderId="1" xfId="0" applyFont="1" applyFill="1" applyBorder="1" applyAlignment="1">
      <alignment horizontal="center"/>
    </xf>
    <xf numFmtId="37" fontId="4" fillId="10" borderId="10" xfId="0" applyFont="1" applyFill="1" applyBorder="1" applyAlignment="1">
      <alignment horizontal="centerContinuous"/>
    </xf>
    <xf numFmtId="37" fontId="4" fillId="7" borderId="14" xfId="0" applyFont="1" applyFill="1" applyBorder="1"/>
    <xf numFmtId="177" fontId="7" fillId="7" borderId="1" xfId="0" applyNumberFormat="1" applyFont="1" applyFill="1" applyBorder="1" applyAlignment="1">
      <alignment vertical="center"/>
    </xf>
    <xf numFmtId="177" fontId="7" fillId="0" borderId="1" xfId="0" applyNumberFormat="1" applyFont="1" applyBorder="1" applyAlignment="1">
      <alignment vertical="center"/>
    </xf>
    <xf numFmtId="177" fontId="7" fillId="7" borderId="1" xfId="0" applyNumberFormat="1" applyFont="1" applyFill="1" applyBorder="1" applyAlignment="1">
      <alignment horizontal="right" vertical="center"/>
    </xf>
    <xf numFmtId="177" fontId="0" fillId="0" borderId="0" xfId="0" applyNumberFormat="1"/>
    <xf numFmtId="177" fontId="4" fillId="7" borderId="19" xfId="0" applyNumberFormat="1" applyFont="1" applyFill="1" applyBorder="1" applyAlignment="1">
      <alignment vertical="center"/>
    </xf>
    <xf numFmtId="171" fontId="7" fillId="7" borderId="1" xfId="0" applyNumberFormat="1" applyFont="1" applyFill="1" applyBorder="1" applyAlignment="1">
      <alignment horizontal="right" vertical="center"/>
    </xf>
    <xf numFmtId="171" fontId="0" fillId="0" borderId="0" xfId="0" applyNumberFormat="1"/>
    <xf numFmtId="37" fontId="7" fillId="10" borderId="14" xfId="0" applyFont="1" applyFill="1" applyBorder="1"/>
    <xf numFmtId="37" fontId="7" fillId="10" borderId="2" xfId="0" applyFont="1" applyFill="1" applyBorder="1"/>
    <xf numFmtId="37" fontId="7" fillId="10" borderId="2" xfId="0" applyFont="1" applyFill="1" applyBorder="1" applyAlignment="1">
      <alignment horizontal="centerContinuous"/>
    </xf>
    <xf numFmtId="37" fontId="7" fillId="10" borderId="5" xfId="0" applyFont="1" applyFill="1" applyBorder="1" applyAlignment="1">
      <alignment horizontal="centerContinuous"/>
    </xf>
    <xf numFmtId="37" fontId="4" fillId="10" borderId="2" xfId="0" applyFont="1" applyFill="1" applyBorder="1" applyAlignment="1">
      <alignment horizontal="centerContinuous"/>
    </xf>
    <xf numFmtId="37" fontId="4" fillId="10" borderId="5" xfId="0" applyFont="1" applyFill="1" applyBorder="1" applyAlignment="1">
      <alignment horizontal="centerContinuous"/>
    </xf>
    <xf numFmtId="37" fontId="4" fillId="10" borderId="20" xfId="0" applyFont="1" applyFill="1" applyBorder="1" applyAlignment="1">
      <alignment horizontal="centerContinuous"/>
    </xf>
    <xf numFmtId="37" fontId="4" fillId="10" borderId="3" xfId="0" applyFont="1" applyFill="1" applyBorder="1" applyAlignment="1">
      <alignment horizontal="centerContinuous"/>
    </xf>
    <xf numFmtId="37" fontId="7" fillId="7" borderId="0" xfId="0" applyFont="1" applyFill="1" applyAlignment="1">
      <alignment horizontal="centerContinuous"/>
    </xf>
    <xf numFmtId="37" fontId="4" fillId="7" borderId="0" xfId="0" applyFont="1" applyFill="1"/>
    <xf numFmtId="37" fontId="4" fillId="7" borderId="1" xfId="0" applyFont="1" applyFill="1" applyBorder="1"/>
    <xf numFmtId="37" fontId="4" fillId="7" borderId="0" xfId="0" applyFont="1" applyFill="1" applyBorder="1" applyAlignment="1">
      <alignment horizontal="centerContinuous"/>
    </xf>
    <xf numFmtId="37" fontId="4" fillId="7" borderId="14" xfId="0" applyFont="1" applyFill="1" applyBorder="1" applyAlignment="1">
      <alignment horizontal="centerContinuous" vertical="center"/>
    </xf>
    <xf numFmtId="37" fontId="4" fillId="7" borderId="16" xfId="0" applyFont="1" applyFill="1" applyBorder="1" applyAlignment="1">
      <alignment horizontal="centerContinuous" vertical="center"/>
    </xf>
    <xf numFmtId="37" fontId="7" fillId="7" borderId="6" xfId="0" applyFont="1" applyFill="1" applyBorder="1" applyAlignment="1">
      <alignment horizontal="centerContinuous"/>
    </xf>
    <xf numFmtId="37" fontId="4" fillId="7" borderId="2" xfId="0" applyFont="1" applyFill="1" applyBorder="1" applyAlignment="1">
      <alignment horizontal="centerContinuous" vertical="center"/>
    </xf>
    <xf numFmtId="37" fontId="4" fillId="7" borderId="0" xfId="0" applyFont="1" applyFill="1" applyBorder="1" applyAlignment="1">
      <alignment horizontal="centerContinuous" vertical="center"/>
    </xf>
    <xf numFmtId="37" fontId="4" fillId="7" borderId="34" xfId="12" applyNumberFormat="1" applyFont="1" applyFill="1" applyBorder="1" applyAlignment="1">
      <alignment horizontal="centerContinuous" vertical="center"/>
    </xf>
    <xf numFmtId="37" fontId="7" fillId="7" borderId="26" xfId="12" applyNumberFormat="1" applyFont="1" applyFill="1" applyBorder="1" applyAlignment="1">
      <alignment horizontal="centerContinuous"/>
    </xf>
    <xf numFmtId="37" fontId="7" fillId="7" borderId="29" xfId="12" applyNumberFormat="1" applyFont="1" applyFill="1" applyBorder="1" applyAlignment="1">
      <alignment horizontal="centerContinuous"/>
    </xf>
    <xf numFmtId="37" fontId="4" fillId="8" borderId="24" xfId="0" applyFont="1" applyFill="1" applyBorder="1" applyAlignment="1">
      <alignment horizontal="centerContinuous" vertical="center"/>
    </xf>
    <xf numFmtId="37" fontId="7" fillId="8" borderId="26" xfId="0" applyFont="1" applyFill="1" applyBorder="1" applyAlignment="1">
      <alignment horizontal="centerContinuous"/>
    </xf>
    <xf numFmtId="37" fontId="7" fillId="8" borderId="29" xfId="0" applyFont="1" applyFill="1" applyBorder="1" applyAlignment="1">
      <alignment horizontal="centerContinuous"/>
    </xf>
    <xf numFmtId="175" fontId="7" fillId="0" borderId="1" xfId="0" applyNumberFormat="1" applyFont="1" applyBorder="1" applyAlignment="1">
      <alignment horizontal="right" vertical="center"/>
    </xf>
    <xf numFmtId="37" fontId="4" fillId="8" borderId="14" xfId="0" applyFont="1" applyFill="1" applyBorder="1" applyAlignment="1">
      <alignment horizontal="centerContinuous"/>
    </xf>
    <xf numFmtId="37" fontId="4" fillId="8" borderId="5" xfId="0" applyFont="1" applyFill="1" applyBorder="1" applyAlignment="1">
      <alignment horizontal="centerContinuous"/>
    </xf>
    <xf numFmtId="37" fontId="4" fillId="8" borderId="14" xfId="0" applyFont="1" applyFill="1" applyBorder="1" applyAlignment="1"/>
    <xf numFmtId="37" fontId="4" fillId="8" borderId="5" xfId="0" applyFont="1" applyFill="1" applyBorder="1" applyAlignment="1"/>
    <xf numFmtId="37" fontId="4" fillId="8" borderId="16" xfId="0" applyFont="1" applyFill="1" applyBorder="1" applyAlignment="1">
      <alignment horizontal="centerContinuous"/>
    </xf>
    <xf numFmtId="37" fontId="4" fillId="8" borderId="6" xfId="0" applyFont="1" applyFill="1" applyBorder="1" applyAlignment="1">
      <alignment horizontal="centerContinuous"/>
    </xf>
    <xf numFmtId="37" fontId="4" fillId="8" borderId="20" xfId="0" applyFont="1" applyFill="1" applyBorder="1" applyAlignment="1">
      <alignment horizontal="centerContinuous"/>
    </xf>
    <xf numFmtId="37" fontId="4" fillId="8" borderId="10" xfId="0" applyFont="1" applyFill="1" applyBorder="1" applyAlignment="1">
      <alignment horizontal="centerContinuous"/>
    </xf>
    <xf numFmtId="175" fontId="0" fillId="0" borderId="0" xfId="0" applyNumberFormat="1"/>
    <xf numFmtId="175" fontId="4" fillId="7" borderId="19" xfId="0" applyNumberFormat="1" applyFont="1" applyFill="1" applyBorder="1"/>
    <xf numFmtId="37" fontId="4" fillId="8" borderId="14" xfId="0" applyFont="1" applyFill="1" applyBorder="1" applyAlignment="1">
      <alignment horizontal="left"/>
    </xf>
    <xf numFmtId="37" fontId="4" fillId="8" borderId="5" xfId="0" applyFont="1" applyFill="1" applyBorder="1" applyAlignment="1">
      <alignment horizontal="left"/>
    </xf>
    <xf numFmtId="37" fontId="7" fillId="7" borderId="13" xfId="0" applyFont="1" applyFill="1" applyBorder="1" applyAlignment="1">
      <alignment horizontal="centerContinuous" vertical="center"/>
    </xf>
    <xf numFmtId="37" fontId="7" fillId="7" borderId="18" xfId="0" applyFont="1" applyFill="1" applyBorder="1" applyAlignment="1">
      <alignment horizontal="centerContinuous" vertical="center"/>
    </xf>
    <xf numFmtId="37" fontId="4" fillId="0" borderId="7" xfId="0" applyFont="1" applyFill="1" applyBorder="1" applyAlignment="1">
      <alignment horizontal="centerContinuous" vertical="center"/>
    </xf>
    <xf numFmtId="37" fontId="4" fillId="0" borderId="7" xfId="0" applyFont="1" applyFill="1" applyBorder="1" applyAlignment="1">
      <alignment vertical="center"/>
    </xf>
    <xf numFmtId="37" fontId="4" fillId="0" borderId="25" xfId="0" applyFont="1" applyFill="1" applyBorder="1" applyAlignment="1">
      <alignment horizontal="centerContinuous"/>
    </xf>
    <xf numFmtId="37" fontId="4" fillId="0" borderId="25" xfId="0" applyFont="1" applyFill="1" applyBorder="1" applyAlignment="1"/>
    <xf numFmtId="37" fontId="4" fillId="0" borderId="25" xfId="0" applyFont="1" applyFill="1" applyBorder="1" applyAlignment="1">
      <alignment horizontal="center"/>
    </xf>
    <xf numFmtId="37" fontId="4" fillId="0" borderId="8" xfId="0" applyFont="1" applyFill="1" applyBorder="1" applyAlignment="1">
      <alignment horizontal="centerContinuous"/>
    </xf>
    <xf numFmtId="37" fontId="4" fillId="7" borderId="13" xfId="0" applyFont="1" applyFill="1" applyBorder="1" applyAlignment="1">
      <alignment horizontal="centerContinuous" vertical="center"/>
    </xf>
    <xf numFmtId="37" fontId="7" fillId="3" borderId="13" xfId="0" quotePrefix="1" applyFont="1" applyFill="1" applyBorder="1" applyAlignment="1">
      <alignment horizontal="right" vertical="center"/>
    </xf>
    <xf numFmtId="0" fontId="4" fillId="7" borderId="14" xfId="0" applyNumberFormat="1" applyFont="1" applyFill="1" applyBorder="1" applyAlignment="1"/>
    <xf numFmtId="0" fontId="4" fillId="7" borderId="2" xfId="0" applyNumberFormat="1" applyFont="1" applyFill="1" applyBorder="1" applyAlignment="1"/>
    <xf numFmtId="0" fontId="4" fillId="7" borderId="5" xfId="0" applyNumberFormat="1" applyFont="1" applyFill="1" applyBorder="1" applyAlignment="1"/>
    <xf numFmtId="0" fontId="4" fillId="0" borderId="3" xfId="0" applyNumberFormat="1" applyFont="1" applyBorder="1" applyAlignment="1">
      <alignment horizontal="centerContinuous" vertical="center"/>
    </xf>
    <xf numFmtId="0" fontId="4" fillId="0" borderId="3" xfId="0" applyNumberFormat="1" applyFont="1" applyBorder="1" applyAlignment="1" applyProtection="1">
      <alignment horizontal="centerContinuous" vertical="center"/>
    </xf>
    <xf numFmtId="0" fontId="21" fillId="0" borderId="0" xfId="11" applyFont="1" applyAlignment="1">
      <alignment horizontal="centerContinuous"/>
    </xf>
    <xf numFmtId="0" fontId="22" fillId="0" borderId="0" xfId="11" applyFont="1" applyAlignment="1">
      <alignment horizontal="centerContinuous"/>
    </xf>
    <xf numFmtId="178" fontId="22" fillId="0" borderId="0" xfId="4" applyNumberFormat="1" applyFont="1" applyAlignment="1">
      <alignment horizontal="centerContinuous"/>
    </xf>
    <xf numFmtId="0" fontId="3" fillId="0" borderId="0" xfId="11" applyFont="1"/>
    <xf numFmtId="178" fontId="23" fillId="0" borderId="0" xfId="4" applyNumberFormat="1" applyFont="1" applyAlignment="1">
      <alignment horizontal="centerContinuous"/>
    </xf>
    <xf numFmtId="0" fontId="23" fillId="0" borderId="0" xfId="11" applyFont="1" applyAlignment="1">
      <alignment horizontal="centerContinuous"/>
    </xf>
    <xf numFmtId="0" fontId="23" fillId="0" borderId="0" xfId="11" applyFont="1"/>
    <xf numFmtId="178" fontId="24" fillId="0" borderId="0" xfId="4" applyNumberFormat="1" applyFont="1" applyAlignment="1">
      <alignment horizontal="centerContinuous"/>
    </xf>
    <xf numFmtId="0" fontId="15" fillId="0" borderId="0" xfId="11" applyFont="1" applyAlignment="1">
      <alignment horizontal="centerContinuous"/>
    </xf>
    <xf numFmtId="3" fontId="25" fillId="0" borderId="0" xfId="11" applyNumberFormat="1" applyFont="1"/>
    <xf numFmtId="180" fontId="3" fillId="0" borderId="0" xfId="12" applyNumberFormat="1" applyFont="1"/>
    <xf numFmtId="178" fontId="15" fillId="0" borderId="0" xfId="4" applyNumberFormat="1" applyFont="1" applyAlignment="1">
      <alignment horizontal="centerContinuous"/>
    </xf>
    <xf numFmtId="3" fontId="3" fillId="0" borderId="0" xfId="11" quotePrefix="1" applyNumberFormat="1" applyFont="1" applyAlignment="1">
      <alignment horizontal="left"/>
    </xf>
    <xf numFmtId="167" fontId="3" fillId="0" borderId="0" xfId="12" applyNumberFormat="1" applyFont="1"/>
    <xf numFmtId="178" fontId="15" fillId="0" borderId="0" xfId="4" applyNumberFormat="1" applyFont="1" applyAlignment="1">
      <alignment horizontal="right"/>
    </xf>
    <xf numFmtId="0" fontId="15" fillId="0" borderId="0" xfId="11" applyFont="1" applyAlignment="1">
      <alignment horizontal="right"/>
    </xf>
    <xf numFmtId="0" fontId="3" fillId="0" borderId="0" xfId="11" quotePrefix="1" applyFont="1" applyAlignment="1">
      <alignment horizontal="left"/>
    </xf>
    <xf numFmtId="3" fontId="3" fillId="0" borderId="0" xfId="11" applyNumberFormat="1" applyFont="1"/>
    <xf numFmtId="178" fontId="15" fillId="0" borderId="0" xfId="4" applyNumberFormat="1" applyFont="1"/>
    <xf numFmtId="178" fontId="15" fillId="0" borderId="0" xfId="4" applyNumberFormat="1" applyFont="1" applyAlignment="1">
      <alignment horizontal="center"/>
    </xf>
    <xf numFmtId="0" fontId="15" fillId="0" borderId="0" xfId="11" applyFont="1"/>
    <xf numFmtId="0" fontId="3" fillId="0" borderId="0" xfId="11" applyFont="1" applyAlignment="1">
      <alignment horizontal="left"/>
    </xf>
    <xf numFmtId="179" fontId="15" fillId="0" borderId="0" xfId="6" applyNumberFormat="1" applyFont="1"/>
    <xf numFmtId="167" fontId="15" fillId="0" borderId="0" xfId="12" applyNumberFormat="1" applyFont="1"/>
    <xf numFmtId="37" fontId="3" fillId="0" borderId="0" xfId="11" applyNumberFormat="1" applyFont="1"/>
    <xf numFmtId="0" fontId="17" fillId="0" borderId="0" xfId="11" applyFont="1"/>
    <xf numFmtId="167" fontId="3" fillId="0" borderId="0" xfId="11" applyNumberFormat="1" applyFont="1"/>
    <xf numFmtId="49" fontId="8" fillId="0" borderId="0" xfId="11" applyNumberFormat="1" applyFont="1" applyAlignment="1">
      <alignment horizontal="right"/>
    </xf>
    <xf numFmtId="0" fontId="23" fillId="0" borderId="11" xfId="11" applyFont="1" applyBorder="1"/>
    <xf numFmtId="178" fontId="23" fillId="0" borderId="11" xfId="4" applyNumberFormat="1" applyFont="1" applyBorder="1"/>
    <xf numFmtId="178" fontId="23" fillId="0" borderId="0" xfId="4" applyNumberFormat="1" applyFont="1"/>
    <xf numFmtId="0" fontId="27" fillId="0" borderId="0" xfId="11" applyFont="1"/>
    <xf numFmtId="0" fontId="19" fillId="0" borderId="0" xfId="11"/>
    <xf numFmtId="178" fontId="3" fillId="0" borderId="0" xfId="4" applyNumberFormat="1" applyFont="1"/>
    <xf numFmtId="37" fontId="7" fillId="0" borderId="25" xfId="0" quotePrefix="1" applyNumberFormat="1" applyFont="1" applyBorder="1" applyAlignment="1" applyProtection="1">
      <alignment horizontal="left"/>
    </xf>
    <xf numFmtId="37" fontId="4" fillId="3" borderId="17" xfId="0" quotePrefix="1" applyFont="1" applyFill="1" applyBorder="1" applyAlignment="1">
      <alignment horizontal="left"/>
    </xf>
    <xf numFmtId="49" fontId="4" fillId="0" borderId="24" xfId="0" quotePrefix="1" applyNumberFormat="1" applyFont="1" applyBorder="1" applyAlignment="1">
      <alignment horizontal="center" vertical="center"/>
    </xf>
    <xf numFmtId="37" fontId="4" fillId="0" borderId="6" xfId="0" quotePrefix="1" applyFont="1" applyBorder="1" applyAlignment="1">
      <alignment horizontal="center"/>
    </xf>
    <xf numFmtId="37" fontId="4" fillId="0" borderId="10" xfId="0" quotePrefix="1" applyFont="1" applyBorder="1" applyAlignment="1">
      <alignment horizontal="center"/>
    </xf>
    <xf numFmtId="37" fontId="4" fillId="11" borderId="14" xfId="0" applyFont="1" applyFill="1" applyBorder="1" applyAlignment="1">
      <alignment horizontal="centerContinuous"/>
    </xf>
    <xf numFmtId="37" fontId="4" fillId="11" borderId="2" xfId="0" applyFont="1" applyFill="1" applyBorder="1" applyAlignment="1">
      <alignment horizontal="centerContinuous"/>
    </xf>
    <xf numFmtId="37" fontId="4" fillId="11" borderId="5" xfId="0" applyFont="1" applyFill="1" applyBorder="1" applyAlignment="1">
      <alignment horizontal="centerContinuous"/>
    </xf>
    <xf numFmtId="37" fontId="4" fillId="11" borderId="20" xfId="0" applyFont="1" applyFill="1" applyBorder="1" applyAlignment="1">
      <alignment horizontal="centerContinuous"/>
    </xf>
    <xf numFmtId="37" fontId="4" fillId="11" borderId="3" xfId="0" applyFont="1" applyFill="1" applyBorder="1" applyAlignment="1">
      <alignment horizontal="centerContinuous"/>
    </xf>
    <xf numFmtId="37" fontId="4" fillId="11" borderId="10" xfId="0" applyFont="1" applyFill="1" applyBorder="1" applyAlignment="1">
      <alignment horizontal="centerContinuous"/>
    </xf>
    <xf numFmtId="37" fontId="7" fillId="3" borderId="2" xfId="0" quotePrefix="1" applyFont="1" applyFill="1" applyBorder="1" applyAlignment="1">
      <alignment horizontal="right" vertical="center"/>
    </xf>
    <xf numFmtId="37" fontId="4" fillId="11" borderId="4" xfId="0" applyNumberFormat="1" applyFont="1" applyFill="1" applyBorder="1" applyAlignment="1" applyProtection="1">
      <alignment horizontal="center"/>
    </xf>
    <xf numFmtId="37" fontId="4" fillId="11" borderId="1" xfId="0" applyNumberFormat="1" applyFont="1" applyFill="1" applyBorder="1" applyAlignment="1" applyProtection="1">
      <alignment horizontal="center"/>
    </xf>
    <xf numFmtId="37" fontId="4" fillId="11" borderId="9" xfId="0" applyNumberFormat="1" applyFont="1" applyFill="1" applyBorder="1" applyAlignment="1" applyProtection="1">
      <alignment horizontal="centerContinuous"/>
    </xf>
    <xf numFmtId="49" fontId="4" fillId="11" borderId="19" xfId="2" applyNumberFormat="1" applyFont="1" applyFill="1" applyBorder="1" applyAlignment="1">
      <alignment vertical="center"/>
    </xf>
    <xf numFmtId="171" fontId="4" fillId="11" borderId="19" xfId="0" applyNumberFormat="1" applyFont="1" applyFill="1" applyBorder="1" applyAlignment="1">
      <alignment vertical="center"/>
    </xf>
    <xf numFmtId="0" fontId="4" fillId="0" borderId="3" xfId="0" applyNumberFormat="1" applyFont="1" applyBorder="1" applyAlignment="1">
      <alignment vertical="center"/>
    </xf>
    <xf numFmtId="166" fontId="7" fillId="0" borderId="2" xfId="0" applyNumberFormat="1" applyFont="1" applyBorder="1" applyAlignment="1" applyProtection="1">
      <alignment horizontal="left"/>
    </xf>
    <xf numFmtId="167" fontId="7" fillId="7" borderId="1" xfId="12" applyNumberFormat="1" applyFont="1" applyFill="1" applyBorder="1"/>
    <xf numFmtId="167" fontId="4" fillId="7" borderId="19" xfId="12" applyNumberFormat="1" applyFont="1" applyFill="1" applyBorder="1"/>
    <xf numFmtId="37" fontId="4" fillId="0" borderId="8" xfId="0" quotePrefix="1" applyFont="1" applyBorder="1" applyAlignment="1">
      <alignment horizontal="center"/>
    </xf>
    <xf numFmtId="37" fontId="4" fillId="6" borderId="25" xfId="0" quotePrefix="1" applyFont="1" applyFill="1" applyBorder="1" applyAlignment="1">
      <alignment horizontal="center"/>
    </xf>
    <xf numFmtId="37" fontId="4" fillId="3" borderId="10" xfId="0" quotePrefix="1" applyFont="1" applyFill="1" applyBorder="1" applyAlignment="1">
      <alignment horizontal="center" vertical="top"/>
    </xf>
    <xf numFmtId="37" fontId="4" fillId="3" borderId="6" xfId="0" quotePrefix="1" applyFont="1" applyFill="1" applyBorder="1" applyAlignment="1">
      <alignment horizontal="center"/>
    </xf>
    <xf numFmtId="37" fontId="4" fillId="0" borderId="10" xfId="0" quotePrefix="1" applyFont="1" applyBorder="1" applyAlignment="1">
      <alignment horizontal="right" vertical="center"/>
    </xf>
    <xf numFmtId="37" fontId="4" fillId="0" borderId="37" xfId="0" applyFont="1" applyBorder="1"/>
    <xf numFmtId="37" fontId="4" fillId="0" borderId="39" xfId="0" applyFont="1" applyBorder="1"/>
    <xf numFmtId="37" fontId="4" fillId="3" borderId="14" xfId="0" applyFont="1" applyFill="1" applyBorder="1" applyAlignment="1">
      <alignment horizontal="left"/>
    </xf>
    <xf numFmtId="37" fontId="4" fillId="7" borderId="7" xfId="0" applyFont="1" applyFill="1" applyBorder="1" applyAlignment="1">
      <alignment horizontal="center"/>
    </xf>
    <xf numFmtId="37" fontId="4" fillId="7" borderId="25" xfId="0" applyFont="1" applyFill="1" applyBorder="1" applyAlignment="1">
      <alignment horizontal="center"/>
    </xf>
    <xf numFmtId="37" fontId="4" fillId="7" borderId="8" xfId="0" applyFont="1" applyFill="1" applyBorder="1" applyAlignment="1">
      <alignment horizontal="center"/>
    </xf>
    <xf numFmtId="37" fontId="4" fillId="10" borderId="1" xfId="0" applyFont="1" applyFill="1" applyBorder="1" applyAlignment="1">
      <alignment horizontal="center"/>
    </xf>
    <xf numFmtId="37" fontId="4" fillId="10" borderId="9" xfId="0" quotePrefix="1" applyFont="1" applyFill="1" applyBorder="1" applyAlignment="1">
      <alignment horizontal="center"/>
    </xf>
    <xf numFmtId="37" fontId="4" fillId="3" borderId="34" xfId="0" applyFont="1" applyFill="1" applyBorder="1" applyAlignment="1">
      <alignment horizontal="left"/>
    </xf>
    <xf numFmtId="37" fontId="4" fillId="7" borderId="5" xfId="0" applyFont="1" applyFill="1" applyBorder="1"/>
    <xf numFmtId="37" fontId="4" fillId="7" borderId="6" xfId="0" applyFont="1" applyFill="1" applyBorder="1"/>
    <xf numFmtId="37" fontId="4" fillId="7" borderId="4" xfId="0" applyFont="1" applyFill="1" applyBorder="1" applyAlignment="1" applyProtection="1">
      <alignment horizontal="center"/>
    </xf>
    <xf numFmtId="37" fontId="4" fillId="7" borderId="9" xfId="0" applyFont="1" applyFill="1" applyBorder="1" applyAlignment="1" applyProtection="1">
      <alignment horizontal="center"/>
    </xf>
    <xf numFmtId="179" fontId="15" fillId="0" borderId="0" xfId="5" applyNumberFormat="1" applyFont="1"/>
    <xf numFmtId="178" fontId="15" fillId="0" borderId="0" xfId="2" applyNumberFormat="1" applyFont="1" applyAlignment="1">
      <alignment horizontal="center"/>
    </xf>
    <xf numFmtId="178" fontId="15" fillId="0" borderId="0" xfId="2" applyNumberFormat="1" applyFont="1"/>
    <xf numFmtId="0" fontId="15" fillId="0" borderId="0" xfId="11" quotePrefix="1" applyFont="1" applyAlignment="1">
      <alignment horizontal="left"/>
    </xf>
    <xf numFmtId="49" fontId="7" fillId="0" borderId="0" xfId="0" quotePrefix="1" applyNumberFormat="1" applyFont="1" applyAlignment="1">
      <alignment horizontal="left"/>
    </xf>
    <xf numFmtId="37" fontId="7" fillId="0" borderId="0" xfId="0" quotePrefix="1" applyFont="1" applyAlignment="1">
      <alignment horizontal="right"/>
    </xf>
    <xf numFmtId="37" fontId="7" fillId="0" borderId="0" xfId="0" applyNumberFormat="1" applyFont="1" applyAlignment="1" applyProtection="1">
      <alignment horizontal="right"/>
    </xf>
    <xf numFmtId="37" fontId="4" fillId="10" borderId="9" xfId="0" applyFont="1" applyFill="1" applyBorder="1" applyAlignment="1">
      <alignment horizontal="center"/>
    </xf>
    <xf numFmtId="37" fontId="4" fillId="10" borderId="6" xfId="0" applyFont="1" applyFill="1" applyBorder="1" applyAlignment="1">
      <alignment horizontal="center"/>
    </xf>
    <xf numFmtId="37" fontId="4" fillId="8" borderId="43" xfId="0" applyFont="1" applyFill="1" applyBorder="1" applyAlignment="1">
      <alignment horizontal="center"/>
    </xf>
    <xf numFmtId="37" fontId="4" fillId="10" borderId="23" xfId="0" applyFont="1" applyFill="1" applyBorder="1" applyAlignment="1">
      <alignment horizontal="center"/>
    </xf>
    <xf numFmtId="37" fontId="4" fillId="10" borderId="44" xfId="0" quotePrefix="1" applyFont="1" applyFill="1" applyBorder="1" applyAlignment="1">
      <alignment horizontal="center"/>
    </xf>
    <xf numFmtId="171" fontId="7" fillId="7" borderId="6" xfId="0" applyNumberFormat="1" applyFont="1" applyFill="1" applyBorder="1" applyAlignment="1">
      <alignment vertical="center"/>
    </xf>
    <xf numFmtId="171" fontId="7" fillId="0" borderId="6" xfId="0" applyNumberFormat="1" applyFont="1" applyBorder="1" applyAlignment="1">
      <alignment vertical="center"/>
    </xf>
    <xf numFmtId="171" fontId="7" fillId="7" borderId="23" xfId="0" applyNumberFormat="1" applyFont="1" applyFill="1" applyBorder="1" applyAlignment="1">
      <alignment vertical="center"/>
    </xf>
    <xf numFmtId="171" fontId="7" fillId="0" borderId="23" xfId="0" applyNumberFormat="1" applyFont="1" applyBorder="1" applyAlignment="1">
      <alignment vertical="center"/>
    </xf>
    <xf numFmtId="171" fontId="4" fillId="7" borderId="18" xfId="0" applyNumberFormat="1" applyFont="1" applyFill="1" applyBorder="1" applyAlignment="1">
      <alignment vertical="center"/>
    </xf>
    <xf numFmtId="171" fontId="4" fillId="7" borderId="35" xfId="0" applyNumberFormat="1" applyFont="1" applyFill="1" applyBorder="1" applyAlignment="1">
      <alignment vertical="center"/>
    </xf>
    <xf numFmtId="37" fontId="4" fillId="7" borderId="7" xfId="0" applyFont="1" applyFill="1" applyBorder="1" applyAlignment="1">
      <alignment vertical="center"/>
    </xf>
    <xf numFmtId="37" fontId="4" fillId="7" borderId="25" xfId="0" applyFont="1" applyFill="1" applyBorder="1" applyAlignment="1">
      <alignment vertical="center"/>
    </xf>
    <xf numFmtId="37" fontId="4" fillId="7" borderId="8" xfId="0" applyFont="1" applyFill="1" applyBorder="1" applyAlignment="1">
      <alignment horizontal="centerContinuous"/>
    </xf>
    <xf numFmtId="37" fontId="4" fillId="7" borderId="7" xfId="0" applyFont="1" applyFill="1" applyBorder="1" applyAlignment="1">
      <alignment horizontal="centerContinuous"/>
    </xf>
    <xf numFmtId="169" fontId="4" fillId="0" borderId="25" xfId="12" applyNumberFormat="1" applyFont="1" applyFill="1" applyBorder="1"/>
    <xf numFmtId="37" fontId="3" fillId="0" borderId="0" xfId="0" applyFont="1"/>
    <xf numFmtId="49" fontId="13" fillId="0" borderId="0" xfId="0" applyNumberFormat="1" applyFont="1"/>
    <xf numFmtId="49" fontId="8" fillId="0" borderId="0" xfId="0" quotePrefix="1" applyNumberFormat="1" applyFont="1" applyAlignment="1">
      <alignment horizontal="right"/>
    </xf>
    <xf numFmtId="37" fontId="4" fillId="10" borderId="10" xfId="0" quotePrefix="1" applyFont="1" applyFill="1" applyBorder="1" applyAlignment="1">
      <alignment horizontal="center"/>
    </xf>
    <xf numFmtId="178" fontId="15" fillId="0" borderId="0" xfId="4" quotePrefix="1" applyNumberFormat="1" applyFont="1" applyAlignment="1">
      <alignment horizontal="right"/>
    </xf>
    <xf numFmtId="37" fontId="4" fillId="0" borderId="28" xfId="0" applyNumberFormat="1" applyFont="1" applyBorder="1" applyProtection="1"/>
    <xf numFmtId="0" fontId="4" fillId="7" borderId="8" xfId="8" quotePrefix="1" applyFont="1" applyFill="1" applyBorder="1" applyAlignment="1">
      <alignment horizontal="center"/>
    </xf>
    <xf numFmtId="0" fontId="4" fillId="10" borderId="1" xfId="8" applyFont="1" applyFill="1" applyBorder="1" applyAlignment="1">
      <alignment horizontal="center"/>
    </xf>
    <xf numFmtId="0" fontId="4" fillId="10" borderId="9" xfId="8" quotePrefix="1" applyFont="1" applyFill="1" applyBorder="1" applyAlignment="1">
      <alignment horizontal="center"/>
    </xf>
    <xf numFmtId="0" fontId="4" fillId="10" borderId="9" xfId="8" applyFont="1" applyFill="1" applyBorder="1" applyAlignment="1">
      <alignment horizontal="center"/>
    </xf>
    <xf numFmtId="37" fontId="4" fillId="8" borderId="4" xfId="0" applyFont="1" applyFill="1" applyBorder="1" applyAlignment="1">
      <alignment horizontal="center"/>
    </xf>
    <xf numFmtId="37" fontId="0" fillId="0" borderId="11" xfId="0" applyBorder="1"/>
    <xf numFmtId="0" fontId="7" fillId="0" borderId="0" xfId="8" quotePrefix="1" applyFont="1" applyAlignment="1">
      <alignment horizontal="left"/>
    </xf>
    <xf numFmtId="49" fontId="7" fillId="0" borderId="0" xfId="8" quotePrefix="1" applyNumberFormat="1" applyFont="1" applyAlignment="1">
      <alignment horizontal="left"/>
    </xf>
    <xf numFmtId="37" fontId="7" fillId="3" borderId="26" xfId="0" applyFont="1" applyFill="1" applyBorder="1" applyAlignment="1">
      <alignment horizontal="centerContinuous"/>
    </xf>
    <xf numFmtId="37" fontId="7" fillId="3" borderId="29" xfId="0" applyFont="1" applyFill="1" applyBorder="1" applyAlignment="1">
      <alignment horizontal="centerContinuous"/>
    </xf>
    <xf numFmtId="37" fontId="4" fillId="7" borderId="7" xfId="0" applyFont="1" applyFill="1" applyBorder="1" applyAlignment="1">
      <alignment horizontal="center" vertical="center"/>
    </xf>
    <xf numFmtId="37" fontId="4" fillId="7" borderId="25" xfId="0" applyFont="1" applyFill="1" applyBorder="1" applyAlignment="1">
      <alignment horizontal="center" vertical="center"/>
    </xf>
    <xf numFmtId="37" fontId="4" fillId="7" borderId="8" xfId="0" quotePrefix="1" applyFont="1" applyFill="1" applyBorder="1" applyAlignment="1">
      <alignment horizontal="center"/>
    </xf>
    <xf numFmtId="37" fontId="4" fillId="3" borderId="24" xfId="0" applyFont="1" applyFill="1" applyBorder="1" applyAlignment="1">
      <alignment horizontal="centerContinuous"/>
    </xf>
    <xf numFmtId="37" fontId="0" fillId="0" borderId="0" xfId="0" applyBorder="1"/>
    <xf numFmtId="37" fontId="4" fillId="3" borderId="11" xfId="0" applyFont="1" applyFill="1" applyBorder="1" applyAlignment="1">
      <alignment horizontal="left"/>
    </xf>
    <xf numFmtId="37" fontId="7" fillId="3" borderId="11" xfId="0" applyFont="1" applyFill="1" applyBorder="1"/>
    <xf numFmtId="49" fontId="28" fillId="0" borderId="0" xfId="7" applyNumberFormat="1" applyFont="1" applyAlignment="1" applyProtection="1">
      <alignment horizontal="left" indent="2"/>
    </xf>
    <xf numFmtId="43" fontId="0" fillId="0" borderId="0" xfId="2" applyFont="1"/>
    <xf numFmtId="37" fontId="4" fillId="0" borderId="10" xfId="0" applyFont="1" applyFill="1" applyBorder="1" applyAlignment="1">
      <alignment horizontal="centerContinuous"/>
    </xf>
    <xf numFmtId="39" fontId="7" fillId="0" borderId="0" xfId="0" applyNumberFormat="1" applyFont="1"/>
    <xf numFmtId="37" fontId="4" fillId="0" borderId="8" xfId="0" applyFont="1" applyFill="1" applyBorder="1" applyAlignment="1">
      <alignment horizontal="center"/>
    </xf>
    <xf numFmtId="37" fontId="7" fillId="0" borderId="13" xfId="0" applyFont="1" applyFill="1" applyBorder="1" applyAlignment="1">
      <alignment horizontal="center"/>
    </xf>
    <xf numFmtId="37" fontId="4" fillId="7" borderId="45" xfId="0" applyFont="1" applyFill="1" applyBorder="1" applyAlignment="1">
      <alignment horizontal="centerContinuous"/>
    </xf>
    <xf numFmtId="37" fontId="4" fillId="0" borderId="12" xfId="0" quotePrefix="1" applyFont="1" applyBorder="1" applyAlignment="1">
      <alignment horizontal="center" vertical="center"/>
    </xf>
    <xf numFmtId="37" fontId="4" fillId="0" borderId="2" xfId="0" applyFont="1" applyBorder="1" applyAlignment="1">
      <alignment horizontal="left" vertical="center"/>
    </xf>
    <xf numFmtId="37" fontId="4" fillId="0" borderId="3" xfId="0" quotePrefix="1" applyFont="1" applyBorder="1" applyAlignment="1">
      <alignment horizontal="right" vertical="center"/>
    </xf>
    <xf numFmtId="37" fontId="30" fillId="0" borderId="7" xfId="0" applyFont="1" applyFill="1" applyBorder="1" applyAlignment="1">
      <alignment horizontal="centerContinuous" vertical="center"/>
    </xf>
    <xf numFmtId="37" fontId="12" fillId="0" borderId="12" xfId="0" quotePrefix="1" applyFont="1" applyBorder="1" applyAlignment="1">
      <alignment horizontal="left" vertical="center"/>
    </xf>
    <xf numFmtId="0" fontId="7" fillId="0" borderId="0" xfId="2" quotePrefix="1" applyNumberFormat="1" applyFont="1" applyAlignment="1">
      <alignment horizontal="left"/>
    </xf>
    <xf numFmtId="37" fontId="4" fillId="7" borderId="37" xfId="0" applyFont="1" applyFill="1" applyBorder="1" applyAlignment="1">
      <alignment horizontal="center"/>
    </xf>
    <xf numFmtId="37" fontId="3" fillId="0" borderId="0" xfId="0" applyFont="1" applyAlignment="1">
      <alignment horizontal="left"/>
    </xf>
    <xf numFmtId="49" fontId="4" fillId="0" borderId="24" xfId="0" quotePrefix="1" applyNumberFormat="1" applyFont="1" applyFill="1" applyBorder="1" applyAlignment="1">
      <alignment horizontal="center" vertical="center"/>
    </xf>
    <xf numFmtId="166" fontId="7" fillId="0" borderId="0" xfId="9" applyNumberFormat="1" applyFont="1" applyProtection="1"/>
    <xf numFmtId="0" fontId="7" fillId="3" borderId="0" xfId="9" applyFont="1" applyFill="1"/>
    <xf numFmtId="0" fontId="7" fillId="0" borderId="0" xfId="9" applyFont="1"/>
    <xf numFmtId="0" fontId="4" fillId="0" borderId="2" xfId="9" applyFont="1" applyFill="1" applyBorder="1" applyAlignment="1">
      <alignment horizontal="centerContinuous"/>
    </xf>
    <xf numFmtId="0" fontId="7" fillId="3" borderId="2" xfId="9" applyFont="1" applyFill="1" applyBorder="1" applyAlignment="1">
      <alignment horizontal="centerContinuous"/>
    </xf>
    <xf numFmtId="37" fontId="4" fillId="3" borderId="3" xfId="9" quotePrefix="1" applyNumberFormat="1" applyFont="1" applyFill="1" applyBorder="1" applyAlignment="1" applyProtection="1">
      <alignment horizontal="centerContinuous" vertical="center"/>
    </xf>
    <xf numFmtId="0" fontId="7" fillId="3" borderId="3" xfId="9" applyFont="1" applyFill="1" applyBorder="1" applyAlignment="1">
      <alignment horizontal="centerContinuous"/>
    </xf>
    <xf numFmtId="0" fontId="4" fillId="0" borderId="7" xfId="9" applyFont="1" applyBorder="1"/>
    <xf numFmtId="0" fontId="4" fillId="0" borderId="8" xfId="9" applyFont="1" applyBorder="1"/>
    <xf numFmtId="49" fontId="4" fillId="5" borderId="19" xfId="9" applyNumberFormat="1" applyFont="1" applyFill="1" applyBorder="1" applyAlignment="1">
      <alignment horizontal="center"/>
    </xf>
    <xf numFmtId="0" fontId="4" fillId="0" borderId="0" xfId="9" applyFont="1"/>
    <xf numFmtId="166" fontId="10" fillId="0" borderId="0" xfId="9" applyNumberFormat="1" applyFont="1" applyProtection="1">
      <protection locked="0"/>
    </xf>
    <xf numFmtId="171" fontId="7" fillId="0" borderId="0" xfId="9" applyNumberFormat="1" applyFont="1"/>
    <xf numFmtId="49" fontId="7" fillId="0" borderId="1" xfId="9" applyNumberFormat="1" applyFont="1" applyBorder="1" applyAlignment="1">
      <alignment vertical="center"/>
    </xf>
    <xf numFmtId="171" fontId="7" fillId="0" borderId="1" xfId="9" applyNumberFormat="1" applyFont="1" applyBorder="1" applyAlignment="1">
      <alignment vertical="center"/>
    </xf>
    <xf numFmtId="175" fontId="7" fillId="0" borderId="1" xfId="9" applyNumberFormat="1" applyFont="1" applyBorder="1" applyAlignment="1">
      <alignment vertical="center"/>
    </xf>
    <xf numFmtId="0" fontId="7" fillId="0" borderId="11" xfId="9" applyFont="1" applyBorder="1"/>
    <xf numFmtId="171" fontId="7" fillId="0" borderId="11" xfId="9" applyNumberFormat="1" applyFont="1" applyBorder="1"/>
    <xf numFmtId="0" fontId="7" fillId="0" borderId="0" xfId="9" applyFont="1" applyAlignment="1"/>
    <xf numFmtId="0" fontId="8" fillId="0" borderId="0" xfId="9" applyFont="1" applyAlignment="1"/>
    <xf numFmtId="0" fontId="4" fillId="9" borderId="14" xfId="9" applyFont="1" applyFill="1" applyBorder="1" applyAlignment="1">
      <alignment horizontal="centerContinuous"/>
    </xf>
    <xf numFmtId="0" fontId="4" fillId="9" borderId="2" xfId="9" applyFont="1" applyFill="1" applyBorder="1" applyAlignment="1">
      <alignment horizontal="centerContinuous"/>
    </xf>
    <xf numFmtId="0" fontId="4" fillId="9" borderId="5" xfId="9" applyFont="1" applyFill="1" applyBorder="1" applyAlignment="1">
      <alignment horizontal="centerContinuous"/>
    </xf>
    <xf numFmtId="0" fontId="4" fillId="9" borderId="16" xfId="9" applyFont="1" applyFill="1" applyBorder="1" applyAlignment="1">
      <alignment horizontal="centerContinuous"/>
    </xf>
    <xf numFmtId="0" fontId="4" fillId="9" borderId="0" xfId="9" applyFont="1" applyFill="1" applyBorder="1" applyAlignment="1">
      <alignment horizontal="centerContinuous"/>
    </xf>
    <xf numFmtId="0" fontId="4" fillId="9" borderId="6" xfId="9" applyFont="1" applyFill="1" applyBorder="1" applyAlignment="1">
      <alignment horizontal="centerContinuous"/>
    </xf>
    <xf numFmtId="0" fontId="4" fillId="9" borderId="20" xfId="9" applyFont="1" applyFill="1" applyBorder="1" applyAlignment="1">
      <alignment horizontal="centerContinuous"/>
    </xf>
    <xf numFmtId="0" fontId="4" fillId="9" borderId="3" xfId="9" applyFont="1" applyFill="1" applyBorder="1" applyAlignment="1">
      <alignment horizontal="centerContinuous"/>
    </xf>
    <xf numFmtId="0" fontId="4" fillId="9" borderId="10" xfId="9" applyFont="1" applyFill="1" applyBorder="1" applyAlignment="1">
      <alignment horizontal="centerContinuous"/>
    </xf>
    <xf numFmtId="49" fontId="7" fillId="11" borderId="1" xfId="9" applyNumberFormat="1" applyFont="1" applyFill="1" applyBorder="1" applyAlignment="1">
      <alignment vertical="center"/>
    </xf>
    <xf numFmtId="171" fontId="7" fillId="11" borderId="1" xfId="9" applyNumberFormat="1" applyFont="1" applyFill="1" applyBorder="1" applyAlignment="1">
      <alignment vertical="center"/>
    </xf>
    <xf numFmtId="175" fontId="7" fillId="11" borderId="1" xfId="9" applyNumberFormat="1" applyFont="1" applyFill="1" applyBorder="1" applyAlignment="1">
      <alignment vertical="center"/>
    </xf>
    <xf numFmtId="49" fontId="4" fillId="11" borderId="19" xfId="3" applyNumberFormat="1" applyFont="1" applyFill="1" applyBorder="1" applyAlignment="1">
      <alignment vertical="center"/>
    </xf>
    <xf numFmtId="171" fontId="4" fillId="11" borderId="24" xfId="9" applyNumberFormat="1" applyFont="1" applyFill="1" applyBorder="1"/>
    <xf numFmtId="175" fontId="4" fillId="11" borderId="24" xfId="9" applyNumberFormat="1" applyFont="1" applyFill="1" applyBorder="1"/>
    <xf numFmtId="0" fontId="4" fillId="5" borderId="19" xfId="9" applyNumberFormat="1" applyFont="1" applyFill="1" applyBorder="1" applyAlignment="1">
      <alignment horizontal="center"/>
    </xf>
    <xf numFmtId="39" fontId="3" fillId="0" borderId="0" xfId="10" applyFont="1"/>
    <xf numFmtId="39" fontId="3" fillId="0" borderId="0" xfId="10" applyFont="1" applyAlignment="1">
      <alignment horizontal="left"/>
    </xf>
    <xf numFmtId="39" fontId="3" fillId="0" borderId="3" xfId="10" applyFont="1" applyBorder="1"/>
    <xf numFmtId="176" fontId="3" fillId="0" borderId="3" xfId="10" applyNumberFormat="1" applyFont="1" applyBorder="1" applyProtection="1"/>
    <xf numFmtId="37" fontId="3" fillId="0" borderId="0" xfId="10" applyNumberFormat="1" applyFont="1"/>
    <xf numFmtId="37" fontId="4" fillId="3" borderId="13" xfId="0" applyFont="1" applyFill="1" applyBorder="1" applyAlignment="1">
      <alignment horizontal="left" vertical="center"/>
    </xf>
    <xf numFmtId="37" fontId="7" fillId="0" borderId="0" xfId="0" applyFont="1" applyFill="1"/>
    <xf numFmtId="49" fontId="7" fillId="0" borderId="11" xfId="0" applyNumberFormat="1" applyFont="1" applyBorder="1"/>
    <xf numFmtId="37" fontId="4" fillId="12" borderId="4" xfId="0" applyFont="1" applyFill="1" applyBorder="1" applyAlignment="1">
      <alignment horizontal="centerContinuous"/>
    </xf>
    <xf numFmtId="37" fontId="4" fillId="11" borderId="4" xfId="0" quotePrefix="1" applyFont="1" applyFill="1" applyBorder="1" applyAlignment="1">
      <alignment horizontal="center"/>
    </xf>
    <xf numFmtId="37" fontId="4" fillId="11" borderId="4" xfId="0" applyFont="1" applyFill="1" applyBorder="1" applyAlignment="1">
      <alignment horizontal="center"/>
    </xf>
    <xf numFmtId="37" fontId="4" fillId="12" borderId="6" xfId="0" applyFont="1" applyFill="1" applyBorder="1" applyAlignment="1">
      <alignment horizontal="centerContinuous"/>
    </xf>
    <xf numFmtId="37" fontId="4" fillId="11" borderId="1" xfId="0" applyFont="1" applyFill="1" applyBorder="1" applyAlignment="1">
      <alignment horizontal="centerContinuous"/>
    </xf>
    <xf numFmtId="37" fontId="4" fillId="12" borderId="10" xfId="0" applyFont="1" applyFill="1" applyBorder="1" applyAlignment="1">
      <alignment horizontal="centerContinuous"/>
    </xf>
    <xf numFmtId="37" fontId="4" fillId="11" borderId="9" xfId="0" applyFont="1" applyFill="1" applyBorder="1" applyAlignment="1">
      <alignment horizontal="centerContinuous"/>
    </xf>
    <xf numFmtId="37" fontId="4" fillId="3" borderId="34" xfId="0" quotePrefix="1" applyFont="1" applyFill="1" applyBorder="1" applyAlignment="1">
      <alignment horizontal="left"/>
    </xf>
    <xf numFmtId="0" fontId="7" fillId="13" borderId="0" xfId="0" applyNumberFormat="1" applyFont="1" applyFill="1" applyAlignment="1">
      <alignment horizontal="center"/>
    </xf>
    <xf numFmtId="0" fontId="4" fillId="5" borderId="19" xfId="0" applyNumberFormat="1" applyFont="1" applyFill="1" applyBorder="1" applyAlignment="1">
      <alignment horizontal="center"/>
    </xf>
    <xf numFmtId="0" fontId="4" fillId="5" borderId="19" xfId="0" quotePrefix="1" applyNumberFormat="1" applyFont="1" applyFill="1" applyBorder="1" applyAlignment="1">
      <alignment horizontal="center"/>
    </xf>
    <xf numFmtId="37" fontId="4" fillId="7" borderId="37" xfId="0" applyFont="1" applyFill="1" applyBorder="1" applyAlignment="1" applyProtection="1">
      <alignment horizontal="centerContinuous"/>
    </xf>
    <xf numFmtId="37" fontId="4" fillId="7" borderId="38" xfId="0" applyFont="1" applyFill="1" applyBorder="1" applyAlignment="1" applyProtection="1">
      <alignment horizontal="centerContinuous"/>
    </xf>
    <xf numFmtId="37" fontId="4" fillId="7" borderId="39" xfId="0" applyFont="1" applyFill="1" applyBorder="1" applyAlignment="1" applyProtection="1">
      <alignment horizontal="centerContinuous"/>
    </xf>
    <xf numFmtId="37" fontId="4" fillId="7" borderId="40" xfId="0" applyFont="1" applyFill="1" applyBorder="1" applyAlignment="1" applyProtection="1">
      <alignment horizontal="centerContinuous"/>
    </xf>
    <xf numFmtId="37" fontId="33" fillId="0" borderId="0" xfId="0" applyFont="1"/>
    <xf numFmtId="37" fontId="33" fillId="0" borderId="0" xfId="0" applyFont="1" applyAlignment="1">
      <alignment horizontal="right"/>
    </xf>
    <xf numFmtId="167" fontId="33" fillId="0" borderId="0" xfId="12" applyNumberFormat="1" applyFont="1"/>
    <xf numFmtId="37" fontId="33" fillId="0" borderId="0" xfId="0" quotePrefix="1" applyFont="1" applyAlignment="1">
      <alignment horizontal="left"/>
    </xf>
    <xf numFmtId="0" fontId="33" fillId="0" borderId="0" xfId="9" applyFont="1"/>
    <xf numFmtId="171" fontId="33" fillId="0" borderId="0" xfId="9" applyNumberFormat="1" applyFont="1"/>
    <xf numFmtId="177" fontId="33" fillId="0" borderId="0" xfId="9" applyNumberFormat="1" applyFont="1"/>
    <xf numFmtId="173" fontId="7" fillId="0" borderId="0" xfId="0" applyNumberFormat="1" applyFont="1"/>
    <xf numFmtId="49" fontId="7" fillId="0" borderId="0" xfId="0" quotePrefix="1" applyNumberFormat="1" applyFont="1" applyBorder="1" applyAlignment="1">
      <alignment horizontal="left"/>
    </xf>
    <xf numFmtId="0" fontId="7" fillId="0" borderId="0" xfId="8" quotePrefix="1" applyFont="1" applyBorder="1" applyAlignment="1">
      <alignment horizontal="left"/>
    </xf>
    <xf numFmtId="37" fontId="7" fillId="0" borderId="0" xfId="0" quotePrefix="1" applyFont="1"/>
    <xf numFmtId="37" fontId="31" fillId="0" borderId="11" xfId="0" applyFont="1" applyBorder="1"/>
    <xf numFmtId="37" fontId="4" fillId="7" borderId="46" xfId="0" applyFont="1" applyFill="1" applyBorder="1" applyAlignment="1">
      <alignment horizontal="centerContinuous"/>
    </xf>
    <xf numFmtId="37" fontId="4" fillId="9" borderId="9" xfId="0" applyFont="1" applyFill="1" applyBorder="1" applyAlignment="1">
      <alignment horizontal="center" wrapText="1"/>
    </xf>
    <xf numFmtId="37" fontId="4" fillId="9" borderId="9" xfId="0" applyFont="1" applyFill="1" applyBorder="1" applyAlignment="1">
      <alignment wrapText="1"/>
    </xf>
    <xf numFmtId="37" fontId="4" fillId="10" borderId="47" xfId="0" applyFont="1" applyFill="1" applyBorder="1" applyAlignment="1">
      <alignment horizontal="center"/>
    </xf>
    <xf numFmtId="37" fontId="4" fillId="10" borderId="48" xfId="0" applyFont="1" applyFill="1" applyBorder="1" applyAlignment="1">
      <alignment horizontal="center"/>
    </xf>
    <xf numFmtId="37" fontId="4" fillId="10" borderId="0" xfId="0" applyFont="1" applyFill="1" applyBorder="1" applyAlignment="1">
      <alignment horizontal="center"/>
    </xf>
    <xf numFmtId="37" fontId="4" fillId="10" borderId="25" xfId="0" quotePrefix="1" applyFont="1" applyFill="1" applyBorder="1" applyAlignment="1">
      <alignment horizontal="center"/>
    </xf>
    <xf numFmtId="37" fontId="4" fillId="10" borderId="49" xfId="0" applyFont="1" applyFill="1" applyBorder="1" applyAlignment="1">
      <alignment horizontal="center"/>
    </xf>
    <xf numFmtId="37" fontId="4" fillId="10" borderId="3" xfId="0" applyFont="1" applyFill="1" applyBorder="1" applyAlignment="1">
      <alignment horizontal="center"/>
    </xf>
    <xf numFmtId="37" fontId="4" fillId="10" borderId="8" xfId="0" applyFont="1" applyFill="1" applyBorder="1" applyAlignment="1">
      <alignment horizontal="center"/>
    </xf>
    <xf numFmtId="166" fontId="7" fillId="0" borderId="11" xfId="0" applyNumberFormat="1" applyFont="1" applyBorder="1" applyProtection="1"/>
    <xf numFmtId="37" fontId="34" fillId="0" borderId="0" xfId="0" applyFont="1"/>
    <xf numFmtId="0" fontId="4" fillId="5" borderId="19" xfId="9" applyNumberFormat="1" applyFont="1" applyFill="1" applyBorder="1" applyAlignment="1">
      <alignment horizontal="center" vertical="center" wrapText="1"/>
    </xf>
    <xf numFmtId="37" fontId="4" fillId="7" borderId="4" xfId="0" applyFont="1" applyFill="1" applyBorder="1" applyAlignment="1">
      <alignment horizontal="center" vertical="center" wrapText="1"/>
    </xf>
    <xf numFmtId="37" fontId="4" fillId="7" borderId="1" xfId="0" applyFont="1" applyFill="1" applyBorder="1" applyAlignment="1">
      <alignment horizontal="center" vertical="center" wrapText="1"/>
    </xf>
    <xf numFmtId="37" fontId="4" fillId="7" borderId="9" xfId="0" applyFont="1" applyFill="1" applyBorder="1" applyAlignment="1">
      <alignment horizontal="center" vertical="center" wrapText="1"/>
    </xf>
    <xf numFmtId="181" fontId="7" fillId="0" borderId="0" xfId="10" applyNumberFormat="1" applyFont="1" applyBorder="1" applyProtection="1"/>
    <xf numFmtId="37" fontId="4" fillId="0" borderId="0" xfId="10" applyNumberFormat="1" applyFont="1" applyBorder="1" applyAlignment="1" applyProtection="1">
      <alignment horizontal="centerContinuous"/>
    </xf>
    <xf numFmtId="39" fontId="7" fillId="0" borderId="0" xfId="10" applyFont="1"/>
    <xf numFmtId="166" fontId="7" fillId="0" borderId="2" xfId="10" applyNumberFormat="1" applyFont="1" applyBorder="1" applyAlignment="1" applyProtection="1">
      <alignment horizontal="left"/>
    </xf>
    <xf numFmtId="166" fontId="7" fillId="0" borderId="3" xfId="10" applyNumberFormat="1" applyFont="1" applyBorder="1" applyAlignment="1" applyProtection="1">
      <alignment horizontal="left"/>
    </xf>
    <xf numFmtId="37" fontId="7" fillId="0" borderId="0" xfId="10" applyNumberFormat="1" applyFont="1" applyProtection="1"/>
    <xf numFmtId="39" fontId="4" fillId="0" borderId="14" xfId="10" applyFont="1" applyBorder="1" applyProtection="1"/>
    <xf numFmtId="39" fontId="4" fillId="3" borderId="20" xfId="10" applyFont="1" applyFill="1" applyBorder="1" applyProtection="1"/>
    <xf numFmtId="39" fontId="7" fillId="3" borderId="0" xfId="10" applyFont="1" applyFill="1" applyProtection="1"/>
    <xf numFmtId="168" fontId="7" fillId="11" borderId="1" xfId="10" applyNumberFormat="1" applyFont="1" applyFill="1" applyBorder="1"/>
    <xf numFmtId="168" fontId="7" fillId="3" borderId="1" xfId="10" applyNumberFormat="1" applyFont="1" applyFill="1" applyBorder="1"/>
    <xf numFmtId="168" fontId="4" fillId="11" borderId="19" xfId="10" applyNumberFormat="1" applyFont="1" applyFill="1" applyBorder="1"/>
    <xf numFmtId="168" fontId="7" fillId="0" borderId="0" xfId="10" applyNumberFormat="1" applyFont="1"/>
    <xf numFmtId="39" fontId="7" fillId="0" borderId="1" xfId="10" applyFont="1" applyBorder="1" applyProtection="1"/>
    <xf numFmtId="39" fontId="7" fillId="11" borderId="1" xfId="10" applyFont="1" applyFill="1" applyBorder="1" applyProtection="1"/>
    <xf numFmtId="37" fontId="32" fillId="0" borderId="0" xfId="0" applyFont="1" applyAlignment="1">
      <alignment horizontal="left" indent="5"/>
    </xf>
    <xf numFmtId="37" fontId="7" fillId="0" borderId="33" xfId="0" applyFont="1" applyBorder="1"/>
    <xf numFmtId="49" fontId="7" fillId="0" borderId="0" xfId="0" applyNumberFormat="1" applyFont="1" applyFill="1" applyAlignment="1"/>
    <xf numFmtId="0" fontId="7" fillId="0" borderId="0" xfId="0" applyNumberFormat="1" applyFont="1" applyAlignment="1"/>
    <xf numFmtId="37" fontId="8" fillId="0" borderId="0" xfId="0" applyFont="1" applyBorder="1"/>
    <xf numFmtId="37" fontId="4" fillId="7" borderId="54" xfId="0" applyFont="1" applyFill="1" applyBorder="1" applyAlignment="1">
      <alignment horizontal="centerContinuous"/>
    </xf>
    <xf numFmtId="37" fontId="4" fillId="7" borderId="55" xfId="0" applyFont="1" applyFill="1" applyBorder="1" applyAlignment="1">
      <alignment horizontal="centerContinuous"/>
    </xf>
    <xf numFmtId="37" fontId="4" fillId="7" borderId="56" xfId="0" applyFont="1" applyFill="1" applyBorder="1" applyAlignment="1">
      <alignment horizontal="centerContinuous"/>
    </xf>
    <xf numFmtId="37" fontId="4" fillId="7" borderId="57" xfId="0" applyFont="1" applyFill="1" applyBorder="1" applyAlignment="1">
      <alignment horizontal="center"/>
    </xf>
    <xf numFmtId="37" fontId="4" fillId="7" borderId="58" xfId="0" applyFont="1" applyFill="1" applyBorder="1" applyAlignment="1">
      <alignment horizontal="center"/>
    </xf>
    <xf numFmtId="37" fontId="4" fillId="3" borderId="59" xfId="0" quotePrefix="1" applyFont="1" applyFill="1" applyBorder="1" applyAlignment="1">
      <alignment horizontal="center"/>
    </xf>
    <xf numFmtId="37" fontId="4" fillId="3" borderId="60" xfId="0" applyFont="1" applyFill="1" applyBorder="1" applyAlignment="1">
      <alignment horizontal="center"/>
    </xf>
    <xf numFmtId="37" fontId="4" fillId="0" borderId="61" xfId="0" applyFont="1" applyFill="1" applyBorder="1" applyAlignment="1">
      <alignment horizontal="centerContinuous"/>
    </xf>
    <xf numFmtId="37" fontId="4" fillId="0" borderId="62" xfId="0" applyFont="1" applyBorder="1" applyAlignment="1">
      <alignment horizontal="centerContinuous"/>
    </xf>
    <xf numFmtId="37" fontId="4" fillId="0" borderId="63" xfId="0" applyFont="1" applyBorder="1" applyAlignment="1">
      <alignment horizontal="centerContinuous"/>
    </xf>
    <xf numFmtId="37" fontId="4" fillId="0" borderId="63" xfId="0" applyFont="1" applyFill="1" applyBorder="1" applyAlignment="1">
      <alignment horizontal="centerContinuous"/>
    </xf>
    <xf numFmtId="37" fontId="4" fillId="0" borderId="64" xfId="0" applyFont="1" applyBorder="1" applyAlignment="1">
      <alignment horizontal="centerContinuous"/>
    </xf>
    <xf numFmtId="37" fontId="4" fillId="0" borderId="1" xfId="0" quotePrefix="1" applyFont="1" applyBorder="1" applyAlignment="1">
      <alignment horizontal="center"/>
    </xf>
    <xf numFmtId="37" fontId="4" fillId="0" borderId="9" xfId="0" quotePrefix="1" applyFont="1" applyBorder="1" applyAlignment="1">
      <alignment horizontal="center"/>
    </xf>
    <xf numFmtId="37" fontId="15" fillId="8" borderId="0" xfId="13" applyFont="1" applyFill="1"/>
    <xf numFmtId="37" fontId="31" fillId="0" borderId="0" xfId="13"/>
    <xf numFmtId="37" fontId="15" fillId="8" borderId="0" xfId="13" applyFont="1" applyFill="1" applyAlignment="1"/>
    <xf numFmtId="37" fontId="24" fillId="8" borderId="0" xfId="13" quotePrefix="1" applyFont="1" applyFill="1" applyAlignment="1">
      <alignment horizontal="center"/>
    </xf>
    <xf numFmtId="37" fontId="15" fillId="8" borderId="0" xfId="13" applyFont="1" applyFill="1" applyAlignment="1">
      <alignment horizontal="left" vertical="top" wrapText="1"/>
    </xf>
    <xf numFmtId="37" fontId="15" fillId="8" borderId="0" xfId="13" applyFont="1" applyFill="1" applyAlignment="1">
      <alignment wrapText="1"/>
    </xf>
    <xf numFmtId="0" fontId="15" fillId="0" borderId="0" xfId="11" quotePrefix="1" applyFont="1" applyAlignment="1">
      <alignment horizontal="left" wrapText="1"/>
    </xf>
    <xf numFmtId="37" fontId="0" fillId="0" borderId="0" xfId="0"/>
    <xf numFmtId="37" fontId="4" fillId="3" borderId="12" xfId="0" quotePrefix="1" applyFont="1" applyFill="1" applyBorder="1" applyAlignment="1">
      <alignment horizontal="center" vertical="center"/>
    </xf>
    <xf numFmtId="37" fontId="4" fillId="3" borderId="12" xfId="0" applyFont="1" applyFill="1" applyBorder="1" applyAlignment="1">
      <alignment horizontal="center" vertical="center"/>
    </xf>
    <xf numFmtId="37" fontId="4" fillId="3" borderId="11" xfId="0" applyFont="1" applyFill="1" applyBorder="1" applyAlignment="1">
      <alignment horizontal="center" vertical="center"/>
    </xf>
    <xf numFmtId="49" fontId="4" fillId="0" borderId="41" xfId="0" quotePrefix="1" applyNumberFormat="1" applyFont="1" applyBorder="1" applyAlignment="1">
      <alignment horizontal="center" vertical="center"/>
    </xf>
    <xf numFmtId="49" fontId="4" fillId="0" borderId="13" xfId="0" quotePrefix="1" applyNumberFormat="1" applyFont="1" applyBorder="1" applyAlignment="1">
      <alignment horizontal="center" vertical="center"/>
    </xf>
    <xf numFmtId="49" fontId="4" fillId="0" borderId="53" xfId="0" quotePrefix="1" applyNumberFormat="1" applyFont="1" applyBorder="1" applyAlignment="1">
      <alignment horizontal="center" vertical="center"/>
    </xf>
    <xf numFmtId="37" fontId="4" fillId="0" borderId="20" xfId="0" applyFont="1" applyBorder="1" applyAlignment="1">
      <alignment horizontal="center"/>
    </xf>
    <xf numFmtId="37" fontId="4" fillId="0" borderId="10" xfId="0" applyFont="1" applyBorder="1" applyAlignment="1">
      <alignment horizontal="center"/>
    </xf>
    <xf numFmtId="49" fontId="15" fillId="0" borderId="16" xfId="0" applyNumberFormat="1" applyFont="1" applyBorder="1" applyAlignment="1">
      <alignment horizontal="center" vertical="top" textRotation="180"/>
    </xf>
    <xf numFmtId="49" fontId="15" fillId="0" borderId="15" xfId="0" applyNumberFormat="1" applyFont="1" applyBorder="1" applyAlignment="1">
      <alignment horizontal="right" vertical="center" textRotation="180"/>
    </xf>
    <xf numFmtId="37" fontId="15" fillId="0" borderId="15" xfId="0" applyFont="1" applyBorder="1" applyAlignment="1">
      <alignment horizontal="right" vertical="center" textRotation="180"/>
    </xf>
    <xf numFmtId="37" fontId="4" fillId="7" borderId="14" xfId="0" applyFont="1" applyFill="1" applyBorder="1" applyAlignment="1">
      <alignment horizontal="center"/>
    </xf>
    <xf numFmtId="37" fontId="4" fillId="7" borderId="5" xfId="0" applyFont="1" applyFill="1" applyBorder="1" applyAlignment="1">
      <alignment horizontal="center"/>
    </xf>
    <xf numFmtId="37" fontId="4" fillId="7" borderId="20" xfId="0" applyFont="1" applyFill="1" applyBorder="1" applyAlignment="1">
      <alignment horizontal="center"/>
    </xf>
    <xf numFmtId="37" fontId="4" fillId="7" borderId="10" xfId="0" applyFont="1" applyFill="1" applyBorder="1" applyAlignment="1">
      <alignment horizontal="center"/>
    </xf>
    <xf numFmtId="37" fontId="4" fillId="0" borderId="12" xfId="0" applyFont="1" applyBorder="1" applyAlignment="1">
      <alignment horizontal="center" vertical="center"/>
    </xf>
    <xf numFmtId="37" fontId="4" fillId="0" borderId="11" xfId="0" applyFont="1" applyBorder="1" applyAlignment="1">
      <alignment horizontal="center" vertical="center"/>
    </xf>
    <xf numFmtId="37" fontId="4" fillId="0" borderId="12" xfId="0" quotePrefix="1" applyFont="1" applyBorder="1" applyAlignment="1">
      <alignment horizontal="center" vertical="center"/>
    </xf>
    <xf numFmtId="37" fontId="4" fillId="0" borderId="11" xfId="0" quotePrefix="1" applyFont="1" applyBorder="1" applyAlignment="1">
      <alignment horizontal="center" vertical="center"/>
    </xf>
    <xf numFmtId="37" fontId="4" fillId="8" borderId="12" xfId="0" applyFont="1" applyFill="1" applyBorder="1" applyAlignment="1">
      <alignment horizontal="center"/>
    </xf>
    <xf numFmtId="37" fontId="4" fillId="8" borderId="50" xfId="0" applyFont="1" applyFill="1" applyBorder="1" applyAlignment="1">
      <alignment horizontal="center"/>
    </xf>
    <xf numFmtId="37" fontId="4" fillId="7" borderId="25" xfId="0" quotePrefix="1" applyFont="1" applyFill="1" applyBorder="1" applyAlignment="1">
      <alignment horizontal="center"/>
    </xf>
    <xf numFmtId="37" fontId="4" fillId="7" borderId="8" xfId="0" applyFont="1" applyFill="1" applyBorder="1" applyAlignment="1">
      <alignment horizontal="center"/>
    </xf>
    <xf numFmtId="37" fontId="4" fillId="3" borderId="14" xfId="0" quotePrefix="1" applyFont="1" applyFill="1" applyBorder="1" applyAlignment="1">
      <alignment horizontal="center"/>
    </xf>
    <xf numFmtId="37" fontId="4" fillId="3" borderId="2" xfId="0" quotePrefix="1" applyFont="1" applyFill="1" applyBorder="1" applyAlignment="1">
      <alignment horizontal="center"/>
    </xf>
    <xf numFmtId="37" fontId="4" fillId="3" borderId="5" xfId="0" quotePrefix="1" applyFont="1" applyFill="1" applyBorder="1" applyAlignment="1">
      <alignment horizontal="center"/>
    </xf>
    <xf numFmtId="37" fontId="4" fillId="0" borderId="12" xfId="0" quotePrefix="1" applyFont="1" applyBorder="1" applyAlignment="1">
      <alignment horizontal="right" vertical="center"/>
    </xf>
    <xf numFmtId="37" fontId="4" fillId="0" borderId="4" xfId="0" applyFont="1" applyBorder="1" applyAlignment="1">
      <alignment horizontal="center" vertical="center" wrapText="1"/>
    </xf>
    <xf numFmtId="37" fontId="4" fillId="0" borderId="1" xfId="0" applyFont="1" applyBorder="1" applyAlignment="1">
      <alignment horizontal="center" vertical="center" wrapText="1"/>
    </xf>
    <xf numFmtId="37" fontId="4" fillId="0" borderId="9" xfId="0" applyFont="1" applyBorder="1" applyAlignment="1">
      <alignment horizontal="center" vertical="center" wrapText="1"/>
    </xf>
    <xf numFmtId="37" fontId="4" fillId="3" borderId="13" xfId="0" applyFont="1" applyFill="1" applyBorder="1" applyAlignment="1">
      <alignment horizontal="right" vertical="center"/>
    </xf>
    <xf numFmtId="37" fontId="4" fillId="9" borderId="4" xfId="0" applyFont="1" applyFill="1" applyBorder="1" applyAlignment="1">
      <alignment horizontal="center" wrapText="1"/>
    </xf>
    <xf numFmtId="37" fontId="4" fillId="9" borderId="9" xfId="0" applyFont="1" applyFill="1" applyBorder="1" applyAlignment="1">
      <alignment horizontal="center" wrapText="1"/>
    </xf>
    <xf numFmtId="37" fontId="4" fillId="9" borderId="51" xfId="0" applyFont="1" applyFill="1" applyBorder="1" applyAlignment="1">
      <alignment horizontal="center" wrapText="1"/>
    </xf>
    <xf numFmtId="37" fontId="4" fillId="9" borderId="52" xfId="0" applyFont="1" applyFill="1" applyBorder="1" applyAlignment="1">
      <alignment horizontal="center" wrapText="1"/>
    </xf>
    <xf numFmtId="49" fontId="4" fillId="0" borderId="0" xfId="10" applyNumberFormat="1" applyFont="1" applyFill="1" applyBorder="1" applyAlignment="1" applyProtection="1">
      <alignment horizontal="center"/>
    </xf>
    <xf numFmtId="39" fontId="4" fillId="0" borderId="2" xfId="10" applyFont="1" applyBorder="1" applyAlignment="1">
      <alignment horizontal="center" vertical="center"/>
    </xf>
    <xf numFmtId="39" fontId="4" fillId="0" borderId="3" xfId="10" applyFont="1" applyBorder="1" applyAlignment="1">
      <alignment horizontal="center" vertical="center"/>
    </xf>
    <xf numFmtId="37" fontId="4" fillId="9" borderId="14" xfId="0" applyFont="1" applyFill="1" applyBorder="1" applyAlignment="1">
      <alignment horizontal="center" wrapText="1"/>
    </xf>
    <xf numFmtId="37" fontId="4" fillId="9" borderId="5" xfId="0" applyFont="1" applyFill="1" applyBorder="1" applyAlignment="1">
      <alignment horizontal="center" wrapText="1"/>
    </xf>
  </cellXfs>
  <cellStyles count="14">
    <cellStyle name="BODY" xfId="1"/>
    <cellStyle name="Comma" xfId="2" builtinId="3"/>
    <cellStyle name="Comma_Direct Support" xfId="3"/>
    <cellStyle name="Comma_ProvincialContribution" xfId="4"/>
    <cellStyle name="Currency" xfId="5" builtinId="4"/>
    <cellStyle name="Currency_ProvincialContribution" xfId="6"/>
    <cellStyle name="Hyperlink" xfId="7" builtinId="8"/>
    <cellStyle name="Normal" xfId="0" builtinId="0"/>
    <cellStyle name="Normal 2" xfId="13"/>
    <cellStyle name="Normal_06 07 new frame pages" xfId="8"/>
    <cellStyle name="Normal_Direct Support" xfId="9"/>
    <cellStyle name="Normal_Draft Personnel_ 10B" xfId="10"/>
    <cellStyle name="Normal_ProvincialContribution" xfId="11"/>
    <cellStyle name="Percent" xfId="12" builtinId="5"/>
  </cellStyles>
  <dxfs count="1">
    <dxf>
      <font>
        <color theme="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1.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2.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09-10%20FRAME%20Actu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dusfb/Age%20and%20Area/Age%20and%20Area%202006-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dusfb/Internet%20Projects/Forms/_Web%20Site/FB115A_Feb.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dusfb/Frame/REPORTS/2008-09%20FRAME%20Budget.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ADME"/>
      <sheetName val="- 3 -"/>
      <sheetName val="- 4 -"/>
      <sheetName val="- 6 -"/>
      <sheetName val="- 7 -"/>
      <sheetName val="- 8 -"/>
      <sheetName val="- 9 -"/>
      <sheetName val="- 10 -"/>
      <sheetName val="- 12 -"/>
      <sheetName val="- 13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1 -"/>
      <sheetName val="- 42 -"/>
      <sheetName val="- 43 -"/>
      <sheetName val="- 44 -"/>
      <sheetName val="- 45 -"/>
      <sheetName val="- 46 -"/>
      <sheetName val="- 47 -"/>
      <sheetName val="- 48 -"/>
      <sheetName val="- 49 -"/>
      <sheetName val="- 50 -"/>
      <sheetName val="- 51 -"/>
      <sheetName val="- 52 -"/>
      <sheetName val="- 54 -"/>
      <sheetName val="- 55 - "/>
      <sheetName val="- 56 -"/>
      <sheetName val="- 58 -"/>
      <sheetName val="- 59 -"/>
      <sheetName val="- 60 -"/>
      <sheetName val="- 61 -"/>
      <sheetName val="- 62 -"/>
      <sheetName val="- 63 -"/>
      <sheetName val="- 64 -"/>
      <sheetName val="- 65 -"/>
      <sheetName val="- 66 -"/>
      <sheetName val="- 67 -"/>
      <sheetName val="Data"/>
    </sheetNames>
    <sheetDataSet>
      <sheetData sheetId="0"/>
      <sheetData sheetId="1">
        <row r="3">
          <cell r="A3" t="str">
            <v>OPERATING FUND 2009/2010 ACTUAL</v>
          </cell>
        </row>
      </sheetData>
      <sheetData sheetId="2"/>
      <sheetData sheetId="3">
        <row r="3">
          <cell r="B3" t="str">
            <v>ACTUAL SEPTEMBER 30, 2009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1">
          <cell r="B1" t="str">
            <v>ANALYSIS OF OPERATING FUND REVENUE: 2009/2010 ACTUAL</v>
          </cell>
        </row>
      </sheetData>
      <sheetData sheetId="37"/>
      <sheetData sheetId="38"/>
      <sheetData sheetId="39"/>
      <sheetData sheetId="40"/>
      <sheetData sheetId="41"/>
      <sheetData sheetId="42"/>
      <sheetData sheetId="43"/>
      <sheetData sheetId="44"/>
      <sheetData sheetId="45"/>
      <sheetData sheetId="46">
        <row r="3">
          <cell r="B3" t="str">
            <v>FOR THE 2009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B4" t="str">
            <v>2008/09</v>
          </cell>
        </row>
        <row r="5">
          <cell r="B5" t="str">
            <v>2009/10</v>
          </cell>
        </row>
        <row r="6">
          <cell r="B6">
            <v>2009</v>
          </cell>
        </row>
        <row r="7">
          <cell r="B7" t="str">
            <v>2010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apital-D"/>
      <sheetName val="Data"/>
      <sheetName val="Form"/>
      <sheetName val="WI"/>
      <sheetName val="List"/>
      <sheetName val="Decades"/>
      <sheetName val="TU's"/>
      <sheetName val="Summary"/>
      <sheetName val="Summary (2)"/>
      <sheetName val="Colony Form"/>
      <sheetName val="Rented Space"/>
    </sheetNames>
    <sheetDataSet>
      <sheetData sheetId="0"/>
      <sheetData sheetId="1">
        <row r="9">
          <cell r="A9" t="str">
            <v>BE</v>
          </cell>
        </row>
        <row r="10">
          <cell r="A10" t="str">
            <v>BE</v>
          </cell>
        </row>
        <row r="11">
          <cell r="A11" t="str">
            <v>BE</v>
          </cell>
        </row>
        <row r="12">
          <cell r="A12" t="str">
            <v>BE</v>
          </cell>
        </row>
        <row r="13">
          <cell r="A13" t="str">
            <v>BE</v>
          </cell>
        </row>
        <row r="14">
          <cell r="A14" t="str">
            <v>BE</v>
          </cell>
        </row>
        <row r="15">
          <cell r="A15" t="str">
            <v>BE</v>
          </cell>
        </row>
        <row r="16">
          <cell r="A16" t="str">
            <v>BE</v>
          </cell>
        </row>
        <row r="17">
          <cell r="A17" t="str">
            <v>BE</v>
          </cell>
        </row>
        <row r="18">
          <cell r="A18" t="str">
            <v>BE</v>
          </cell>
        </row>
        <row r="19">
          <cell r="A19" t="str">
            <v>BE</v>
          </cell>
        </row>
        <row r="20">
          <cell r="A20" t="str">
            <v>BE</v>
          </cell>
        </row>
        <row r="21">
          <cell r="A21" t="str">
            <v>BE</v>
          </cell>
        </row>
        <row r="22">
          <cell r="A22" t="str">
            <v>BE</v>
          </cell>
        </row>
        <row r="23">
          <cell r="A23" t="str">
            <v>BO</v>
          </cell>
        </row>
        <row r="24">
          <cell r="A24" t="str">
            <v>BO</v>
          </cell>
        </row>
        <row r="25">
          <cell r="A25" t="str">
            <v>BO</v>
          </cell>
        </row>
        <row r="26">
          <cell r="A26" t="str">
            <v>BO</v>
          </cell>
        </row>
        <row r="27">
          <cell r="A27" t="str">
            <v>BO</v>
          </cell>
        </row>
        <row r="28">
          <cell r="A28" t="str">
            <v>BO</v>
          </cell>
        </row>
        <row r="29">
          <cell r="A29" t="str">
            <v>BO</v>
          </cell>
        </row>
        <row r="30">
          <cell r="A30" t="str">
            <v>BO</v>
          </cell>
        </row>
        <row r="31">
          <cell r="A31" t="str">
            <v>BO</v>
          </cell>
        </row>
        <row r="32">
          <cell r="A32" t="str">
            <v>BO</v>
          </cell>
        </row>
        <row r="33">
          <cell r="A33" t="str">
            <v>BO</v>
          </cell>
        </row>
        <row r="34">
          <cell r="A34" t="str">
            <v>BO</v>
          </cell>
        </row>
        <row r="35">
          <cell r="A35" t="str">
            <v>BO</v>
          </cell>
        </row>
        <row r="36">
          <cell r="A36" t="str">
            <v>BO</v>
          </cell>
        </row>
        <row r="37">
          <cell r="A37" t="str">
            <v>BO</v>
          </cell>
        </row>
        <row r="38">
          <cell r="A38" t="str">
            <v>BR</v>
          </cell>
        </row>
        <row r="39">
          <cell r="A39" t="str">
            <v>BR</v>
          </cell>
        </row>
        <row r="40">
          <cell r="A40" t="str">
            <v>BR</v>
          </cell>
        </row>
        <row r="41">
          <cell r="A41" t="str">
            <v>BR</v>
          </cell>
        </row>
        <row r="42">
          <cell r="A42" t="str">
            <v>BR</v>
          </cell>
        </row>
        <row r="43">
          <cell r="A43" t="str">
            <v>BR</v>
          </cell>
        </row>
        <row r="44">
          <cell r="A44" t="str">
            <v>BR</v>
          </cell>
        </row>
        <row r="45">
          <cell r="A45" t="str">
            <v>BR</v>
          </cell>
        </row>
        <row r="46">
          <cell r="A46" t="str">
            <v>BR</v>
          </cell>
        </row>
        <row r="47">
          <cell r="A47" t="str">
            <v>BR</v>
          </cell>
        </row>
        <row r="48">
          <cell r="A48" t="str">
            <v>BR</v>
          </cell>
        </row>
        <row r="49">
          <cell r="A49" t="str">
            <v>BR</v>
          </cell>
        </row>
        <row r="50">
          <cell r="A50" t="str">
            <v>BR</v>
          </cell>
        </row>
        <row r="51">
          <cell r="A51" t="str">
            <v>BR</v>
          </cell>
        </row>
        <row r="52">
          <cell r="A52" t="str">
            <v>BR</v>
          </cell>
        </row>
        <row r="53">
          <cell r="A53" t="str">
            <v>BR</v>
          </cell>
        </row>
        <row r="54">
          <cell r="A54" t="str">
            <v>BR</v>
          </cell>
        </row>
        <row r="55">
          <cell r="A55" t="str">
            <v>BR</v>
          </cell>
        </row>
        <row r="57">
          <cell r="A57" t="str">
            <v>BR</v>
          </cell>
        </row>
        <row r="58">
          <cell r="A58" t="str">
            <v>BR</v>
          </cell>
        </row>
        <row r="59">
          <cell r="A59" t="str">
            <v>BR</v>
          </cell>
        </row>
        <row r="60">
          <cell r="A60" t="str">
            <v>DI</v>
          </cell>
        </row>
        <row r="61">
          <cell r="A61" t="str">
            <v>DI</v>
          </cell>
        </row>
        <row r="62">
          <cell r="A62" t="str">
            <v>DI</v>
          </cell>
        </row>
        <row r="64">
          <cell r="A64" t="str">
            <v>DI</v>
          </cell>
        </row>
        <row r="65">
          <cell r="A65" t="str">
            <v>DI</v>
          </cell>
        </row>
        <row r="66">
          <cell r="A66" t="str">
            <v>DI</v>
          </cell>
        </row>
        <row r="67">
          <cell r="A67" t="str">
            <v>DI</v>
          </cell>
        </row>
        <row r="68">
          <cell r="A68" t="str">
            <v>DI</v>
          </cell>
        </row>
        <row r="70">
          <cell r="A70" t="str">
            <v>DI</v>
          </cell>
        </row>
        <row r="71">
          <cell r="A71" t="str">
            <v>DI</v>
          </cell>
        </row>
        <row r="72">
          <cell r="A72" t="str">
            <v>DI</v>
          </cell>
        </row>
        <row r="73">
          <cell r="A73" t="str">
            <v>DI</v>
          </cell>
        </row>
        <row r="74">
          <cell r="A74" t="str">
            <v>DI</v>
          </cell>
        </row>
        <row r="75">
          <cell r="A75" t="str">
            <v>DI</v>
          </cell>
        </row>
        <row r="76">
          <cell r="A76" t="str">
            <v>DI</v>
          </cell>
        </row>
        <row r="77">
          <cell r="A77" t="str">
            <v>DI</v>
          </cell>
        </row>
        <row r="78">
          <cell r="A78" t="str">
            <v>DI</v>
          </cell>
        </row>
        <row r="79">
          <cell r="A79" t="str">
            <v>DI</v>
          </cell>
        </row>
        <row r="80">
          <cell r="A80" t="str">
            <v>DI</v>
          </cell>
        </row>
        <row r="81">
          <cell r="A81" t="str">
            <v>DI</v>
          </cell>
        </row>
        <row r="82">
          <cell r="A82" t="str">
            <v>EV</v>
          </cell>
        </row>
        <row r="83">
          <cell r="A83" t="str">
            <v>EV</v>
          </cell>
        </row>
        <row r="84">
          <cell r="A84" t="str">
            <v>EV</v>
          </cell>
        </row>
        <row r="85">
          <cell r="A85" t="str">
            <v>EV</v>
          </cell>
        </row>
        <row r="86">
          <cell r="A86" t="str">
            <v>EV</v>
          </cell>
        </row>
        <row r="88">
          <cell r="A88" t="str">
            <v>EV</v>
          </cell>
        </row>
        <row r="89">
          <cell r="A89" t="str">
            <v>EV</v>
          </cell>
        </row>
        <row r="90">
          <cell r="A90" t="str">
            <v>FL</v>
          </cell>
        </row>
        <row r="91">
          <cell r="A91" t="str">
            <v>FL</v>
          </cell>
        </row>
        <row r="92">
          <cell r="A92" t="str">
            <v>FL</v>
          </cell>
        </row>
        <row r="93">
          <cell r="A93" t="str">
            <v>FL</v>
          </cell>
        </row>
        <row r="94">
          <cell r="A94" t="str">
            <v>FO</v>
          </cell>
        </row>
        <row r="95">
          <cell r="A95" t="str">
            <v>FO</v>
          </cell>
        </row>
        <row r="96">
          <cell r="A96" t="str">
            <v>FO</v>
          </cell>
        </row>
        <row r="97">
          <cell r="A97" t="str">
            <v>FO</v>
          </cell>
        </row>
        <row r="98">
          <cell r="A98" t="str">
            <v>FO</v>
          </cell>
        </row>
        <row r="99">
          <cell r="A99" t="str">
            <v>FO</v>
          </cell>
        </row>
        <row r="100">
          <cell r="A100" t="str">
            <v>FO</v>
          </cell>
        </row>
        <row r="101">
          <cell r="A101" t="str">
            <v>FO</v>
          </cell>
        </row>
        <row r="102">
          <cell r="A102" t="str">
            <v>FO</v>
          </cell>
        </row>
        <row r="103">
          <cell r="A103" t="str">
            <v>FO</v>
          </cell>
        </row>
        <row r="104">
          <cell r="A104" t="str">
            <v>FO</v>
          </cell>
        </row>
        <row r="105">
          <cell r="A105" t="str">
            <v>FR</v>
          </cell>
        </row>
        <row r="106">
          <cell r="A106" t="str">
            <v>FR</v>
          </cell>
        </row>
        <row r="107">
          <cell r="A107" t="str">
            <v>FR</v>
          </cell>
        </row>
        <row r="108">
          <cell r="A108" t="str">
            <v>FR</v>
          </cell>
        </row>
        <row r="109">
          <cell r="A109" t="str">
            <v>FR</v>
          </cell>
        </row>
        <row r="110">
          <cell r="A110" t="str">
            <v>FR</v>
          </cell>
        </row>
        <row r="111">
          <cell r="A111" t="str">
            <v>FR</v>
          </cell>
        </row>
        <row r="112">
          <cell r="A112" t="str">
            <v>FR</v>
          </cell>
        </row>
        <row r="113">
          <cell r="A113" t="str">
            <v>FR</v>
          </cell>
        </row>
        <row r="114">
          <cell r="A114" t="str">
            <v>FR</v>
          </cell>
        </row>
        <row r="115">
          <cell r="A115" t="str">
            <v>FR</v>
          </cell>
        </row>
        <row r="116">
          <cell r="A116" t="str">
            <v>FR</v>
          </cell>
        </row>
        <row r="117">
          <cell r="A117" t="str">
            <v>FR</v>
          </cell>
        </row>
        <row r="118">
          <cell r="A118" t="str">
            <v>FR</v>
          </cell>
        </row>
        <row r="119">
          <cell r="A119" t="str">
            <v>FR</v>
          </cell>
        </row>
        <row r="120">
          <cell r="A120" t="str">
            <v>FR</v>
          </cell>
        </row>
        <row r="121">
          <cell r="A121" t="str">
            <v>FR</v>
          </cell>
        </row>
        <row r="122">
          <cell r="A122" t="str">
            <v>FR</v>
          </cell>
        </row>
        <row r="123">
          <cell r="A123" t="str">
            <v>FR</v>
          </cell>
        </row>
        <row r="124">
          <cell r="A124" t="str">
            <v>FR</v>
          </cell>
        </row>
        <row r="125">
          <cell r="A125" t="str">
            <v>FR</v>
          </cell>
        </row>
        <row r="126">
          <cell r="A126" t="str">
            <v>FR</v>
          </cell>
        </row>
        <row r="127">
          <cell r="A127" t="str">
            <v>FR</v>
          </cell>
        </row>
        <row r="128">
          <cell r="A128" t="str">
            <v>FR</v>
          </cell>
        </row>
        <row r="129">
          <cell r="A129" t="str">
            <v>FR</v>
          </cell>
        </row>
        <row r="130">
          <cell r="A130" t="str">
            <v>FR</v>
          </cell>
        </row>
        <row r="131">
          <cell r="A131" t="str">
            <v>FR</v>
          </cell>
        </row>
        <row r="132">
          <cell r="A132" t="str">
            <v>FR</v>
          </cell>
        </row>
        <row r="133">
          <cell r="A133" t="str">
            <v>FR</v>
          </cell>
        </row>
        <row r="134">
          <cell r="A134" t="str">
            <v>FR</v>
          </cell>
        </row>
        <row r="135">
          <cell r="A135" t="str">
            <v>FR</v>
          </cell>
        </row>
        <row r="136">
          <cell r="A136" t="str">
            <v>FR</v>
          </cell>
        </row>
        <row r="137">
          <cell r="A137" t="str">
            <v>FR</v>
          </cell>
        </row>
        <row r="138">
          <cell r="A138" t="str">
            <v>FR</v>
          </cell>
        </row>
        <row r="139">
          <cell r="A139" t="str">
            <v>FR</v>
          </cell>
        </row>
        <row r="140">
          <cell r="A140" t="str">
            <v>FR</v>
          </cell>
        </row>
        <row r="141">
          <cell r="A141" t="str">
            <v>FR</v>
          </cell>
        </row>
        <row r="142">
          <cell r="A142" t="str">
            <v>FR</v>
          </cell>
        </row>
        <row r="143">
          <cell r="A143" t="str">
            <v>FR</v>
          </cell>
        </row>
        <row r="144">
          <cell r="A144" t="str">
            <v>GA</v>
          </cell>
        </row>
        <row r="145">
          <cell r="A145" t="str">
            <v>GA</v>
          </cell>
        </row>
        <row r="146">
          <cell r="A146" t="str">
            <v>GA</v>
          </cell>
        </row>
        <row r="147">
          <cell r="A147" t="str">
            <v>GA</v>
          </cell>
        </row>
        <row r="148">
          <cell r="A148" t="str">
            <v>GA</v>
          </cell>
        </row>
        <row r="149">
          <cell r="A149" t="str">
            <v>GA</v>
          </cell>
        </row>
        <row r="150">
          <cell r="A150" t="str">
            <v>GA</v>
          </cell>
        </row>
        <row r="151">
          <cell r="A151" t="str">
            <v>GA</v>
          </cell>
        </row>
        <row r="152">
          <cell r="A152" t="str">
            <v>GA</v>
          </cell>
        </row>
        <row r="153">
          <cell r="A153" t="str">
            <v>GA</v>
          </cell>
        </row>
        <row r="154">
          <cell r="A154" t="str">
            <v>HA</v>
          </cell>
        </row>
        <row r="155">
          <cell r="A155" t="str">
            <v>HA</v>
          </cell>
        </row>
        <row r="156">
          <cell r="A156" t="str">
            <v>HA</v>
          </cell>
        </row>
        <row r="157">
          <cell r="A157" t="str">
            <v>HA</v>
          </cell>
        </row>
        <row r="158">
          <cell r="A158" t="str">
            <v>HA</v>
          </cell>
        </row>
        <row r="159">
          <cell r="A159" t="str">
            <v>HA</v>
          </cell>
        </row>
        <row r="160">
          <cell r="A160" t="str">
            <v>HA</v>
          </cell>
        </row>
        <row r="161">
          <cell r="A161" t="str">
            <v>HA</v>
          </cell>
        </row>
        <row r="162">
          <cell r="A162" t="str">
            <v>HA</v>
          </cell>
        </row>
        <row r="163">
          <cell r="A163" t="str">
            <v>HA</v>
          </cell>
        </row>
        <row r="164">
          <cell r="A164" t="str">
            <v>HA</v>
          </cell>
        </row>
        <row r="165">
          <cell r="A165" t="str">
            <v>HA</v>
          </cell>
        </row>
        <row r="166">
          <cell r="A166" t="str">
            <v>HA</v>
          </cell>
        </row>
        <row r="167">
          <cell r="A167" t="str">
            <v>HA</v>
          </cell>
        </row>
        <row r="168">
          <cell r="A168" t="str">
            <v>HA</v>
          </cell>
        </row>
        <row r="169">
          <cell r="A169" t="str">
            <v>HA</v>
          </cell>
        </row>
        <row r="170">
          <cell r="A170" t="str">
            <v>HA</v>
          </cell>
        </row>
        <row r="171">
          <cell r="A171" t="str">
            <v>IN</v>
          </cell>
        </row>
        <row r="172">
          <cell r="A172" t="str">
            <v>IN</v>
          </cell>
        </row>
        <row r="173">
          <cell r="A173" t="str">
            <v>IN</v>
          </cell>
        </row>
        <row r="174">
          <cell r="A174" t="str">
            <v>IN</v>
          </cell>
        </row>
        <row r="175">
          <cell r="A175" t="str">
            <v>IN</v>
          </cell>
        </row>
        <row r="176">
          <cell r="A176" t="str">
            <v>IN</v>
          </cell>
        </row>
        <row r="177">
          <cell r="A177" t="str">
            <v>IN</v>
          </cell>
        </row>
        <row r="178">
          <cell r="A178" t="str">
            <v>IN</v>
          </cell>
        </row>
        <row r="179">
          <cell r="A179" t="str">
            <v>IN</v>
          </cell>
        </row>
        <row r="180">
          <cell r="A180" t="str">
            <v>IN</v>
          </cell>
        </row>
        <row r="181">
          <cell r="A181" t="str">
            <v>IN</v>
          </cell>
        </row>
        <row r="182">
          <cell r="A182" t="str">
            <v>IN</v>
          </cell>
        </row>
        <row r="183">
          <cell r="A183" t="str">
            <v>IN</v>
          </cell>
        </row>
        <row r="184">
          <cell r="A184" t="str">
            <v>IN</v>
          </cell>
        </row>
        <row r="185">
          <cell r="A185" t="str">
            <v>IN</v>
          </cell>
        </row>
        <row r="186">
          <cell r="A186" t="str">
            <v>IN</v>
          </cell>
        </row>
        <row r="187">
          <cell r="A187" t="str">
            <v>IN</v>
          </cell>
        </row>
        <row r="188">
          <cell r="A188" t="str">
            <v>IN</v>
          </cell>
        </row>
        <row r="189">
          <cell r="A189" t="str">
            <v>IN</v>
          </cell>
        </row>
        <row r="190">
          <cell r="A190" t="str">
            <v>IN</v>
          </cell>
        </row>
        <row r="191">
          <cell r="A191" t="str">
            <v>IN</v>
          </cell>
        </row>
        <row r="192">
          <cell r="A192" t="str">
            <v>KE</v>
          </cell>
        </row>
        <row r="193">
          <cell r="A193" t="str">
            <v>KE</v>
          </cell>
        </row>
        <row r="194">
          <cell r="A194" t="str">
            <v>KE</v>
          </cell>
        </row>
        <row r="195">
          <cell r="A195" t="str">
            <v>KE</v>
          </cell>
        </row>
        <row r="196">
          <cell r="A196" t="str">
            <v>KE</v>
          </cell>
        </row>
        <row r="197">
          <cell r="A197" t="str">
            <v>LA</v>
          </cell>
        </row>
        <row r="198">
          <cell r="A198" t="str">
            <v>LA</v>
          </cell>
        </row>
        <row r="200">
          <cell r="A200" t="str">
            <v>LA</v>
          </cell>
        </row>
        <row r="201">
          <cell r="A201" t="str">
            <v>LA</v>
          </cell>
        </row>
        <row r="202">
          <cell r="A202" t="str">
            <v>LA</v>
          </cell>
        </row>
        <row r="203">
          <cell r="A203" t="str">
            <v>LA</v>
          </cell>
        </row>
        <row r="204">
          <cell r="A204" t="str">
            <v>LA</v>
          </cell>
        </row>
        <row r="205">
          <cell r="A205" t="str">
            <v>LA</v>
          </cell>
        </row>
        <row r="206">
          <cell r="A206" t="str">
            <v>LA</v>
          </cell>
        </row>
        <row r="207">
          <cell r="A207" t="str">
            <v>LO</v>
          </cell>
        </row>
        <row r="208">
          <cell r="A208" t="str">
            <v>LO</v>
          </cell>
        </row>
        <row r="210">
          <cell r="A210" t="str">
            <v>LO</v>
          </cell>
        </row>
        <row r="211">
          <cell r="A211" t="str">
            <v>LO</v>
          </cell>
        </row>
        <row r="212">
          <cell r="A212" t="str">
            <v>LO</v>
          </cell>
        </row>
        <row r="213">
          <cell r="A213" t="str">
            <v>LO</v>
          </cell>
        </row>
        <row r="214">
          <cell r="A214" t="str">
            <v>LO</v>
          </cell>
        </row>
        <row r="215">
          <cell r="A215" t="str">
            <v>LO</v>
          </cell>
        </row>
        <row r="216">
          <cell r="A216" t="str">
            <v>LO</v>
          </cell>
        </row>
        <row r="217">
          <cell r="A217" t="str">
            <v>LO</v>
          </cell>
        </row>
        <row r="218">
          <cell r="A218" t="str">
            <v>LO</v>
          </cell>
        </row>
        <row r="219">
          <cell r="A219" t="str">
            <v>LO</v>
          </cell>
        </row>
        <row r="220">
          <cell r="A220" t="str">
            <v>LO</v>
          </cell>
        </row>
        <row r="221">
          <cell r="A221" t="str">
            <v>LR</v>
          </cell>
        </row>
        <row r="222">
          <cell r="A222" t="str">
            <v>LR</v>
          </cell>
        </row>
        <row r="223">
          <cell r="A223" t="str">
            <v>LR</v>
          </cell>
        </row>
        <row r="224">
          <cell r="A224" t="str">
            <v>LR</v>
          </cell>
        </row>
        <row r="225">
          <cell r="A225" t="str">
            <v>LR</v>
          </cell>
        </row>
        <row r="226">
          <cell r="A226" t="str">
            <v>LR</v>
          </cell>
        </row>
        <row r="227">
          <cell r="A227" t="str">
            <v>LR</v>
          </cell>
        </row>
        <row r="228">
          <cell r="A228" t="str">
            <v>LR</v>
          </cell>
        </row>
        <row r="229">
          <cell r="A229" t="str">
            <v>LR</v>
          </cell>
        </row>
        <row r="230">
          <cell r="A230" t="str">
            <v>LR</v>
          </cell>
        </row>
        <row r="231">
          <cell r="A231" t="str">
            <v>LR</v>
          </cell>
        </row>
        <row r="232">
          <cell r="A232" t="str">
            <v>LR</v>
          </cell>
        </row>
        <row r="233">
          <cell r="A233" t="str">
            <v>LR</v>
          </cell>
        </row>
        <row r="234">
          <cell r="A234" t="str">
            <v>LR</v>
          </cell>
        </row>
        <row r="235">
          <cell r="A235" t="str">
            <v>LR</v>
          </cell>
        </row>
        <row r="236">
          <cell r="A236" t="str">
            <v>LR</v>
          </cell>
        </row>
        <row r="237">
          <cell r="A237" t="str">
            <v>LR</v>
          </cell>
        </row>
        <row r="238">
          <cell r="A238" t="str">
            <v>LR</v>
          </cell>
        </row>
        <row r="239">
          <cell r="A239" t="str">
            <v>LR</v>
          </cell>
        </row>
        <row r="240">
          <cell r="A240" t="str">
            <v>LR</v>
          </cell>
        </row>
        <row r="241">
          <cell r="A241" t="str">
            <v>LR</v>
          </cell>
        </row>
        <row r="242">
          <cell r="A242" t="str">
            <v>LR</v>
          </cell>
        </row>
        <row r="243">
          <cell r="A243" t="str">
            <v>LR</v>
          </cell>
        </row>
        <row r="244">
          <cell r="A244" t="str">
            <v>LR</v>
          </cell>
        </row>
        <row r="245">
          <cell r="A245" t="str">
            <v>LR</v>
          </cell>
        </row>
        <row r="246">
          <cell r="A246" t="str">
            <v>LR</v>
          </cell>
        </row>
        <row r="247">
          <cell r="A247" t="str">
            <v>LR</v>
          </cell>
        </row>
        <row r="248">
          <cell r="A248" t="str">
            <v>LR</v>
          </cell>
        </row>
        <row r="249">
          <cell r="A249" t="str">
            <v>LR</v>
          </cell>
        </row>
        <row r="250">
          <cell r="A250" t="str">
            <v>LR</v>
          </cell>
        </row>
        <row r="251">
          <cell r="A251" t="str">
            <v>LR</v>
          </cell>
        </row>
        <row r="252">
          <cell r="A252" t="str">
            <v>LR</v>
          </cell>
        </row>
        <row r="253">
          <cell r="A253" t="str">
            <v>LR</v>
          </cell>
        </row>
        <row r="254">
          <cell r="A254" t="str">
            <v>LR</v>
          </cell>
        </row>
        <row r="255">
          <cell r="A255" t="str">
            <v>LR</v>
          </cell>
        </row>
        <row r="256">
          <cell r="A256" t="str">
            <v>LR</v>
          </cell>
        </row>
        <row r="257">
          <cell r="A257" t="str">
            <v>LR</v>
          </cell>
        </row>
        <row r="258">
          <cell r="A258" t="str">
            <v>LR</v>
          </cell>
        </row>
        <row r="259">
          <cell r="A259" t="str">
            <v>LR</v>
          </cell>
        </row>
        <row r="260">
          <cell r="A260" t="str">
            <v>MO</v>
          </cell>
        </row>
        <row r="261">
          <cell r="A261" t="str">
            <v>MO</v>
          </cell>
        </row>
        <row r="262">
          <cell r="A262" t="str">
            <v>MO</v>
          </cell>
        </row>
        <row r="263">
          <cell r="A263" t="str">
            <v>MO</v>
          </cell>
        </row>
        <row r="264">
          <cell r="A264" t="str">
            <v>MO</v>
          </cell>
        </row>
        <row r="265">
          <cell r="A265" t="str">
            <v>MO</v>
          </cell>
        </row>
        <row r="266">
          <cell r="A266" t="str">
            <v>MO</v>
          </cell>
        </row>
        <row r="267">
          <cell r="A267" t="str">
            <v>MO</v>
          </cell>
        </row>
        <row r="268">
          <cell r="A268" t="str">
            <v>MO</v>
          </cell>
        </row>
        <row r="269">
          <cell r="A269" t="str">
            <v>MO</v>
          </cell>
        </row>
        <row r="270">
          <cell r="A270" t="str">
            <v>MO</v>
          </cell>
        </row>
        <row r="271">
          <cell r="A271" t="str">
            <v>MO</v>
          </cell>
        </row>
        <row r="272">
          <cell r="A272" t="str">
            <v>MO</v>
          </cell>
        </row>
        <row r="273">
          <cell r="A273" t="str">
            <v>MO</v>
          </cell>
        </row>
        <row r="274">
          <cell r="A274" t="str">
            <v>MO</v>
          </cell>
        </row>
        <row r="275">
          <cell r="A275" t="str">
            <v>MO</v>
          </cell>
        </row>
        <row r="276">
          <cell r="A276" t="str">
            <v>MY</v>
          </cell>
        </row>
        <row r="277">
          <cell r="A277" t="str">
            <v>MY</v>
          </cell>
        </row>
        <row r="278">
          <cell r="A278" t="str">
            <v>MY</v>
          </cell>
        </row>
        <row r="279">
          <cell r="A279" t="str">
            <v>MY</v>
          </cell>
        </row>
        <row r="280">
          <cell r="A280" t="str">
            <v>MY</v>
          </cell>
        </row>
        <row r="281">
          <cell r="A281" t="str">
            <v>MY</v>
          </cell>
        </row>
        <row r="282">
          <cell r="A282" t="str">
            <v>MY</v>
          </cell>
        </row>
        <row r="283">
          <cell r="A283" t="str">
            <v>PA</v>
          </cell>
        </row>
        <row r="284">
          <cell r="A284" t="str">
            <v>PA</v>
          </cell>
        </row>
        <row r="285">
          <cell r="A285" t="str">
            <v>PA</v>
          </cell>
        </row>
        <row r="286">
          <cell r="A286" t="str">
            <v>PA</v>
          </cell>
        </row>
        <row r="287">
          <cell r="A287" t="str">
            <v>PA</v>
          </cell>
        </row>
        <row r="288">
          <cell r="A288" t="str">
            <v>PA</v>
          </cell>
        </row>
        <row r="289">
          <cell r="A289" t="str">
            <v>PA</v>
          </cell>
        </row>
        <row r="290">
          <cell r="A290" t="str">
            <v>PA</v>
          </cell>
        </row>
        <row r="291">
          <cell r="A291" t="str">
            <v>PA</v>
          </cell>
        </row>
        <row r="292">
          <cell r="A292" t="str">
            <v>PA</v>
          </cell>
        </row>
        <row r="293">
          <cell r="A293" t="str">
            <v>PA</v>
          </cell>
        </row>
        <row r="294">
          <cell r="A294" t="str">
            <v>PA</v>
          </cell>
        </row>
        <row r="295">
          <cell r="A295" t="str">
            <v>PA</v>
          </cell>
        </row>
        <row r="296">
          <cell r="A296" t="str">
            <v>PA</v>
          </cell>
        </row>
        <row r="297">
          <cell r="A297" t="str">
            <v>PE</v>
          </cell>
        </row>
        <row r="298">
          <cell r="A298" t="str">
            <v>PE</v>
          </cell>
        </row>
        <row r="299">
          <cell r="A299" t="str">
            <v>PE</v>
          </cell>
        </row>
        <row r="300">
          <cell r="A300" t="str">
            <v>PE</v>
          </cell>
        </row>
        <row r="301">
          <cell r="A301" t="str">
            <v>PE</v>
          </cell>
        </row>
        <row r="302">
          <cell r="A302" t="str">
            <v>PE</v>
          </cell>
        </row>
        <row r="303">
          <cell r="A303" t="str">
            <v>PE</v>
          </cell>
        </row>
        <row r="304">
          <cell r="A304" t="str">
            <v>PE</v>
          </cell>
        </row>
        <row r="305">
          <cell r="A305" t="str">
            <v>PE</v>
          </cell>
        </row>
        <row r="306">
          <cell r="A306" t="str">
            <v>PE</v>
          </cell>
        </row>
        <row r="307">
          <cell r="A307" t="str">
            <v>PE</v>
          </cell>
        </row>
        <row r="308">
          <cell r="A308" t="str">
            <v>PE</v>
          </cell>
        </row>
        <row r="309">
          <cell r="A309" t="str">
            <v>PE</v>
          </cell>
        </row>
        <row r="310">
          <cell r="A310" t="str">
            <v>PE</v>
          </cell>
        </row>
        <row r="311">
          <cell r="A311" t="str">
            <v>PE</v>
          </cell>
        </row>
        <row r="312">
          <cell r="A312" t="str">
            <v>PE</v>
          </cell>
        </row>
        <row r="313">
          <cell r="A313" t="str">
            <v>PE</v>
          </cell>
        </row>
        <row r="314">
          <cell r="A314" t="str">
            <v>PE</v>
          </cell>
        </row>
        <row r="315">
          <cell r="A315" t="str">
            <v>PE</v>
          </cell>
        </row>
        <row r="316">
          <cell r="A316" t="str">
            <v>PE</v>
          </cell>
        </row>
        <row r="317">
          <cell r="A317" t="str">
            <v>PE</v>
          </cell>
        </row>
        <row r="318">
          <cell r="A318" t="str">
            <v>PE</v>
          </cell>
        </row>
        <row r="319">
          <cell r="A319" t="str">
            <v>PE</v>
          </cell>
        </row>
        <row r="320">
          <cell r="A320" t="str">
            <v>PE</v>
          </cell>
        </row>
        <row r="321">
          <cell r="A321" t="str">
            <v>PE</v>
          </cell>
        </row>
        <row r="322">
          <cell r="A322" t="str">
            <v>PE</v>
          </cell>
        </row>
        <row r="323">
          <cell r="A323" t="str">
            <v>PE</v>
          </cell>
        </row>
        <row r="324">
          <cell r="A324" t="str">
            <v>PE</v>
          </cell>
        </row>
        <row r="325">
          <cell r="A325" t="str">
            <v>PE</v>
          </cell>
        </row>
        <row r="326">
          <cell r="A326" t="str">
            <v>PE</v>
          </cell>
        </row>
        <row r="327">
          <cell r="A327" t="str">
            <v>PE</v>
          </cell>
        </row>
        <row r="328">
          <cell r="A328" t="str">
            <v>PE</v>
          </cell>
        </row>
        <row r="329">
          <cell r="A329" t="str">
            <v>PE</v>
          </cell>
        </row>
        <row r="330">
          <cell r="A330" t="str">
            <v>PI</v>
          </cell>
        </row>
        <row r="331">
          <cell r="A331" t="str">
            <v>PI</v>
          </cell>
        </row>
        <row r="332">
          <cell r="A332" t="str">
            <v>PI</v>
          </cell>
        </row>
        <row r="333">
          <cell r="A333" t="str">
            <v>PI</v>
          </cell>
        </row>
        <row r="334">
          <cell r="A334" t="str">
            <v>PI</v>
          </cell>
        </row>
        <row r="335">
          <cell r="A335" t="str">
            <v>PI</v>
          </cell>
        </row>
        <row r="336">
          <cell r="A336" t="str">
            <v>PI</v>
          </cell>
        </row>
        <row r="337">
          <cell r="A337" t="str">
            <v>PI</v>
          </cell>
        </row>
        <row r="338">
          <cell r="A338" t="str">
            <v>PI</v>
          </cell>
        </row>
        <row r="339">
          <cell r="A339" t="str">
            <v>PI</v>
          </cell>
        </row>
        <row r="340">
          <cell r="A340" t="str">
            <v>PI</v>
          </cell>
        </row>
        <row r="341">
          <cell r="A341" t="str">
            <v>PI</v>
          </cell>
        </row>
        <row r="342">
          <cell r="A342" t="str">
            <v>PI</v>
          </cell>
        </row>
        <row r="343">
          <cell r="A343" t="str">
            <v>PO</v>
          </cell>
        </row>
        <row r="344">
          <cell r="A344" t="str">
            <v>PO</v>
          </cell>
        </row>
        <row r="345">
          <cell r="A345" t="str">
            <v>PO</v>
          </cell>
        </row>
        <row r="346">
          <cell r="A346" t="str">
            <v>PO</v>
          </cell>
        </row>
        <row r="347">
          <cell r="A347" t="str">
            <v>PO</v>
          </cell>
        </row>
        <row r="348">
          <cell r="A348" t="str">
            <v>PO</v>
          </cell>
        </row>
        <row r="349">
          <cell r="A349" t="str">
            <v>PO</v>
          </cell>
        </row>
        <row r="350">
          <cell r="A350" t="str">
            <v>PO</v>
          </cell>
        </row>
        <row r="351">
          <cell r="A351" t="str">
            <v>PO</v>
          </cell>
        </row>
        <row r="352">
          <cell r="A352" t="str">
            <v>PO</v>
          </cell>
        </row>
        <row r="353">
          <cell r="A353" t="str">
            <v>PO</v>
          </cell>
        </row>
        <row r="354">
          <cell r="A354" t="str">
            <v>PO</v>
          </cell>
        </row>
        <row r="355">
          <cell r="A355" t="str">
            <v>PO</v>
          </cell>
        </row>
        <row r="356">
          <cell r="A356" t="str">
            <v>PO</v>
          </cell>
        </row>
        <row r="357">
          <cell r="A357" t="str">
            <v>PO</v>
          </cell>
        </row>
        <row r="358">
          <cell r="A358" t="str">
            <v>PO</v>
          </cell>
        </row>
        <row r="359">
          <cell r="A359" t="str">
            <v>PO</v>
          </cell>
        </row>
        <row r="360">
          <cell r="A360" t="str">
            <v>PO</v>
          </cell>
        </row>
        <row r="361">
          <cell r="A361" t="str">
            <v>PO</v>
          </cell>
        </row>
        <row r="362">
          <cell r="A362" t="str">
            <v>PO</v>
          </cell>
        </row>
        <row r="363">
          <cell r="A363" t="str">
            <v>PR</v>
          </cell>
        </row>
        <row r="364">
          <cell r="A364" t="str">
            <v>PR</v>
          </cell>
        </row>
        <row r="365">
          <cell r="A365" t="str">
            <v>PR</v>
          </cell>
        </row>
        <row r="366">
          <cell r="A366" t="str">
            <v>PR</v>
          </cell>
        </row>
        <row r="367">
          <cell r="A367" t="str">
            <v>PR</v>
          </cell>
        </row>
        <row r="368">
          <cell r="A368" t="str">
            <v>PR</v>
          </cell>
        </row>
        <row r="369">
          <cell r="A369" t="str">
            <v>PR</v>
          </cell>
        </row>
        <row r="370">
          <cell r="A370" t="str">
            <v>PR</v>
          </cell>
        </row>
        <row r="371">
          <cell r="A371" t="str">
            <v>PR</v>
          </cell>
        </row>
        <row r="372">
          <cell r="A372" t="str">
            <v>PR</v>
          </cell>
        </row>
        <row r="373">
          <cell r="A373" t="str">
            <v>PR</v>
          </cell>
        </row>
        <row r="374">
          <cell r="A374" t="str">
            <v>PR</v>
          </cell>
        </row>
        <row r="375">
          <cell r="A375" t="str">
            <v>PR</v>
          </cell>
        </row>
        <row r="376">
          <cell r="A376" t="str">
            <v>PR</v>
          </cell>
        </row>
        <row r="377">
          <cell r="A377" t="str">
            <v>PR</v>
          </cell>
        </row>
        <row r="378">
          <cell r="A378" t="str">
            <v>PR</v>
          </cell>
        </row>
        <row r="379">
          <cell r="A379" t="str">
            <v>PR</v>
          </cell>
        </row>
        <row r="380">
          <cell r="A380" t="str">
            <v>PR</v>
          </cell>
        </row>
        <row r="381">
          <cell r="A381" t="str">
            <v>PR</v>
          </cell>
        </row>
        <row r="382">
          <cell r="A382" t="str">
            <v>PR</v>
          </cell>
        </row>
        <row r="383">
          <cell r="A383" t="str">
            <v>PR</v>
          </cell>
        </row>
        <row r="384">
          <cell r="A384" t="str">
            <v>PR</v>
          </cell>
        </row>
        <row r="385">
          <cell r="A385" t="str">
            <v>PR</v>
          </cell>
        </row>
        <row r="386">
          <cell r="A386" t="str">
            <v>PR</v>
          </cell>
        </row>
        <row r="387">
          <cell r="A387" t="str">
            <v>PR</v>
          </cell>
        </row>
        <row r="388">
          <cell r="A388" t="str">
            <v>PS</v>
          </cell>
        </row>
        <row r="389">
          <cell r="A389" t="str">
            <v>PS</v>
          </cell>
        </row>
        <row r="390">
          <cell r="A390" t="str">
            <v>PS</v>
          </cell>
        </row>
        <row r="391">
          <cell r="A391" t="str">
            <v>PS</v>
          </cell>
        </row>
        <row r="392">
          <cell r="A392" t="str">
            <v>PS</v>
          </cell>
        </row>
        <row r="393">
          <cell r="A393" t="str">
            <v>PS</v>
          </cell>
        </row>
        <row r="394">
          <cell r="A394" t="str">
            <v>PS</v>
          </cell>
        </row>
        <row r="395">
          <cell r="A395" t="str">
            <v>PS</v>
          </cell>
        </row>
        <row r="396">
          <cell r="A396" t="str">
            <v>PS</v>
          </cell>
        </row>
        <row r="397">
          <cell r="A397" t="str">
            <v>PS</v>
          </cell>
        </row>
        <row r="398">
          <cell r="A398" t="str">
            <v>PS</v>
          </cell>
        </row>
        <row r="399">
          <cell r="A399" t="str">
            <v>PS</v>
          </cell>
        </row>
        <row r="400">
          <cell r="A400" t="str">
            <v>PS</v>
          </cell>
        </row>
        <row r="401">
          <cell r="A401" t="str">
            <v>PS</v>
          </cell>
        </row>
        <row r="402">
          <cell r="A402" t="str">
            <v>PS</v>
          </cell>
        </row>
        <row r="403">
          <cell r="A403" t="str">
            <v>PS</v>
          </cell>
        </row>
        <row r="404">
          <cell r="A404" t="str">
            <v>PS</v>
          </cell>
        </row>
        <row r="405">
          <cell r="A405" t="str">
            <v>PS</v>
          </cell>
        </row>
        <row r="406">
          <cell r="A406" t="str">
            <v>PS</v>
          </cell>
        </row>
        <row r="408">
          <cell r="A408" t="str">
            <v>PS</v>
          </cell>
        </row>
        <row r="409">
          <cell r="A409" t="str">
            <v>PS</v>
          </cell>
        </row>
        <row r="410">
          <cell r="A410" t="str">
            <v>PS</v>
          </cell>
        </row>
        <row r="411">
          <cell r="A411" t="str">
            <v>PS</v>
          </cell>
        </row>
        <row r="412">
          <cell r="A412" t="str">
            <v>PS</v>
          </cell>
        </row>
        <row r="413">
          <cell r="A413" t="str">
            <v>PS</v>
          </cell>
        </row>
        <row r="414">
          <cell r="A414" t="str">
            <v>PS</v>
          </cell>
        </row>
        <row r="415">
          <cell r="A415" t="str">
            <v>PS</v>
          </cell>
        </row>
        <row r="416">
          <cell r="A416" t="str">
            <v>PS</v>
          </cell>
        </row>
        <row r="417">
          <cell r="A417" t="str">
            <v>RE</v>
          </cell>
        </row>
        <row r="418">
          <cell r="A418" t="str">
            <v>RE</v>
          </cell>
        </row>
        <row r="420">
          <cell r="A420" t="str">
            <v>RE</v>
          </cell>
        </row>
        <row r="421">
          <cell r="A421" t="str">
            <v>RE</v>
          </cell>
        </row>
        <row r="422">
          <cell r="A422" t="str">
            <v>RE</v>
          </cell>
        </row>
        <row r="423">
          <cell r="A423" t="str">
            <v>RE</v>
          </cell>
        </row>
        <row r="424">
          <cell r="A424" t="str">
            <v>RE</v>
          </cell>
        </row>
        <row r="425">
          <cell r="A425" t="str">
            <v>RE</v>
          </cell>
        </row>
        <row r="426">
          <cell r="A426" t="str">
            <v>RE</v>
          </cell>
        </row>
        <row r="427">
          <cell r="A427" t="str">
            <v>RE</v>
          </cell>
        </row>
        <row r="428">
          <cell r="A428" t="str">
            <v>RE</v>
          </cell>
        </row>
        <row r="429">
          <cell r="A429" t="str">
            <v>RE</v>
          </cell>
        </row>
        <row r="430">
          <cell r="A430" t="str">
            <v>RE</v>
          </cell>
        </row>
        <row r="431">
          <cell r="A431" t="str">
            <v>RE</v>
          </cell>
        </row>
        <row r="432">
          <cell r="A432" t="str">
            <v>RI</v>
          </cell>
        </row>
        <row r="433">
          <cell r="A433" t="str">
            <v>RI</v>
          </cell>
        </row>
        <row r="434">
          <cell r="A434" t="str">
            <v>RI</v>
          </cell>
        </row>
        <row r="435">
          <cell r="A435" t="str">
            <v>RI</v>
          </cell>
        </row>
        <row r="436">
          <cell r="A436" t="str">
            <v>RI</v>
          </cell>
        </row>
        <row r="437">
          <cell r="A437" t="str">
            <v>RI</v>
          </cell>
        </row>
        <row r="438">
          <cell r="A438" t="str">
            <v>RI</v>
          </cell>
        </row>
        <row r="439">
          <cell r="A439" t="str">
            <v>RI</v>
          </cell>
        </row>
        <row r="440">
          <cell r="A440" t="str">
            <v>RI</v>
          </cell>
        </row>
        <row r="441">
          <cell r="A441" t="str">
            <v>RI</v>
          </cell>
        </row>
        <row r="442">
          <cell r="A442" t="str">
            <v>RI</v>
          </cell>
        </row>
        <row r="443">
          <cell r="A443" t="str">
            <v>RI</v>
          </cell>
        </row>
        <row r="444">
          <cell r="A444" t="str">
            <v>RI</v>
          </cell>
        </row>
        <row r="445">
          <cell r="A445" t="str">
            <v>RI</v>
          </cell>
        </row>
        <row r="446">
          <cell r="A446" t="str">
            <v>RI</v>
          </cell>
        </row>
        <row r="447">
          <cell r="A447" t="str">
            <v>RI</v>
          </cell>
        </row>
        <row r="448">
          <cell r="A448" t="str">
            <v>RI</v>
          </cell>
        </row>
        <row r="449">
          <cell r="A449" t="str">
            <v>RI</v>
          </cell>
        </row>
        <row r="450">
          <cell r="A450" t="str">
            <v>RI</v>
          </cell>
        </row>
        <row r="451">
          <cell r="A451" t="str">
            <v>RI</v>
          </cell>
        </row>
        <row r="452">
          <cell r="A452" t="str">
            <v>RI</v>
          </cell>
        </row>
        <row r="453">
          <cell r="A453" t="str">
            <v>RI</v>
          </cell>
        </row>
        <row r="454">
          <cell r="A454" t="str">
            <v>RI</v>
          </cell>
        </row>
        <row r="455">
          <cell r="A455" t="str">
            <v>RI</v>
          </cell>
        </row>
        <row r="456">
          <cell r="A456" t="str">
            <v>RI</v>
          </cell>
        </row>
        <row r="457">
          <cell r="A457" t="str">
            <v>RI</v>
          </cell>
        </row>
        <row r="458">
          <cell r="A458" t="str">
            <v>RI</v>
          </cell>
        </row>
        <row r="459">
          <cell r="A459" t="str">
            <v>RI</v>
          </cell>
        </row>
        <row r="460">
          <cell r="A460" t="str">
            <v>RI</v>
          </cell>
        </row>
        <row r="461">
          <cell r="A461" t="str">
            <v>RI</v>
          </cell>
        </row>
        <row r="462">
          <cell r="A462" t="str">
            <v>RI</v>
          </cell>
        </row>
        <row r="463">
          <cell r="A463" t="str">
            <v>RI</v>
          </cell>
        </row>
        <row r="464">
          <cell r="A464" t="str">
            <v>RI</v>
          </cell>
        </row>
        <row r="465">
          <cell r="A465" t="str">
            <v>RI</v>
          </cell>
        </row>
        <row r="466">
          <cell r="A466" t="str">
            <v>RI</v>
          </cell>
        </row>
        <row r="467">
          <cell r="A467" t="str">
            <v>RI</v>
          </cell>
        </row>
        <row r="468">
          <cell r="A468" t="str">
            <v>RI</v>
          </cell>
        </row>
        <row r="469">
          <cell r="A469" t="str">
            <v>RI</v>
          </cell>
        </row>
        <row r="470">
          <cell r="A470" t="str">
            <v>RI</v>
          </cell>
        </row>
        <row r="471">
          <cell r="A471" t="str">
            <v>RI</v>
          </cell>
        </row>
        <row r="472">
          <cell r="A472" t="str">
            <v>RI</v>
          </cell>
        </row>
        <row r="473">
          <cell r="A473" t="str">
            <v>RI</v>
          </cell>
        </row>
        <row r="474">
          <cell r="A474" t="str">
            <v>RO</v>
          </cell>
        </row>
        <row r="475">
          <cell r="A475" t="str">
            <v>RO</v>
          </cell>
        </row>
        <row r="476">
          <cell r="A476" t="str">
            <v>RO</v>
          </cell>
        </row>
        <row r="477">
          <cell r="A477" t="str">
            <v>RO</v>
          </cell>
        </row>
        <row r="478">
          <cell r="A478" t="str">
            <v>RO</v>
          </cell>
        </row>
        <row r="479">
          <cell r="A479" t="str">
            <v>RO</v>
          </cell>
        </row>
        <row r="480">
          <cell r="A480" t="str">
            <v>RO</v>
          </cell>
        </row>
        <row r="481">
          <cell r="A481" t="str">
            <v>RO</v>
          </cell>
        </row>
        <row r="482">
          <cell r="A482" t="str">
            <v>RO</v>
          </cell>
        </row>
        <row r="483">
          <cell r="A483" t="str">
            <v>RO</v>
          </cell>
        </row>
        <row r="484">
          <cell r="A484" t="str">
            <v>RO</v>
          </cell>
        </row>
        <row r="485">
          <cell r="A485" t="str">
            <v>RO</v>
          </cell>
        </row>
        <row r="486">
          <cell r="A486" t="str">
            <v>RO</v>
          </cell>
        </row>
        <row r="487">
          <cell r="A487" t="str">
            <v>RO</v>
          </cell>
        </row>
        <row r="488">
          <cell r="A488" t="str">
            <v>RO</v>
          </cell>
        </row>
        <row r="489">
          <cell r="A489" t="str">
            <v>RO</v>
          </cell>
        </row>
        <row r="490">
          <cell r="A490" t="str">
            <v>SE</v>
          </cell>
        </row>
        <row r="491">
          <cell r="A491" t="str">
            <v>SE</v>
          </cell>
        </row>
        <row r="492">
          <cell r="A492" t="str">
            <v>SE</v>
          </cell>
        </row>
        <row r="493">
          <cell r="A493" t="str">
            <v>SE</v>
          </cell>
        </row>
        <row r="494">
          <cell r="A494" t="str">
            <v>SE</v>
          </cell>
        </row>
        <row r="495">
          <cell r="A495" t="str">
            <v>SE</v>
          </cell>
        </row>
        <row r="496">
          <cell r="A496" t="str">
            <v>SE</v>
          </cell>
        </row>
        <row r="498">
          <cell r="A498" t="str">
            <v>SE</v>
          </cell>
        </row>
        <row r="499">
          <cell r="A499" t="str">
            <v>SE</v>
          </cell>
        </row>
        <row r="500">
          <cell r="A500" t="str">
            <v>SE</v>
          </cell>
        </row>
        <row r="501">
          <cell r="A501" t="str">
            <v>SE</v>
          </cell>
        </row>
        <row r="502">
          <cell r="A502" t="str">
            <v>SE</v>
          </cell>
        </row>
        <row r="503">
          <cell r="A503" t="str">
            <v>SE</v>
          </cell>
        </row>
        <row r="504">
          <cell r="A504" t="str">
            <v>SE</v>
          </cell>
        </row>
        <row r="505">
          <cell r="A505" t="str">
            <v>SO</v>
          </cell>
        </row>
        <row r="506">
          <cell r="A506" t="str">
            <v>SO</v>
          </cell>
        </row>
        <row r="507">
          <cell r="A507" t="str">
            <v>SO</v>
          </cell>
        </row>
        <row r="508">
          <cell r="A508" t="str">
            <v>SO</v>
          </cell>
        </row>
        <row r="509">
          <cell r="A509" t="str">
            <v>SO</v>
          </cell>
        </row>
        <row r="510">
          <cell r="A510" t="str">
            <v>SO</v>
          </cell>
        </row>
        <row r="511">
          <cell r="A511" t="str">
            <v>SO</v>
          </cell>
        </row>
        <row r="512">
          <cell r="A512" t="str">
            <v>SO</v>
          </cell>
        </row>
        <row r="513">
          <cell r="A513" t="str">
            <v>SO</v>
          </cell>
        </row>
        <row r="514">
          <cell r="A514" t="str">
            <v>SO</v>
          </cell>
        </row>
        <row r="515">
          <cell r="A515" t="str">
            <v>SO</v>
          </cell>
        </row>
        <row r="516">
          <cell r="A516" t="str">
            <v>SO</v>
          </cell>
        </row>
        <row r="517">
          <cell r="A517" t="str">
            <v>SO</v>
          </cell>
        </row>
        <row r="518">
          <cell r="A518" t="str">
            <v>SO</v>
          </cell>
        </row>
        <row r="519">
          <cell r="A519" t="str">
            <v>SO</v>
          </cell>
        </row>
        <row r="520">
          <cell r="A520" t="str">
            <v>SO</v>
          </cell>
        </row>
        <row r="521">
          <cell r="A521" t="str">
            <v>SO</v>
          </cell>
        </row>
        <row r="522">
          <cell r="A522" t="str">
            <v>SO</v>
          </cell>
        </row>
        <row r="523">
          <cell r="A523" t="str">
            <v>SO</v>
          </cell>
        </row>
        <row r="524">
          <cell r="A524" t="str">
            <v>SO</v>
          </cell>
        </row>
        <row r="525">
          <cell r="A525" t="str">
            <v>SR</v>
          </cell>
        </row>
        <row r="526">
          <cell r="A526" t="str">
            <v>SR</v>
          </cell>
        </row>
        <row r="527">
          <cell r="A527" t="str">
            <v>SR</v>
          </cell>
        </row>
        <row r="528">
          <cell r="A528" t="str">
            <v>SR</v>
          </cell>
        </row>
        <row r="529">
          <cell r="A529" t="str">
            <v>SR</v>
          </cell>
        </row>
        <row r="530">
          <cell r="A530" t="str">
            <v>SR</v>
          </cell>
        </row>
        <row r="531">
          <cell r="A531" t="str">
            <v>SR</v>
          </cell>
        </row>
        <row r="532">
          <cell r="A532" t="str">
            <v>SR</v>
          </cell>
        </row>
        <row r="533">
          <cell r="A533" t="str">
            <v>SR</v>
          </cell>
        </row>
        <row r="534">
          <cell r="A534" t="str">
            <v>SR</v>
          </cell>
        </row>
        <row r="535">
          <cell r="A535" t="str">
            <v>SR</v>
          </cell>
        </row>
        <row r="536">
          <cell r="A536" t="str">
            <v>SR</v>
          </cell>
        </row>
        <row r="537">
          <cell r="A537" t="str">
            <v>SR</v>
          </cell>
        </row>
        <row r="538">
          <cell r="A538" t="str">
            <v>ST</v>
          </cell>
        </row>
        <row r="539">
          <cell r="A539" t="str">
            <v>ST</v>
          </cell>
        </row>
        <row r="540">
          <cell r="A540" t="str">
            <v>ST</v>
          </cell>
        </row>
        <row r="541">
          <cell r="A541" t="str">
            <v>ST</v>
          </cell>
        </row>
        <row r="542">
          <cell r="A542" t="str">
            <v>ST</v>
          </cell>
        </row>
        <row r="543">
          <cell r="A543" t="str">
            <v>ST</v>
          </cell>
        </row>
        <row r="544">
          <cell r="A544" t="str">
            <v>ST</v>
          </cell>
        </row>
        <row r="545">
          <cell r="A545" t="str">
            <v>ST</v>
          </cell>
        </row>
        <row r="547">
          <cell r="A547" t="str">
            <v>ST</v>
          </cell>
        </row>
        <row r="548">
          <cell r="A548" t="str">
            <v>ST</v>
          </cell>
        </row>
        <row r="549">
          <cell r="A549" t="str">
            <v>ST</v>
          </cell>
        </row>
        <row r="550">
          <cell r="A550" t="str">
            <v>ST</v>
          </cell>
        </row>
        <row r="551">
          <cell r="A551" t="str">
            <v>ST</v>
          </cell>
        </row>
        <row r="552">
          <cell r="A552" t="str">
            <v>ST</v>
          </cell>
        </row>
        <row r="553">
          <cell r="A553" t="str">
            <v>ST</v>
          </cell>
        </row>
        <row r="554">
          <cell r="A554" t="str">
            <v>ST</v>
          </cell>
        </row>
        <row r="555">
          <cell r="A555" t="str">
            <v>ST</v>
          </cell>
        </row>
        <row r="556">
          <cell r="A556" t="str">
            <v>ST</v>
          </cell>
        </row>
        <row r="557">
          <cell r="A557" t="str">
            <v>ST</v>
          </cell>
        </row>
        <row r="558">
          <cell r="A558" t="str">
            <v>ST</v>
          </cell>
        </row>
        <row r="559">
          <cell r="A559" t="str">
            <v>ST</v>
          </cell>
        </row>
        <row r="560">
          <cell r="A560" t="str">
            <v>ST</v>
          </cell>
        </row>
        <row r="561">
          <cell r="A561" t="str">
            <v>ST</v>
          </cell>
        </row>
        <row r="562">
          <cell r="A562" t="str">
            <v>ST</v>
          </cell>
        </row>
        <row r="563">
          <cell r="A563" t="str">
            <v>ST</v>
          </cell>
        </row>
        <row r="564">
          <cell r="A564" t="str">
            <v>SU</v>
          </cell>
        </row>
        <row r="565">
          <cell r="A565" t="str">
            <v>SU</v>
          </cell>
        </row>
        <row r="566">
          <cell r="A566" t="str">
            <v>SU</v>
          </cell>
        </row>
        <row r="567">
          <cell r="A567" t="str">
            <v>SU</v>
          </cell>
        </row>
        <row r="568">
          <cell r="A568" t="str">
            <v>SU</v>
          </cell>
        </row>
        <row r="569">
          <cell r="A569" t="str">
            <v>SU</v>
          </cell>
        </row>
        <row r="570">
          <cell r="A570" t="str">
            <v>SU</v>
          </cell>
        </row>
        <row r="571">
          <cell r="A571" t="str">
            <v>SU</v>
          </cell>
        </row>
        <row r="572">
          <cell r="A572" t="str">
            <v>SU</v>
          </cell>
        </row>
        <row r="573">
          <cell r="A573" t="str">
            <v>SU</v>
          </cell>
        </row>
        <row r="574">
          <cell r="A574" t="str">
            <v>SU</v>
          </cell>
        </row>
        <row r="575">
          <cell r="A575" t="str">
            <v>SU</v>
          </cell>
        </row>
        <row r="576">
          <cell r="A576" t="str">
            <v>SU</v>
          </cell>
        </row>
        <row r="577">
          <cell r="A577" t="str">
            <v>SU</v>
          </cell>
        </row>
        <row r="578">
          <cell r="A578" t="str">
            <v>SU</v>
          </cell>
        </row>
        <row r="579">
          <cell r="A579" t="str">
            <v>SU</v>
          </cell>
        </row>
        <row r="580">
          <cell r="A580" t="str">
            <v>SU</v>
          </cell>
        </row>
        <row r="581">
          <cell r="A581" t="str">
            <v>SU</v>
          </cell>
        </row>
        <row r="582">
          <cell r="A582" t="str">
            <v>SU</v>
          </cell>
        </row>
        <row r="583">
          <cell r="A583" t="str">
            <v>SU</v>
          </cell>
        </row>
        <row r="584">
          <cell r="A584" t="str">
            <v>SU</v>
          </cell>
        </row>
        <row r="585">
          <cell r="A585" t="str">
            <v>SW</v>
          </cell>
        </row>
        <row r="586">
          <cell r="A586" t="str">
            <v>SW</v>
          </cell>
        </row>
        <row r="587">
          <cell r="A587" t="str">
            <v>SW</v>
          </cell>
        </row>
        <row r="588">
          <cell r="A588" t="str">
            <v>SW</v>
          </cell>
        </row>
        <row r="589">
          <cell r="A589" t="str">
            <v>SW</v>
          </cell>
        </row>
        <row r="590">
          <cell r="A590" t="str">
            <v>SW</v>
          </cell>
        </row>
        <row r="591">
          <cell r="A591" t="str">
            <v>SW</v>
          </cell>
        </row>
        <row r="592">
          <cell r="A592" t="str">
            <v>SW</v>
          </cell>
        </row>
        <row r="593">
          <cell r="A593" t="str">
            <v>SW</v>
          </cell>
        </row>
        <row r="594">
          <cell r="A594" t="str">
            <v>TM</v>
          </cell>
        </row>
        <row r="596">
          <cell r="A596" t="str">
            <v>TM</v>
          </cell>
        </row>
        <row r="597">
          <cell r="A597" t="str">
            <v>TM</v>
          </cell>
        </row>
        <row r="598">
          <cell r="A598" t="str">
            <v>TM</v>
          </cell>
        </row>
        <row r="599">
          <cell r="A599" t="str">
            <v>TM</v>
          </cell>
        </row>
        <row r="600">
          <cell r="A600" t="str">
            <v>TM</v>
          </cell>
        </row>
        <row r="601">
          <cell r="A601" t="str">
            <v>TM</v>
          </cell>
        </row>
        <row r="602">
          <cell r="A602" t="str">
            <v>TR</v>
          </cell>
        </row>
        <row r="603">
          <cell r="A603" t="str">
            <v>TR</v>
          </cell>
        </row>
        <row r="604">
          <cell r="A604" t="str">
            <v>TR</v>
          </cell>
        </row>
        <row r="605">
          <cell r="A605" t="str">
            <v>TR</v>
          </cell>
        </row>
        <row r="606">
          <cell r="A606" t="str">
            <v>TR</v>
          </cell>
        </row>
        <row r="607">
          <cell r="A607" t="str">
            <v>TR</v>
          </cell>
        </row>
        <row r="608">
          <cell r="A608" t="str">
            <v>TR</v>
          </cell>
        </row>
        <row r="609">
          <cell r="A609" t="str">
            <v>WE</v>
          </cell>
        </row>
        <row r="610">
          <cell r="A610" t="str">
            <v>WE</v>
          </cell>
        </row>
        <row r="611">
          <cell r="A611" t="str">
            <v>WE</v>
          </cell>
        </row>
        <row r="612">
          <cell r="A612" t="str">
            <v>WE</v>
          </cell>
        </row>
        <row r="613">
          <cell r="A613" t="str">
            <v>WI</v>
          </cell>
        </row>
        <row r="614">
          <cell r="A614" t="str">
            <v>WI</v>
          </cell>
        </row>
        <row r="615">
          <cell r="A615" t="str">
            <v>WI</v>
          </cell>
        </row>
        <row r="616">
          <cell r="A616" t="str">
            <v>WI</v>
          </cell>
        </row>
        <row r="617">
          <cell r="A617" t="str">
            <v>WI</v>
          </cell>
        </row>
        <row r="618">
          <cell r="A618" t="str">
            <v>WI</v>
          </cell>
        </row>
        <row r="619">
          <cell r="A619" t="str">
            <v>WI</v>
          </cell>
        </row>
        <row r="620">
          <cell r="A620" t="str">
            <v>WI</v>
          </cell>
        </row>
        <row r="621">
          <cell r="A621" t="str">
            <v>WI</v>
          </cell>
        </row>
        <row r="623">
          <cell r="A623" t="str">
            <v>WI</v>
          </cell>
        </row>
        <row r="624">
          <cell r="A624" t="str">
            <v>WI</v>
          </cell>
        </row>
        <row r="625">
          <cell r="A625" t="str">
            <v>WI</v>
          </cell>
        </row>
        <row r="626">
          <cell r="A626" t="str">
            <v>WI</v>
          </cell>
        </row>
        <row r="627">
          <cell r="A627" t="str">
            <v>WI</v>
          </cell>
        </row>
        <row r="628">
          <cell r="A628" t="str">
            <v>WI</v>
          </cell>
        </row>
        <row r="629">
          <cell r="A629" t="str">
            <v>WI</v>
          </cell>
        </row>
        <row r="630">
          <cell r="A630" t="str">
            <v>WI</v>
          </cell>
        </row>
        <row r="631">
          <cell r="A631" t="str">
            <v>WI</v>
          </cell>
        </row>
        <row r="632">
          <cell r="A632" t="str">
            <v>WI</v>
          </cell>
        </row>
        <row r="633">
          <cell r="A633" t="str">
            <v>WI</v>
          </cell>
        </row>
        <row r="634">
          <cell r="A634" t="str">
            <v>WI</v>
          </cell>
        </row>
        <row r="635">
          <cell r="A635" t="str">
            <v>WI</v>
          </cell>
        </row>
        <row r="636">
          <cell r="A636" t="str">
            <v>WI</v>
          </cell>
        </row>
        <row r="637">
          <cell r="A637" t="str">
            <v>WI</v>
          </cell>
        </row>
        <row r="638">
          <cell r="A638" t="str">
            <v>WI</v>
          </cell>
        </row>
        <row r="639">
          <cell r="A639" t="str">
            <v>WI</v>
          </cell>
        </row>
        <row r="640">
          <cell r="A640" t="str">
            <v>WI</v>
          </cell>
        </row>
        <row r="641">
          <cell r="A641" t="str">
            <v>WI</v>
          </cell>
        </row>
        <row r="642">
          <cell r="A642" t="str">
            <v>WI</v>
          </cell>
        </row>
        <row r="643">
          <cell r="A643" t="str">
            <v>WI</v>
          </cell>
        </row>
        <row r="644">
          <cell r="A644" t="str">
            <v>WI</v>
          </cell>
        </row>
        <row r="646">
          <cell r="A646" t="str">
            <v>WI</v>
          </cell>
        </row>
        <row r="647">
          <cell r="A647" t="str">
            <v>WI</v>
          </cell>
        </row>
        <row r="648">
          <cell r="A648" t="str">
            <v>WI</v>
          </cell>
        </row>
        <row r="649">
          <cell r="A649" t="str">
            <v>WI</v>
          </cell>
        </row>
        <row r="650">
          <cell r="A650" t="str">
            <v>WI</v>
          </cell>
        </row>
        <row r="651">
          <cell r="A651" t="str">
            <v>WI</v>
          </cell>
        </row>
        <row r="652">
          <cell r="A652" t="str">
            <v>WI</v>
          </cell>
        </row>
        <row r="653">
          <cell r="A653" t="str">
            <v>WI</v>
          </cell>
        </row>
        <row r="654">
          <cell r="A654" t="str">
            <v>WI</v>
          </cell>
        </row>
        <row r="655">
          <cell r="A655" t="str">
            <v>WI</v>
          </cell>
        </row>
        <row r="656">
          <cell r="A656" t="str">
            <v>WI</v>
          </cell>
        </row>
        <row r="657">
          <cell r="A657" t="str">
            <v>WI</v>
          </cell>
        </row>
        <row r="658">
          <cell r="A658" t="str">
            <v>WI</v>
          </cell>
        </row>
        <row r="659">
          <cell r="A659" t="str">
            <v>WI</v>
          </cell>
        </row>
        <row r="661">
          <cell r="A661" t="str">
            <v>WI</v>
          </cell>
        </row>
        <row r="662">
          <cell r="A662" t="str">
            <v>WI</v>
          </cell>
        </row>
        <row r="663">
          <cell r="A663" t="str">
            <v>WI</v>
          </cell>
        </row>
        <row r="664">
          <cell r="A664" t="str">
            <v>WI</v>
          </cell>
        </row>
        <row r="665">
          <cell r="A665" t="str">
            <v>WI</v>
          </cell>
        </row>
        <row r="666">
          <cell r="A666" t="str">
            <v>WI</v>
          </cell>
        </row>
        <row r="667">
          <cell r="A667" t="str">
            <v>WI</v>
          </cell>
        </row>
        <row r="668">
          <cell r="A668" t="str">
            <v>WI</v>
          </cell>
        </row>
        <row r="669">
          <cell r="A669" t="str">
            <v>WI</v>
          </cell>
        </row>
        <row r="670">
          <cell r="A670" t="str">
            <v>WI</v>
          </cell>
        </row>
        <row r="671">
          <cell r="A671" t="str">
            <v>WI</v>
          </cell>
        </row>
        <row r="672">
          <cell r="A672" t="str">
            <v>WI</v>
          </cell>
        </row>
        <row r="673">
          <cell r="A673" t="str">
            <v>WI</v>
          </cell>
        </row>
        <row r="674">
          <cell r="A674" t="str">
            <v>WI</v>
          </cell>
        </row>
        <row r="675">
          <cell r="A675" t="str">
            <v>WI</v>
          </cell>
        </row>
        <row r="676">
          <cell r="A676" t="str">
            <v>WI</v>
          </cell>
        </row>
        <row r="677">
          <cell r="A677" t="str">
            <v>WI</v>
          </cell>
        </row>
        <row r="678">
          <cell r="A678" t="str">
            <v>WI</v>
          </cell>
        </row>
        <row r="679">
          <cell r="A679" t="str">
            <v>WI</v>
          </cell>
        </row>
        <row r="680">
          <cell r="A680" t="str">
            <v>WI</v>
          </cell>
        </row>
        <row r="681">
          <cell r="A681" t="str">
            <v>WI</v>
          </cell>
        </row>
        <row r="682">
          <cell r="A682" t="str">
            <v>WI</v>
          </cell>
        </row>
        <row r="683">
          <cell r="A683" t="str">
            <v>WI</v>
          </cell>
        </row>
        <row r="684">
          <cell r="A684" t="str">
            <v>WI</v>
          </cell>
        </row>
        <row r="685">
          <cell r="A685" t="str">
            <v>WI</v>
          </cell>
        </row>
        <row r="686">
          <cell r="A686" t="str">
            <v>WI</v>
          </cell>
        </row>
        <row r="687">
          <cell r="A687" t="str">
            <v>WI</v>
          </cell>
        </row>
        <row r="688">
          <cell r="A688" t="str">
            <v>WI</v>
          </cell>
        </row>
        <row r="689">
          <cell r="A689" t="str">
            <v>WI</v>
          </cell>
        </row>
        <row r="690">
          <cell r="A690" t="str">
            <v>WI</v>
          </cell>
        </row>
        <row r="691">
          <cell r="A691" t="str">
            <v>WI</v>
          </cell>
        </row>
        <row r="692">
          <cell r="A692" t="str">
            <v>XW</v>
          </cell>
        </row>
        <row r="693">
          <cell r="A693" t="str">
            <v>XW</v>
          </cell>
        </row>
        <row r="694">
          <cell r="A694" t="str">
            <v>FR</v>
          </cell>
        </row>
      </sheetData>
      <sheetData sheetId="2"/>
      <sheetData sheetId="3"/>
      <sheetData sheetId="4"/>
      <sheetData sheetId="5"/>
      <sheetData sheetId="6"/>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ROL"/>
      <sheetName val="115A 2nd Semester"/>
      <sheetName val="DATA"/>
      <sheetName val="FB115A_Feb"/>
    </sheetNames>
    <sheetDataSet>
      <sheetData sheetId="0" refreshError="1"/>
      <sheetData sheetId="1" refreshError="1"/>
      <sheetData sheetId="2">
        <row r="1">
          <cell r="B1">
            <v>1</v>
          </cell>
          <cell r="D1" t="str">
            <v>Press arrow for your School Division Name -&gt;</v>
          </cell>
        </row>
        <row r="2">
          <cell r="D2" t="str">
            <v>BEAUTIFUL PLAINS</v>
          </cell>
        </row>
        <row r="3">
          <cell r="D3" t="str">
            <v>BORDER LAND</v>
          </cell>
        </row>
        <row r="4">
          <cell r="D4" t="str">
            <v>BRANDON</v>
          </cell>
        </row>
        <row r="5">
          <cell r="D5" t="str">
            <v>EVERGREEN</v>
          </cell>
        </row>
        <row r="6">
          <cell r="D6" t="str">
            <v>FLIN FLON</v>
          </cell>
        </row>
        <row r="7">
          <cell r="D7" t="str">
            <v>FORT LA BOSSE</v>
          </cell>
        </row>
        <row r="8">
          <cell r="D8" t="str">
            <v>FRONTIER</v>
          </cell>
        </row>
        <row r="9">
          <cell r="D9" t="str">
            <v>GARDEN VALLEY</v>
          </cell>
        </row>
        <row r="10">
          <cell r="D10" t="str">
            <v>HANOVER</v>
          </cell>
        </row>
        <row r="11">
          <cell r="D11" t="str">
            <v>INTERLAKE</v>
          </cell>
        </row>
        <row r="12">
          <cell r="D12" t="str">
            <v>KELSEY</v>
          </cell>
        </row>
        <row r="13">
          <cell r="D13" t="str">
            <v>LAKESHORE</v>
          </cell>
        </row>
        <row r="14">
          <cell r="D14" t="str">
            <v>LORD SELKIRK</v>
          </cell>
        </row>
        <row r="15">
          <cell r="D15" t="str">
            <v>LOUIS RIEL</v>
          </cell>
        </row>
        <row r="16">
          <cell r="D16" t="str">
            <v>MOUNTAIN VIEW</v>
          </cell>
        </row>
        <row r="17">
          <cell r="D17" t="str">
            <v>MYSTERY LAKE</v>
          </cell>
        </row>
        <row r="18">
          <cell r="D18" t="str">
            <v>PARK WEST</v>
          </cell>
        </row>
        <row r="19">
          <cell r="D19" t="str">
            <v>PEMBINA TRAILS</v>
          </cell>
        </row>
        <row r="20">
          <cell r="D20" t="str">
            <v>PINE CREEK</v>
          </cell>
        </row>
        <row r="21">
          <cell r="D21" t="str">
            <v>PINE FALLS</v>
          </cell>
        </row>
        <row r="22">
          <cell r="D22" t="str">
            <v>PORTAGE LA PRAIRIE</v>
          </cell>
        </row>
        <row r="23">
          <cell r="D23" t="str">
            <v>PRAIRIE ROSE</v>
          </cell>
        </row>
        <row r="24">
          <cell r="D24" t="str">
            <v>PRAIRIE SPIRIT</v>
          </cell>
        </row>
        <row r="25">
          <cell r="D25" t="str">
            <v>RED RIVER VALLEY</v>
          </cell>
        </row>
        <row r="26">
          <cell r="D26" t="str">
            <v>RIVER EAST TRANSCONA</v>
          </cell>
        </row>
        <row r="27">
          <cell r="D27" t="str">
            <v>ROLLING RIVER</v>
          </cell>
        </row>
        <row r="28">
          <cell r="D28" t="str">
            <v>SEINE RIVER</v>
          </cell>
        </row>
        <row r="29">
          <cell r="D29" t="str">
            <v>SEVEN OAKS</v>
          </cell>
        </row>
        <row r="30">
          <cell r="D30" t="str">
            <v>SOUTHWEST HORIZON</v>
          </cell>
        </row>
        <row r="31">
          <cell r="D31" t="str">
            <v>ST. JAMES-ASSINIBOIA</v>
          </cell>
        </row>
        <row r="32">
          <cell r="D32" t="str">
            <v>SUNRISE</v>
          </cell>
        </row>
        <row r="33">
          <cell r="D33" t="str">
            <v>SWAN VALLEY</v>
          </cell>
        </row>
        <row r="34">
          <cell r="D34" t="str">
            <v>TURTLE MOUNTAIN</v>
          </cell>
        </row>
        <row r="35">
          <cell r="D35" t="str">
            <v>TURTLE RIVER</v>
          </cell>
        </row>
        <row r="36">
          <cell r="D36" t="str">
            <v>WESTERN</v>
          </cell>
        </row>
        <row r="37">
          <cell r="D37" t="str">
            <v>WHITESHELL</v>
          </cell>
        </row>
        <row r="38">
          <cell r="D38" t="str">
            <v>WINNIPEG</v>
          </cell>
        </row>
        <row r="39">
          <cell r="D39" t="str">
            <v>WINNIPEG TECHNICAL COLLEGE</v>
          </cell>
        </row>
      </sheetData>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i"/>
      <sheetName val="- 1 -"/>
      <sheetName val="- 2 -"/>
      <sheetName val="- 3 -"/>
      <sheetName val="- 4 -"/>
      <sheetName val="- 5 -"/>
      <sheetName val="- 6 -"/>
      <sheetName val="- 7 -"/>
      <sheetName val="- 8 -"/>
      <sheetName val="- 9 -"/>
      <sheetName val="- 10 -"/>
      <sheetName val="- 11 -"/>
      <sheetName val="- 12 -"/>
      <sheetName val="- 13 -"/>
      <sheetName val="- 14 -"/>
      <sheetName val="- 15 -"/>
      <sheetName val="- 16 -"/>
      <sheetName val="- 17 -"/>
      <sheetName val="- 18 -"/>
      <sheetName val="- 19 -"/>
      <sheetName val="- 20 -"/>
      <sheetName val="- 21 -"/>
      <sheetName val="- 22 -"/>
      <sheetName val="- 23 -"/>
      <sheetName val="- 24 -"/>
      <sheetName val="- 25 -"/>
      <sheetName val="- 26 -"/>
      <sheetName val="- 27 -"/>
      <sheetName val="- 28 -"/>
      <sheetName val="- 29 -"/>
      <sheetName val="- 30 -"/>
      <sheetName val="- 31 -"/>
      <sheetName val="- 32 -"/>
      <sheetName val="- 33 -"/>
      <sheetName val="- 34 -"/>
      <sheetName val="- 35 -"/>
      <sheetName val="- 36 -"/>
      <sheetName val="- 37 -"/>
      <sheetName val="- 38 -"/>
      <sheetName val="- 39 -"/>
      <sheetName val="- 40 -"/>
      <sheetName val="- 41 -"/>
      <sheetName val="- 42 -"/>
      <sheetName val="- 43 -"/>
      <sheetName val="- 44 -"/>
      <sheetName val="- 45 -"/>
      <sheetName val="- 46 -"/>
      <sheetName val="- 47 -"/>
      <sheetName val="- 48 -"/>
      <sheetName val="- 49 -"/>
      <sheetName val="- 50 - "/>
      <sheetName val="- 51 -"/>
      <sheetName val="- 52 -"/>
      <sheetName val="- 53 -"/>
      <sheetName val="- 54 -"/>
      <sheetName val="- 55 -"/>
      <sheetName val="- 56 -"/>
      <sheetName val="- 57 -"/>
      <sheetName val="- 58 -"/>
      <sheetName val="- 59 -"/>
      <sheetName val="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3">
          <cell r="B3" t="str">
            <v>FOR THE 2008 TAXATION YEAR</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www.edu.gov.mb.ca/k12/finance/frame_manual/index.html" TargetMode="Externa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WVK19"/>
  <sheetViews>
    <sheetView showRowColHeaders="0" tabSelected="1" workbookViewId="0"/>
  </sheetViews>
  <sheetFormatPr defaultColWidth="0" defaultRowHeight="12" customHeight="1" zeroHeight="1"/>
  <cols>
    <col min="1" max="1" width="9.33203125" style="735" customWidth="1"/>
    <col min="2" max="2" width="133.5" style="735" customWidth="1"/>
    <col min="3" max="3" width="9.33203125" style="735" customWidth="1"/>
    <col min="4" max="256" width="0" style="735" hidden="1"/>
    <col min="257" max="257" width="9.33203125" style="735" hidden="1" customWidth="1"/>
    <col min="258" max="258" width="133.5" style="735" hidden="1" customWidth="1"/>
    <col min="259" max="259" width="9.33203125" style="735" hidden="1" customWidth="1"/>
    <col min="260" max="512" width="0" style="735" hidden="1"/>
    <col min="513" max="513" width="9.33203125" style="735" hidden="1" customWidth="1"/>
    <col min="514" max="514" width="133.5" style="735" hidden="1" customWidth="1"/>
    <col min="515" max="515" width="9.33203125" style="735" hidden="1" customWidth="1"/>
    <col min="516" max="768" width="0" style="735" hidden="1"/>
    <col min="769" max="769" width="9.33203125" style="735" hidden="1" customWidth="1"/>
    <col min="770" max="770" width="133.5" style="735" hidden="1" customWidth="1"/>
    <col min="771" max="771" width="9.33203125" style="735" hidden="1" customWidth="1"/>
    <col min="772" max="1024" width="0" style="735" hidden="1"/>
    <col min="1025" max="1025" width="9.33203125" style="735" hidden="1" customWidth="1"/>
    <col min="1026" max="1026" width="133.5" style="735" hidden="1" customWidth="1"/>
    <col min="1027" max="1027" width="9.33203125" style="735" hidden="1" customWidth="1"/>
    <col min="1028" max="1280" width="0" style="735" hidden="1"/>
    <col min="1281" max="1281" width="9.33203125" style="735" hidden="1" customWidth="1"/>
    <col min="1282" max="1282" width="133.5" style="735" hidden="1" customWidth="1"/>
    <col min="1283" max="1283" width="9.33203125" style="735" hidden="1" customWidth="1"/>
    <col min="1284" max="1536" width="0" style="735" hidden="1"/>
    <col min="1537" max="1537" width="9.33203125" style="735" hidden="1" customWidth="1"/>
    <col min="1538" max="1538" width="133.5" style="735" hidden="1" customWidth="1"/>
    <col min="1539" max="1539" width="9.33203125" style="735" hidden="1" customWidth="1"/>
    <col min="1540" max="1792" width="0" style="735" hidden="1"/>
    <col min="1793" max="1793" width="9.33203125" style="735" hidden="1" customWidth="1"/>
    <col min="1794" max="1794" width="133.5" style="735" hidden="1" customWidth="1"/>
    <col min="1795" max="1795" width="9.33203125" style="735" hidden="1" customWidth="1"/>
    <col min="1796" max="2048" width="0" style="735" hidden="1"/>
    <col min="2049" max="2049" width="9.33203125" style="735" hidden="1" customWidth="1"/>
    <col min="2050" max="2050" width="133.5" style="735" hidden="1" customWidth="1"/>
    <col min="2051" max="2051" width="9.33203125" style="735" hidden="1" customWidth="1"/>
    <col min="2052" max="2304" width="0" style="735" hidden="1"/>
    <col min="2305" max="2305" width="9.33203125" style="735" hidden="1" customWidth="1"/>
    <col min="2306" max="2306" width="133.5" style="735" hidden="1" customWidth="1"/>
    <col min="2307" max="2307" width="9.33203125" style="735" hidden="1" customWidth="1"/>
    <col min="2308" max="2560" width="0" style="735" hidden="1"/>
    <col min="2561" max="2561" width="9.33203125" style="735" hidden="1" customWidth="1"/>
    <col min="2562" max="2562" width="133.5" style="735" hidden="1" customWidth="1"/>
    <col min="2563" max="2563" width="9.33203125" style="735" hidden="1" customWidth="1"/>
    <col min="2564" max="2816" width="0" style="735" hidden="1"/>
    <col min="2817" max="2817" width="9.33203125" style="735" hidden="1" customWidth="1"/>
    <col min="2818" max="2818" width="133.5" style="735" hidden="1" customWidth="1"/>
    <col min="2819" max="2819" width="9.33203125" style="735" hidden="1" customWidth="1"/>
    <col min="2820" max="3072" width="0" style="735" hidden="1"/>
    <col min="3073" max="3073" width="9.33203125" style="735" hidden="1" customWidth="1"/>
    <col min="3074" max="3074" width="133.5" style="735" hidden="1" customWidth="1"/>
    <col min="3075" max="3075" width="9.33203125" style="735" hidden="1" customWidth="1"/>
    <col min="3076" max="3328" width="0" style="735" hidden="1"/>
    <col min="3329" max="3329" width="9.33203125" style="735" hidden="1" customWidth="1"/>
    <col min="3330" max="3330" width="133.5" style="735" hidden="1" customWidth="1"/>
    <col min="3331" max="3331" width="9.33203125" style="735" hidden="1" customWidth="1"/>
    <col min="3332" max="3584" width="0" style="735" hidden="1"/>
    <col min="3585" max="3585" width="9.33203125" style="735" hidden="1" customWidth="1"/>
    <col min="3586" max="3586" width="133.5" style="735" hidden="1" customWidth="1"/>
    <col min="3587" max="3587" width="9.33203125" style="735" hidden="1" customWidth="1"/>
    <col min="3588" max="3840" width="0" style="735" hidden="1"/>
    <col min="3841" max="3841" width="9.33203125" style="735" hidden="1" customWidth="1"/>
    <col min="3842" max="3842" width="133.5" style="735" hidden="1" customWidth="1"/>
    <col min="3843" max="3843" width="9.33203125" style="735" hidden="1" customWidth="1"/>
    <col min="3844" max="4096" width="0" style="735" hidden="1"/>
    <col min="4097" max="4097" width="9.33203125" style="735" hidden="1" customWidth="1"/>
    <col min="4098" max="4098" width="133.5" style="735" hidden="1" customWidth="1"/>
    <col min="4099" max="4099" width="9.33203125" style="735" hidden="1" customWidth="1"/>
    <col min="4100" max="4352" width="0" style="735" hidden="1"/>
    <col min="4353" max="4353" width="9.33203125" style="735" hidden="1" customWidth="1"/>
    <col min="4354" max="4354" width="133.5" style="735" hidden="1" customWidth="1"/>
    <col min="4355" max="4355" width="9.33203125" style="735" hidden="1" customWidth="1"/>
    <col min="4356" max="4608" width="0" style="735" hidden="1"/>
    <col min="4609" max="4609" width="9.33203125" style="735" hidden="1" customWidth="1"/>
    <col min="4610" max="4610" width="133.5" style="735" hidden="1" customWidth="1"/>
    <col min="4611" max="4611" width="9.33203125" style="735" hidden="1" customWidth="1"/>
    <col min="4612" max="4864" width="0" style="735" hidden="1"/>
    <col min="4865" max="4865" width="9.33203125" style="735" hidden="1" customWidth="1"/>
    <col min="4866" max="4866" width="133.5" style="735" hidden="1" customWidth="1"/>
    <col min="4867" max="4867" width="9.33203125" style="735" hidden="1" customWidth="1"/>
    <col min="4868" max="5120" width="0" style="735" hidden="1"/>
    <col min="5121" max="5121" width="9.33203125" style="735" hidden="1" customWidth="1"/>
    <col min="5122" max="5122" width="133.5" style="735" hidden="1" customWidth="1"/>
    <col min="5123" max="5123" width="9.33203125" style="735" hidden="1" customWidth="1"/>
    <col min="5124" max="5376" width="0" style="735" hidden="1"/>
    <col min="5377" max="5377" width="9.33203125" style="735" hidden="1" customWidth="1"/>
    <col min="5378" max="5378" width="133.5" style="735" hidden="1" customWidth="1"/>
    <col min="5379" max="5379" width="9.33203125" style="735" hidden="1" customWidth="1"/>
    <col min="5380" max="5632" width="0" style="735" hidden="1"/>
    <col min="5633" max="5633" width="9.33203125" style="735" hidden="1" customWidth="1"/>
    <col min="5634" max="5634" width="133.5" style="735" hidden="1" customWidth="1"/>
    <col min="5635" max="5635" width="9.33203125" style="735" hidden="1" customWidth="1"/>
    <col min="5636" max="5888" width="0" style="735" hidden="1"/>
    <col min="5889" max="5889" width="9.33203125" style="735" hidden="1" customWidth="1"/>
    <col min="5890" max="5890" width="133.5" style="735" hidden="1" customWidth="1"/>
    <col min="5891" max="5891" width="9.33203125" style="735" hidden="1" customWidth="1"/>
    <col min="5892" max="6144" width="0" style="735" hidden="1"/>
    <col min="6145" max="6145" width="9.33203125" style="735" hidden="1" customWidth="1"/>
    <col min="6146" max="6146" width="133.5" style="735" hidden="1" customWidth="1"/>
    <col min="6147" max="6147" width="9.33203125" style="735" hidden="1" customWidth="1"/>
    <col min="6148" max="6400" width="0" style="735" hidden="1"/>
    <col min="6401" max="6401" width="9.33203125" style="735" hidden="1" customWidth="1"/>
    <col min="6402" max="6402" width="133.5" style="735" hidden="1" customWidth="1"/>
    <col min="6403" max="6403" width="9.33203125" style="735" hidden="1" customWidth="1"/>
    <col min="6404" max="6656" width="0" style="735" hidden="1"/>
    <col min="6657" max="6657" width="9.33203125" style="735" hidden="1" customWidth="1"/>
    <col min="6658" max="6658" width="133.5" style="735" hidden="1" customWidth="1"/>
    <col min="6659" max="6659" width="9.33203125" style="735" hidden="1" customWidth="1"/>
    <col min="6660" max="6912" width="0" style="735" hidden="1"/>
    <col min="6913" max="6913" width="9.33203125" style="735" hidden="1" customWidth="1"/>
    <col min="6914" max="6914" width="133.5" style="735" hidden="1" customWidth="1"/>
    <col min="6915" max="6915" width="9.33203125" style="735" hidden="1" customWidth="1"/>
    <col min="6916" max="7168" width="0" style="735" hidden="1"/>
    <col min="7169" max="7169" width="9.33203125" style="735" hidden="1" customWidth="1"/>
    <col min="7170" max="7170" width="133.5" style="735" hidden="1" customWidth="1"/>
    <col min="7171" max="7171" width="9.33203125" style="735" hidden="1" customWidth="1"/>
    <col min="7172" max="7424" width="0" style="735" hidden="1"/>
    <col min="7425" max="7425" width="9.33203125" style="735" hidden="1" customWidth="1"/>
    <col min="7426" max="7426" width="133.5" style="735" hidden="1" customWidth="1"/>
    <col min="7427" max="7427" width="9.33203125" style="735" hidden="1" customWidth="1"/>
    <col min="7428" max="7680" width="0" style="735" hidden="1"/>
    <col min="7681" max="7681" width="9.33203125" style="735" hidden="1" customWidth="1"/>
    <col min="7682" max="7682" width="133.5" style="735" hidden="1" customWidth="1"/>
    <col min="7683" max="7683" width="9.33203125" style="735" hidden="1" customWidth="1"/>
    <col min="7684" max="7936" width="0" style="735" hidden="1"/>
    <col min="7937" max="7937" width="9.33203125" style="735" hidden="1" customWidth="1"/>
    <col min="7938" max="7938" width="133.5" style="735" hidden="1" customWidth="1"/>
    <col min="7939" max="7939" width="9.33203125" style="735" hidden="1" customWidth="1"/>
    <col min="7940" max="8192" width="0" style="735" hidden="1"/>
    <col min="8193" max="8193" width="9.33203125" style="735" hidden="1" customWidth="1"/>
    <col min="8194" max="8194" width="133.5" style="735" hidden="1" customWidth="1"/>
    <col min="8195" max="8195" width="9.33203125" style="735" hidden="1" customWidth="1"/>
    <col min="8196" max="8448" width="0" style="735" hidden="1"/>
    <col min="8449" max="8449" width="9.33203125" style="735" hidden="1" customWidth="1"/>
    <col min="8450" max="8450" width="133.5" style="735" hidden="1" customWidth="1"/>
    <col min="8451" max="8451" width="9.33203125" style="735" hidden="1" customWidth="1"/>
    <col min="8452" max="8704" width="0" style="735" hidden="1"/>
    <col min="8705" max="8705" width="9.33203125" style="735" hidden="1" customWidth="1"/>
    <col min="8706" max="8706" width="133.5" style="735" hidden="1" customWidth="1"/>
    <col min="8707" max="8707" width="9.33203125" style="735" hidden="1" customWidth="1"/>
    <col min="8708" max="8960" width="0" style="735" hidden="1"/>
    <col min="8961" max="8961" width="9.33203125" style="735" hidden="1" customWidth="1"/>
    <col min="8962" max="8962" width="133.5" style="735" hidden="1" customWidth="1"/>
    <col min="8963" max="8963" width="9.33203125" style="735" hidden="1" customWidth="1"/>
    <col min="8964" max="9216" width="0" style="735" hidden="1"/>
    <col min="9217" max="9217" width="9.33203125" style="735" hidden="1" customWidth="1"/>
    <col min="9218" max="9218" width="133.5" style="735" hidden="1" customWidth="1"/>
    <col min="9219" max="9219" width="9.33203125" style="735" hidden="1" customWidth="1"/>
    <col min="9220" max="9472" width="0" style="735" hidden="1"/>
    <col min="9473" max="9473" width="9.33203125" style="735" hidden="1" customWidth="1"/>
    <col min="9474" max="9474" width="133.5" style="735" hidden="1" customWidth="1"/>
    <col min="9475" max="9475" width="9.33203125" style="735" hidden="1" customWidth="1"/>
    <col min="9476" max="9728" width="0" style="735" hidden="1"/>
    <col min="9729" max="9729" width="9.33203125" style="735" hidden="1" customWidth="1"/>
    <col min="9730" max="9730" width="133.5" style="735" hidden="1" customWidth="1"/>
    <col min="9731" max="9731" width="9.33203125" style="735" hidden="1" customWidth="1"/>
    <col min="9732" max="9984" width="0" style="735" hidden="1"/>
    <col min="9985" max="9985" width="9.33203125" style="735" hidden="1" customWidth="1"/>
    <col min="9986" max="9986" width="133.5" style="735" hidden="1" customWidth="1"/>
    <col min="9987" max="9987" width="9.33203125" style="735" hidden="1" customWidth="1"/>
    <col min="9988" max="10240" width="0" style="735" hidden="1"/>
    <col min="10241" max="10241" width="9.33203125" style="735" hidden="1" customWidth="1"/>
    <col min="10242" max="10242" width="133.5" style="735" hidden="1" customWidth="1"/>
    <col min="10243" max="10243" width="9.33203125" style="735" hidden="1" customWidth="1"/>
    <col min="10244" max="10496" width="0" style="735" hidden="1"/>
    <col min="10497" max="10497" width="9.33203125" style="735" hidden="1" customWidth="1"/>
    <col min="10498" max="10498" width="133.5" style="735" hidden="1" customWidth="1"/>
    <col min="10499" max="10499" width="9.33203125" style="735" hidden="1" customWidth="1"/>
    <col min="10500" max="10752" width="0" style="735" hidden="1"/>
    <col min="10753" max="10753" width="9.33203125" style="735" hidden="1" customWidth="1"/>
    <col min="10754" max="10754" width="133.5" style="735" hidden="1" customWidth="1"/>
    <col min="10755" max="10755" width="9.33203125" style="735" hidden="1" customWidth="1"/>
    <col min="10756" max="11008" width="0" style="735" hidden="1"/>
    <col min="11009" max="11009" width="9.33203125" style="735" hidden="1" customWidth="1"/>
    <col min="11010" max="11010" width="133.5" style="735" hidden="1" customWidth="1"/>
    <col min="11011" max="11011" width="9.33203125" style="735" hidden="1" customWidth="1"/>
    <col min="11012" max="11264" width="0" style="735" hidden="1"/>
    <col min="11265" max="11265" width="9.33203125" style="735" hidden="1" customWidth="1"/>
    <col min="11266" max="11266" width="133.5" style="735" hidden="1" customWidth="1"/>
    <col min="11267" max="11267" width="9.33203125" style="735" hidden="1" customWidth="1"/>
    <col min="11268" max="11520" width="0" style="735" hidden="1"/>
    <col min="11521" max="11521" width="9.33203125" style="735" hidden="1" customWidth="1"/>
    <col min="11522" max="11522" width="133.5" style="735" hidden="1" customWidth="1"/>
    <col min="11523" max="11523" width="9.33203125" style="735" hidden="1" customWidth="1"/>
    <col min="11524" max="11776" width="0" style="735" hidden="1"/>
    <col min="11777" max="11777" width="9.33203125" style="735" hidden="1" customWidth="1"/>
    <col min="11778" max="11778" width="133.5" style="735" hidden="1" customWidth="1"/>
    <col min="11779" max="11779" width="9.33203125" style="735" hidden="1" customWidth="1"/>
    <col min="11780" max="12032" width="0" style="735" hidden="1"/>
    <col min="12033" max="12033" width="9.33203125" style="735" hidden="1" customWidth="1"/>
    <col min="12034" max="12034" width="133.5" style="735" hidden="1" customWidth="1"/>
    <col min="12035" max="12035" width="9.33203125" style="735" hidden="1" customWidth="1"/>
    <col min="12036" max="12288" width="0" style="735" hidden="1"/>
    <col min="12289" max="12289" width="9.33203125" style="735" hidden="1" customWidth="1"/>
    <col min="12290" max="12290" width="133.5" style="735" hidden="1" customWidth="1"/>
    <col min="12291" max="12291" width="9.33203125" style="735" hidden="1" customWidth="1"/>
    <col min="12292" max="12544" width="0" style="735" hidden="1"/>
    <col min="12545" max="12545" width="9.33203125" style="735" hidden="1" customWidth="1"/>
    <col min="12546" max="12546" width="133.5" style="735" hidden="1" customWidth="1"/>
    <col min="12547" max="12547" width="9.33203125" style="735" hidden="1" customWidth="1"/>
    <col min="12548" max="12800" width="0" style="735" hidden="1"/>
    <col min="12801" max="12801" width="9.33203125" style="735" hidden="1" customWidth="1"/>
    <col min="12802" max="12802" width="133.5" style="735" hidden="1" customWidth="1"/>
    <col min="12803" max="12803" width="9.33203125" style="735" hidden="1" customWidth="1"/>
    <col min="12804" max="13056" width="0" style="735" hidden="1"/>
    <col min="13057" max="13057" width="9.33203125" style="735" hidden="1" customWidth="1"/>
    <col min="13058" max="13058" width="133.5" style="735" hidden="1" customWidth="1"/>
    <col min="13059" max="13059" width="9.33203125" style="735" hidden="1" customWidth="1"/>
    <col min="13060" max="13312" width="0" style="735" hidden="1"/>
    <col min="13313" max="13313" width="9.33203125" style="735" hidden="1" customWidth="1"/>
    <col min="13314" max="13314" width="133.5" style="735" hidden="1" customWidth="1"/>
    <col min="13315" max="13315" width="9.33203125" style="735" hidden="1" customWidth="1"/>
    <col min="13316" max="13568" width="0" style="735" hidden="1"/>
    <col min="13569" max="13569" width="9.33203125" style="735" hidden="1" customWidth="1"/>
    <col min="13570" max="13570" width="133.5" style="735" hidden="1" customWidth="1"/>
    <col min="13571" max="13571" width="9.33203125" style="735" hidden="1" customWidth="1"/>
    <col min="13572" max="13824" width="0" style="735" hidden="1"/>
    <col min="13825" max="13825" width="9.33203125" style="735" hidden="1" customWidth="1"/>
    <col min="13826" max="13826" width="133.5" style="735" hidden="1" customWidth="1"/>
    <col min="13827" max="13827" width="9.33203125" style="735" hidden="1" customWidth="1"/>
    <col min="13828" max="14080" width="0" style="735" hidden="1"/>
    <col min="14081" max="14081" width="9.33203125" style="735" hidden="1" customWidth="1"/>
    <col min="14082" max="14082" width="133.5" style="735" hidden="1" customWidth="1"/>
    <col min="14083" max="14083" width="9.33203125" style="735" hidden="1" customWidth="1"/>
    <col min="14084" max="14336" width="0" style="735" hidden="1"/>
    <col min="14337" max="14337" width="9.33203125" style="735" hidden="1" customWidth="1"/>
    <col min="14338" max="14338" width="133.5" style="735" hidden="1" customWidth="1"/>
    <col min="14339" max="14339" width="9.33203125" style="735" hidden="1" customWidth="1"/>
    <col min="14340" max="14592" width="0" style="735" hidden="1"/>
    <col min="14593" max="14593" width="9.33203125" style="735" hidden="1" customWidth="1"/>
    <col min="14594" max="14594" width="133.5" style="735" hidden="1" customWidth="1"/>
    <col min="14595" max="14595" width="9.33203125" style="735" hidden="1" customWidth="1"/>
    <col min="14596" max="14848" width="0" style="735" hidden="1"/>
    <col min="14849" max="14849" width="9.33203125" style="735" hidden="1" customWidth="1"/>
    <col min="14850" max="14850" width="133.5" style="735" hidden="1" customWidth="1"/>
    <col min="14851" max="14851" width="9.33203125" style="735" hidden="1" customWidth="1"/>
    <col min="14852" max="15104" width="0" style="735" hidden="1"/>
    <col min="15105" max="15105" width="9.33203125" style="735" hidden="1" customWidth="1"/>
    <col min="15106" max="15106" width="133.5" style="735" hidden="1" customWidth="1"/>
    <col min="15107" max="15107" width="9.33203125" style="735" hidden="1" customWidth="1"/>
    <col min="15108" max="15360" width="0" style="735" hidden="1"/>
    <col min="15361" max="15361" width="9.33203125" style="735" hidden="1" customWidth="1"/>
    <col min="15362" max="15362" width="133.5" style="735" hidden="1" customWidth="1"/>
    <col min="15363" max="15363" width="9.33203125" style="735" hidden="1" customWidth="1"/>
    <col min="15364" max="15616" width="0" style="735" hidden="1"/>
    <col min="15617" max="15617" width="9.33203125" style="735" hidden="1" customWidth="1"/>
    <col min="15618" max="15618" width="133.5" style="735" hidden="1" customWidth="1"/>
    <col min="15619" max="15619" width="9.33203125" style="735" hidden="1" customWidth="1"/>
    <col min="15620" max="15872" width="0" style="735" hidden="1"/>
    <col min="15873" max="15873" width="9.33203125" style="735" hidden="1" customWidth="1"/>
    <col min="15874" max="15874" width="133.5" style="735" hidden="1" customWidth="1"/>
    <col min="15875" max="15875" width="9.33203125" style="735" hidden="1" customWidth="1"/>
    <col min="15876" max="16128" width="0" style="735" hidden="1"/>
    <col min="16129" max="16129" width="9.33203125" style="735" hidden="1" customWidth="1"/>
    <col min="16130" max="16130" width="133.5" style="735" hidden="1" customWidth="1"/>
    <col min="16131" max="16131" width="9.33203125" style="735" hidden="1" customWidth="1"/>
    <col min="16132" max="16384" width="0" style="735" hidden="1"/>
  </cols>
  <sheetData>
    <row r="1" spans="1:3" ht="14.25">
      <c r="A1" s="734"/>
      <c r="B1" s="734"/>
      <c r="C1" s="734"/>
    </row>
    <row r="2" spans="1:3" ht="15">
      <c r="A2" s="734"/>
      <c r="B2" s="737" t="s">
        <v>783</v>
      </c>
      <c r="C2" s="734"/>
    </row>
    <row r="3" spans="1:3" ht="14.25">
      <c r="A3" s="734"/>
      <c r="B3" s="734"/>
      <c r="C3" s="734"/>
    </row>
    <row r="4" spans="1:3" ht="14.25">
      <c r="A4" s="734"/>
      <c r="B4" s="736" t="s">
        <v>778</v>
      </c>
      <c r="C4" s="736"/>
    </row>
    <row r="5" spans="1:3" ht="14.25">
      <c r="A5" s="734"/>
      <c r="B5" s="734"/>
      <c r="C5" s="734"/>
    </row>
    <row r="6" spans="1:3" ht="14.25">
      <c r="A6" s="734"/>
      <c r="B6" s="738" t="s">
        <v>779</v>
      </c>
      <c r="C6" s="734"/>
    </row>
    <row r="7" spans="1:3" ht="14.25">
      <c r="A7" s="734"/>
      <c r="B7" s="738"/>
      <c r="C7" s="734"/>
    </row>
    <row r="8" spans="1:3" ht="14.25">
      <c r="A8" s="734"/>
      <c r="B8" s="739" t="s">
        <v>780</v>
      </c>
      <c r="C8" s="734"/>
    </row>
    <row r="9" spans="1:3" ht="14.25">
      <c r="A9" s="734"/>
      <c r="B9" s="739"/>
      <c r="C9" s="734"/>
    </row>
    <row r="10" spans="1:3" ht="14.25">
      <c r="A10" s="734"/>
      <c r="B10" s="739"/>
      <c r="C10" s="734"/>
    </row>
    <row r="11" spans="1:3" ht="14.25">
      <c r="A11" s="734"/>
      <c r="B11" s="734"/>
      <c r="C11" s="734"/>
    </row>
    <row r="12" spans="1:3" ht="14.25">
      <c r="A12" s="734"/>
      <c r="B12" s="739" t="s">
        <v>781</v>
      </c>
      <c r="C12" s="734"/>
    </row>
    <row r="13" spans="1:3" ht="14.25">
      <c r="A13" s="734"/>
      <c r="B13" s="739"/>
      <c r="C13" s="734"/>
    </row>
    <row r="14" spans="1:3" ht="14.25">
      <c r="A14" s="734"/>
      <c r="B14" s="734"/>
      <c r="C14" s="734"/>
    </row>
    <row r="15" spans="1:3" ht="14.25">
      <c r="A15" s="734"/>
      <c r="B15" s="739" t="s">
        <v>782</v>
      </c>
      <c r="C15" s="734"/>
    </row>
    <row r="16" spans="1:3" ht="14.25">
      <c r="A16" s="734"/>
      <c r="B16" s="739"/>
      <c r="C16" s="734"/>
    </row>
    <row r="17" spans="1:3" ht="14.25">
      <c r="A17" s="734"/>
      <c r="B17" s="739"/>
      <c r="C17" s="734"/>
    </row>
    <row r="18" spans="1:3" ht="40.5" customHeight="1">
      <c r="A18" s="734"/>
      <c r="B18" s="736"/>
      <c r="C18" s="734"/>
    </row>
    <row r="19" spans="1:3" hidden="1"/>
  </sheetData>
  <mergeCells count="4">
    <mergeCell ref="B6:B7"/>
    <mergeCell ref="B8:B10"/>
    <mergeCell ref="B12:B13"/>
    <mergeCell ref="B15:B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sheetPr codeName="Sheet8">
    <pageSetUpPr autoPageBreaks="0" fitToPage="1"/>
  </sheetPr>
  <dimension ref="A2:L54"/>
  <sheetViews>
    <sheetView showGridLines="0" showZeros="0" workbookViewId="0"/>
  </sheetViews>
  <sheetFormatPr defaultColWidth="15.83203125" defaultRowHeight="12"/>
  <cols>
    <col min="1" max="1" width="49.6640625" style="1" customWidth="1"/>
    <col min="2" max="2" width="15.83203125" style="1" customWidth="1"/>
    <col min="3" max="3" width="8.83203125" style="1" customWidth="1"/>
    <col min="4" max="4" width="15.83203125" style="1" customWidth="1"/>
    <col min="5" max="5" width="8.83203125" style="1" customWidth="1"/>
    <col min="6" max="6" width="15.83203125" style="1" customWidth="1"/>
    <col min="7" max="7" width="8.83203125" style="1" customWidth="1"/>
    <col min="8" max="8" width="15.83203125" style="1" customWidth="1"/>
    <col min="9" max="9" width="8.83203125" style="1" customWidth="1"/>
    <col min="10" max="10" width="15.83203125" style="1" customWidth="1"/>
    <col min="11" max="11" width="8.83203125" style="1" customWidth="1"/>
    <col min="12" max="12" width="5" style="1" customWidth="1"/>
    <col min="13" max="16384" width="15.83203125" style="1"/>
  </cols>
  <sheetData>
    <row r="2" spans="1:11">
      <c r="A2" s="46"/>
      <c r="B2" s="46"/>
      <c r="C2" s="46"/>
      <c r="D2" s="47" t="str">
        <f>OPYEAR</f>
        <v>OPERATING FUND 2012/2013 ACTUAL</v>
      </c>
      <c r="E2" s="47"/>
      <c r="F2" s="47"/>
      <c r="G2" s="47"/>
      <c r="H2" s="48"/>
      <c r="I2" s="48"/>
      <c r="J2" s="49"/>
      <c r="K2" s="129" t="s">
        <v>21</v>
      </c>
    </row>
    <row r="3" spans="1:11" ht="9" customHeight="1">
      <c r="J3" s="90"/>
      <c r="K3" s="90"/>
    </row>
    <row r="4" spans="1:11" ht="15.75">
      <c r="B4" s="326" t="s">
        <v>484</v>
      </c>
      <c r="C4" s="90"/>
      <c r="D4" s="90"/>
      <c r="E4" s="90"/>
      <c r="F4" s="90"/>
      <c r="G4" s="90"/>
      <c r="H4" s="90"/>
      <c r="I4" s="90"/>
      <c r="J4" s="90"/>
      <c r="K4" s="90"/>
    </row>
    <row r="5" spans="1:11" ht="15.75">
      <c r="B5" s="326" t="s">
        <v>485</v>
      </c>
      <c r="C5" s="90"/>
      <c r="D5" s="90"/>
      <c r="E5" s="90"/>
      <c r="F5" s="90"/>
      <c r="G5" s="90"/>
      <c r="H5" s="90"/>
      <c r="I5" s="90"/>
      <c r="J5" s="90"/>
      <c r="K5" s="90"/>
    </row>
    <row r="6" spans="1:11" ht="9" customHeight="1"/>
    <row r="7" spans="1:11">
      <c r="B7" s="130" t="s">
        <v>174</v>
      </c>
      <c r="C7" s="48"/>
      <c r="D7" s="48"/>
      <c r="E7" s="48"/>
      <c r="F7" s="48"/>
      <c r="G7" s="48"/>
      <c r="H7" s="48"/>
      <c r="I7" s="48"/>
      <c r="J7" s="48"/>
      <c r="K7" s="131"/>
    </row>
    <row r="8" spans="1:11">
      <c r="A8" s="7"/>
      <c r="B8" s="357" t="s">
        <v>76</v>
      </c>
      <c r="C8" s="358"/>
      <c r="D8" s="360" t="s">
        <v>442</v>
      </c>
      <c r="E8" s="358"/>
      <c r="F8" s="360" t="s">
        <v>218</v>
      </c>
      <c r="G8" s="358"/>
      <c r="H8" s="360" t="s">
        <v>72</v>
      </c>
      <c r="I8" s="358"/>
      <c r="J8" s="360" t="s">
        <v>192</v>
      </c>
      <c r="K8" s="358"/>
    </row>
    <row r="9" spans="1:11">
      <c r="A9" s="7"/>
      <c r="B9" s="344" t="s">
        <v>175</v>
      </c>
      <c r="C9" s="346"/>
      <c r="D9" s="345" t="s">
        <v>153</v>
      </c>
      <c r="E9" s="346"/>
      <c r="F9" s="345" t="s">
        <v>318</v>
      </c>
      <c r="G9" s="346"/>
      <c r="H9" s="345" t="s">
        <v>90</v>
      </c>
      <c r="I9" s="346"/>
      <c r="J9" s="345" t="s">
        <v>44</v>
      </c>
      <c r="K9" s="346"/>
    </row>
    <row r="10" spans="1:11">
      <c r="A10" s="132" t="s">
        <v>163</v>
      </c>
      <c r="B10" s="133" t="s">
        <v>95</v>
      </c>
      <c r="C10" s="133" t="s">
        <v>96</v>
      </c>
      <c r="D10" s="133" t="s">
        <v>95</v>
      </c>
      <c r="E10" s="133" t="s">
        <v>96</v>
      </c>
      <c r="F10" s="133" t="s">
        <v>95</v>
      </c>
      <c r="G10" s="133" t="s">
        <v>96</v>
      </c>
      <c r="H10" s="133" t="s">
        <v>95</v>
      </c>
      <c r="I10" s="133" t="s">
        <v>96</v>
      </c>
      <c r="J10" s="133" t="s">
        <v>95</v>
      </c>
      <c r="K10" s="54" t="s">
        <v>96</v>
      </c>
    </row>
    <row r="11" spans="1:11" ht="5.0999999999999996" customHeight="1">
      <c r="A11" s="134"/>
      <c r="B11" s="7"/>
      <c r="C11" s="7"/>
      <c r="D11" s="7"/>
      <c r="E11" s="7"/>
      <c r="F11" s="7"/>
      <c r="G11" s="7"/>
      <c r="H11" s="7"/>
      <c r="I11" s="7"/>
      <c r="J11" s="7"/>
      <c r="K11" s="7"/>
    </row>
    <row r="12" spans="1:11">
      <c r="A12" s="361" t="s">
        <v>166</v>
      </c>
      <c r="B12" s="135"/>
      <c r="C12" s="136"/>
      <c r="D12" s="135"/>
      <c r="E12" s="136"/>
      <c r="F12" s="135"/>
      <c r="G12" s="136"/>
      <c r="H12" s="135"/>
      <c r="I12" s="136"/>
      <c r="J12" s="135"/>
      <c r="K12" s="136"/>
    </row>
    <row r="13" spans="1:11">
      <c r="A13" s="137" t="s">
        <v>320</v>
      </c>
      <c r="B13" s="138"/>
      <c r="C13" s="395"/>
      <c r="D13" s="138"/>
      <c r="E13" s="395"/>
      <c r="F13" s="138"/>
      <c r="G13" s="395"/>
      <c r="H13" s="138"/>
      <c r="I13" s="395"/>
      <c r="J13" s="138">
        <v>3769978</v>
      </c>
      <c r="K13" s="395"/>
    </row>
    <row r="14" spans="1:11">
      <c r="A14" s="137" t="s">
        <v>357</v>
      </c>
      <c r="B14" s="138">
        <v>80828927</v>
      </c>
      <c r="C14" s="395">
        <f>B14/'- 13 -'!$J$53*100</f>
        <v>4.0436171375549765</v>
      </c>
      <c r="D14" s="138">
        <v>6635176</v>
      </c>
      <c r="E14" s="395">
        <f>D14/'- 13 -'!$J$53*100</f>
        <v>0.33193699805384619</v>
      </c>
      <c r="F14" s="138">
        <v>871257</v>
      </c>
      <c r="G14" s="395">
        <f>F14/'- 13 -'!$J$53*100</f>
        <v>4.3586248972657234E-2</v>
      </c>
      <c r="H14" s="138">
        <v>787874</v>
      </c>
      <c r="I14" s="395">
        <f>H14/'- 13 -'!$J$53*100</f>
        <v>3.9414859591467663E-2</v>
      </c>
      <c r="J14" s="138">
        <v>21212977</v>
      </c>
      <c r="K14" s="395">
        <f>J14/'- 13 -'!$J$53*100</f>
        <v>1.0612185577542006</v>
      </c>
    </row>
    <row r="15" spans="1:11">
      <c r="A15" s="137" t="s">
        <v>321</v>
      </c>
      <c r="B15" s="138">
        <v>794511123</v>
      </c>
      <c r="C15" s="395">
        <f>B15/'- 13 -'!$J$53*100</f>
        <v>39.746893991811241</v>
      </c>
      <c r="D15" s="138">
        <v>141435926</v>
      </c>
      <c r="E15" s="395">
        <f>D15/'- 13 -'!$J$53*100</f>
        <v>7.0755947835303745</v>
      </c>
      <c r="F15" s="138">
        <v>5185668</v>
      </c>
      <c r="G15" s="395">
        <f>F15/'- 13 -'!$J$53*100</f>
        <v>0.25942266924402496</v>
      </c>
      <c r="H15" s="138">
        <v>7780576</v>
      </c>
      <c r="I15" s="395">
        <f>H15/'- 13 -'!$J$53*100</f>
        <v>0.38923775956655898</v>
      </c>
      <c r="J15" s="138"/>
      <c r="K15" s="395">
        <f>J15/'- 13 -'!$J$53*100</f>
        <v>0</v>
      </c>
    </row>
    <row r="16" spans="1:11">
      <c r="A16" s="137" t="s">
        <v>322</v>
      </c>
      <c r="B16" s="138">
        <v>21399567</v>
      </c>
      <c r="C16" s="395">
        <f>B16/'- 13 -'!$J$53*100</f>
        <v>1.0705530689211789</v>
      </c>
      <c r="D16" s="138">
        <v>146750953</v>
      </c>
      <c r="E16" s="395">
        <f>D16/'- 13 -'!$J$53*100</f>
        <v>7.3414888769131492</v>
      </c>
      <c r="F16" s="138">
        <v>383871</v>
      </c>
      <c r="G16" s="395">
        <f>F16/'- 13 -'!$J$53*100</f>
        <v>1.9203859457522756E-2</v>
      </c>
      <c r="H16" s="138">
        <v>3055384</v>
      </c>
      <c r="I16" s="395">
        <f>H16/'- 13 -'!$J$53*100</f>
        <v>0.15285125712743006</v>
      </c>
      <c r="J16" s="138"/>
      <c r="K16" s="395">
        <f>J16/'- 13 -'!$J$53*100</f>
        <v>0</v>
      </c>
    </row>
    <row r="17" spans="1:12">
      <c r="A17" s="137" t="s">
        <v>323</v>
      </c>
      <c r="B17" s="138">
        <v>5039852</v>
      </c>
      <c r="C17" s="395">
        <f>B17/'- 13 -'!$J$53*100</f>
        <v>0.25212795312674041</v>
      </c>
      <c r="D17" s="138">
        <v>1295057</v>
      </c>
      <c r="E17" s="395">
        <f>D17/'- 13 -'!$J$53*100</f>
        <v>6.478763078607408E-2</v>
      </c>
      <c r="F17" s="138">
        <v>227274</v>
      </c>
      <c r="G17" s="395">
        <f>F17/'- 13 -'!$J$53*100</f>
        <v>1.1369803799581179E-2</v>
      </c>
      <c r="H17" s="138">
        <v>1563255</v>
      </c>
      <c r="I17" s="395">
        <f>H17/'- 13 -'!$J$53*100</f>
        <v>7.8204733663834292E-2</v>
      </c>
      <c r="J17" s="138">
        <v>4958129</v>
      </c>
      <c r="K17" s="395">
        <f>J17/'- 13 -'!$J$53*100</f>
        <v>0.24803960832745334</v>
      </c>
    </row>
    <row r="18" spans="1:12">
      <c r="A18" s="139" t="s">
        <v>324</v>
      </c>
      <c r="B18" s="138">
        <v>34122326</v>
      </c>
      <c r="C18" s="395">
        <f>B18/'- 13 -'!$J$53*100</f>
        <v>1.7070327085603618</v>
      </c>
      <c r="D18" s="138">
        <v>2640870</v>
      </c>
      <c r="E18" s="395">
        <f>D18/'- 13 -'!$J$53*100</f>
        <v>0.13211442470410142</v>
      </c>
      <c r="F18" s="138">
        <v>383417</v>
      </c>
      <c r="G18" s="395">
        <f>F18/'- 13 -'!$J$53*100</f>
        <v>1.9181147264640992E-2</v>
      </c>
      <c r="H18" s="138">
        <v>885399</v>
      </c>
      <c r="I18" s="395">
        <f>H18/'- 13 -'!$J$53*100</f>
        <v>4.4293728778238499E-2</v>
      </c>
      <c r="J18" s="138">
        <v>14509597</v>
      </c>
      <c r="K18" s="395">
        <f>J18/'- 13 -'!$J$53*100</f>
        <v>0.7258695279750067</v>
      </c>
    </row>
    <row r="19" spans="1:12">
      <c r="A19" s="139" t="s">
        <v>325</v>
      </c>
      <c r="B19" s="138"/>
      <c r="C19" s="396"/>
      <c r="D19" s="140">
        <v>30679340</v>
      </c>
      <c r="E19" s="396">
        <f>D19/'- 13 -'!$J$53*100</f>
        <v>1.5347909417735546</v>
      </c>
      <c r="F19" s="140"/>
      <c r="G19" s="396"/>
      <c r="H19" s="140">
        <v>429673</v>
      </c>
      <c r="I19" s="396"/>
      <c r="J19" s="140"/>
      <c r="K19" s="396"/>
    </row>
    <row r="20" spans="1:12">
      <c r="A20" s="142" t="s">
        <v>326</v>
      </c>
      <c r="B20" s="141">
        <v>11544430</v>
      </c>
      <c r="C20" s="396">
        <f>B20/'- 13 -'!$J$53*100</f>
        <v>0.57753154376655025</v>
      </c>
      <c r="D20" s="141">
        <v>96738</v>
      </c>
      <c r="E20" s="396">
        <f>D20/'- 13 -'!$J$53*100</f>
        <v>4.8394980506520063E-3</v>
      </c>
      <c r="F20" s="141">
        <v>4000</v>
      </c>
      <c r="G20" s="396">
        <f>F20/'- 13 -'!$J$53*100</f>
        <v>2.0010742627104162E-4</v>
      </c>
      <c r="H20" s="141">
        <v>47324</v>
      </c>
      <c r="I20" s="396">
        <f>H20/'- 13 -'!$J$53*100</f>
        <v>2.3674709602126932E-3</v>
      </c>
      <c r="J20" s="141">
        <v>1472082</v>
      </c>
      <c r="K20" s="396">
        <f>J20/'- 13 -'!$J$53*100</f>
        <v>7.3643635069981866E-2</v>
      </c>
    </row>
    <row r="21" spans="1:12" ht="12.75" customHeight="1">
      <c r="A21" s="143" t="s">
        <v>327</v>
      </c>
      <c r="B21" s="398">
        <f>SUM(B13:B20)</f>
        <v>947446225</v>
      </c>
      <c r="C21" s="399">
        <f>B21/'- 13 -'!$J$53*100</f>
        <v>47.397756403741056</v>
      </c>
      <c r="D21" s="398">
        <f>SUM(D13:D20)</f>
        <v>329534060</v>
      </c>
      <c r="E21" s="399">
        <f>D21/'- 13 -'!$J$53*100</f>
        <v>16.485553153811754</v>
      </c>
      <c r="F21" s="398">
        <f>SUM(F13:F20)</f>
        <v>7055487</v>
      </c>
      <c r="G21" s="399">
        <f>F21/'- 13 -'!$J$53*100</f>
        <v>0.35296383616469817</v>
      </c>
      <c r="H21" s="398">
        <f>SUM(H13:H20)</f>
        <v>14549485</v>
      </c>
      <c r="I21" s="399">
        <f>H21/'- 13 -'!$J$53*100</f>
        <v>0.72786499922978154</v>
      </c>
      <c r="J21" s="398">
        <f>SUM(J13:J20)</f>
        <v>45922763</v>
      </c>
      <c r="K21" s="399">
        <f>J21/'- 13 -'!$J$53*100</f>
        <v>2.2973714777962546</v>
      </c>
    </row>
    <row r="22" spans="1:12">
      <c r="A22" s="361" t="s">
        <v>176</v>
      </c>
      <c r="B22" s="398">
        <v>59624401</v>
      </c>
      <c r="C22" s="399">
        <f>B22/'- 13 -'!$J$53*100</f>
        <v>2.9828213567656299</v>
      </c>
      <c r="D22" s="398">
        <v>32570007</v>
      </c>
      <c r="E22" s="399">
        <f>D22/'- 13 -'!$J$53*100</f>
        <v>1.6293750685999524</v>
      </c>
      <c r="F22" s="398">
        <v>501366</v>
      </c>
      <c r="G22" s="399">
        <f>F22/'- 13 -'!$J$53*100</f>
        <v>2.5081764969951761E-2</v>
      </c>
      <c r="H22" s="398">
        <v>1328130</v>
      </c>
      <c r="I22" s="399">
        <f>H22/'- 13 -'!$J$53*100</f>
        <v>6.644216901333963E-2</v>
      </c>
      <c r="J22" s="398">
        <v>6022984</v>
      </c>
      <c r="K22" s="399">
        <f>J22/'- 13 -'!$J$53*100</f>
        <v>0.30131095667791585</v>
      </c>
    </row>
    <row r="23" spans="1:12">
      <c r="A23" s="361" t="s">
        <v>153</v>
      </c>
      <c r="B23" s="146"/>
      <c r="C23" s="397"/>
      <c r="D23" s="146"/>
      <c r="E23" s="397"/>
      <c r="F23" s="146"/>
      <c r="G23" s="397"/>
      <c r="H23" s="146"/>
      <c r="I23" s="397"/>
      <c r="J23" s="146"/>
      <c r="K23" s="397"/>
    </row>
    <row r="24" spans="1:12">
      <c r="A24" s="139" t="s">
        <v>328</v>
      </c>
      <c r="B24" s="138">
        <v>6574187</v>
      </c>
      <c r="C24" s="395">
        <f>B24/'- 13 -'!$J$53*100</f>
        <v>0.32888591009863505</v>
      </c>
      <c r="D24" s="138">
        <v>6000578</v>
      </c>
      <c r="E24" s="395">
        <f>D24/'- 13 -'!$J$53*100</f>
        <v>0.30019005492965861</v>
      </c>
      <c r="F24" s="138">
        <v>151346</v>
      </c>
      <c r="G24" s="395">
        <f>F24/'- 13 -'!$J$53*100</f>
        <v>7.5713646341042671E-3</v>
      </c>
      <c r="H24" s="138">
        <v>1384274</v>
      </c>
      <c r="I24" s="395">
        <f>H24/'- 13 -'!$J$53*100</f>
        <v>6.925087684847997E-2</v>
      </c>
      <c r="J24" s="138">
        <v>3447773</v>
      </c>
      <c r="K24" s="395">
        <f>J24/'- 13 -'!$J$53*100</f>
        <v>0.17248124534919698</v>
      </c>
    </row>
    <row r="25" spans="1:12">
      <c r="A25" s="139" t="s">
        <v>329</v>
      </c>
      <c r="B25" s="140">
        <v>4088142</v>
      </c>
      <c r="C25" s="396">
        <f>B25/'- 13 -'!$J$53*100</f>
        <v>0.20451689346263716</v>
      </c>
      <c r="D25" s="140">
        <v>344711</v>
      </c>
      <c r="E25" s="396">
        <f>D25/'- 13 -'!$J$53*100</f>
        <v>1.7244807754329256E-2</v>
      </c>
      <c r="F25" s="140">
        <v>64709</v>
      </c>
      <c r="G25" s="396">
        <f>F25/'- 13 -'!$J$53*100</f>
        <v>3.2371878616432085E-3</v>
      </c>
      <c r="H25" s="140">
        <v>58018</v>
      </c>
      <c r="I25" s="396">
        <f>H25/'- 13 -'!$J$53*100</f>
        <v>2.9024581643483233E-3</v>
      </c>
      <c r="J25" s="140">
        <v>1161996</v>
      </c>
      <c r="K25" s="396">
        <f>J25/'- 13 -'!$J$53*100</f>
        <v>5.8131007224311318E-2</v>
      </c>
    </row>
    <row r="26" spans="1:12">
      <c r="A26" s="139" t="s">
        <v>330</v>
      </c>
      <c r="B26" s="140"/>
      <c r="C26" s="396">
        <f>B26/'- 13 -'!$J$53*100</f>
        <v>0</v>
      </c>
      <c r="D26" s="140"/>
      <c r="E26" s="396">
        <f>D26/'- 13 -'!$J$53*100</f>
        <v>0</v>
      </c>
      <c r="F26" s="140">
        <v>45619</v>
      </c>
      <c r="G26" s="396">
        <f>F26/'- 13 -'!$J$53*100</f>
        <v>2.282175169764662E-3</v>
      </c>
      <c r="H26" s="140"/>
      <c r="I26" s="396">
        <f>H26/'- 13 -'!$J$53*100</f>
        <v>0</v>
      </c>
      <c r="J26" s="140"/>
      <c r="K26" s="396">
        <f>J26/'- 13 -'!$J$53*100</f>
        <v>0</v>
      </c>
    </row>
    <row r="27" spans="1:12" ht="19.5" customHeight="1">
      <c r="A27" s="139" t="s">
        <v>353</v>
      </c>
      <c r="B27" s="140">
        <v>2852425</v>
      </c>
      <c r="C27" s="396">
        <f>B27/'- 13 -'!$J$53*100</f>
        <v>0.14269785634529397</v>
      </c>
      <c r="D27" s="140">
        <v>2079535</v>
      </c>
      <c r="E27" s="396">
        <f>D27/'- 13 -'!$J$53*100</f>
        <v>0.10403259917263763</v>
      </c>
      <c r="F27" s="140">
        <v>100561</v>
      </c>
      <c r="G27" s="396">
        <f>F27/'- 13 -'!$J$53*100</f>
        <v>5.0307507233105543E-3</v>
      </c>
      <c r="H27" s="140">
        <v>252781</v>
      </c>
      <c r="I27" s="396">
        <f>H27/'- 13 -'!$J$53*100</f>
        <v>1.2645838830055043E-2</v>
      </c>
      <c r="J27" s="140">
        <v>2471476</v>
      </c>
      <c r="K27" s="396">
        <f>J27/'- 13 -'!$J$53*100</f>
        <v>0.12364017536266221</v>
      </c>
      <c r="L27" s="751" t="s">
        <v>223</v>
      </c>
    </row>
    <row r="28" spans="1:12" ht="12.75" customHeight="1">
      <c r="A28" s="139" t="s">
        <v>331</v>
      </c>
      <c r="B28" s="140"/>
      <c r="C28" s="396">
        <f>B28/'- 13 -'!$J$53*100</f>
        <v>0</v>
      </c>
      <c r="D28" s="140"/>
      <c r="E28" s="396">
        <f>D28/'- 13 -'!$J$53*100</f>
        <v>0</v>
      </c>
      <c r="F28" s="140"/>
      <c r="G28" s="396">
        <f>F28/'- 13 -'!$J$53*100</f>
        <v>0</v>
      </c>
      <c r="H28" s="140"/>
      <c r="I28" s="396">
        <f>H28/'- 13 -'!$J$53*100</f>
        <v>0</v>
      </c>
      <c r="J28" s="140"/>
      <c r="K28" s="396">
        <f>J28/'- 13 -'!$J$53*100</f>
        <v>0</v>
      </c>
      <c r="L28" s="752"/>
    </row>
    <row r="29" spans="1:12" ht="12.75" customHeight="1">
      <c r="A29" s="139" t="s">
        <v>332</v>
      </c>
      <c r="B29" s="140">
        <v>608294</v>
      </c>
      <c r="C29" s="396">
        <f>B29/'- 13 -'!$J$53*100</f>
        <v>3.0431036689029248E-2</v>
      </c>
      <c r="D29" s="140">
        <v>384157</v>
      </c>
      <c r="E29" s="396">
        <f>D29/'- 13 -'!$J$53*100</f>
        <v>1.9218167138501135E-2</v>
      </c>
      <c r="F29" s="140">
        <v>2285</v>
      </c>
      <c r="G29" s="396">
        <f>F29/'- 13 -'!$J$53*100</f>
        <v>1.1431136725733252E-4</v>
      </c>
      <c r="H29" s="140"/>
      <c r="I29" s="396">
        <f>H29/'- 13 -'!$J$53*100</f>
        <v>0</v>
      </c>
      <c r="J29" s="140"/>
      <c r="K29" s="396">
        <f>J29/'- 13 -'!$J$53*100</f>
        <v>0</v>
      </c>
      <c r="L29" s="752"/>
    </row>
    <row r="30" spans="1:12" ht="12.75" customHeight="1">
      <c r="A30" s="139" t="s">
        <v>333</v>
      </c>
      <c r="B30" s="140">
        <v>444133</v>
      </c>
      <c r="C30" s="396">
        <f>B30/'- 13 -'!$J$53*100</f>
        <v>2.2218577888009131E-2</v>
      </c>
      <c r="D30" s="140">
        <v>21531</v>
      </c>
      <c r="E30" s="396">
        <f>D30/'- 13 -'!$J$53*100</f>
        <v>1.0771282487604492E-3</v>
      </c>
      <c r="F30" s="140">
        <v>1210</v>
      </c>
      <c r="G30" s="396">
        <f>F30/'- 13 -'!$J$53*100</f>
        <v>6.0532496446990094E-5</v>
      </c>
      <c r="H30" s="140">
        <v>94848</v>
      </c>
      <c r="I30" s="396">
        <f>H30/'- 13 -'!$J$53*100</f>
        <v>4.7449472917389388E-3</v>
      </c>
      <c r="J30" s="140">
        <v>300920</v>
      </c>
      <c r="K30" s="396">
        <f>J30/'- 13 -'!$J$53*100</f>
        <v>1.5054081678370461E-2</v>
      </c>
    </row>
    <row r="31" spans="1:12">
      <c r="A31" s="139" t="s">
        <v>334</v>
      </c>
      <c r="B31" s="140">
        <v>143552</v>
      </c>
      <c r="C31" s="396">
        <f>B31/'- 13 -'!$J$53*100</f>
        <v>7.1814553140151409E-3</v>
      </c>
      <c r="D31" s="140">
        <v>14240</v>
      </c>
      <c r="E31" s="396">
        <f>D31/'- 13 -'!$J$53*100</f>
        <v>7.1238243752490824E-4</v>
      </c>
      <c r="F31" s="140">
        <v>1803</v>
      </c>
      <c r="G31" s="396">
        <f>F31/'- 13 -'!$J$53*100</f>
        <v>9.0198422391672006E-5</v>
      </c>
      <c r="H31" s="140"/>
      <c r="I31" s="396">
        <f>H31/'- 13 -'!$J$53*100</f>
        <v>0</v>
      </c>
      <c r="J31" s="140">
        <v>1116052</v>
      </c>
      <c r="K31" s="396">
        <f>J31/'- 13 -'!$J$53*100</f>
        <v>5.5832573326162135E-2</v>
      </c>
    </row>
    <row r="32" spans="1:12">
      <c r="A32" s="139" t="s">
        <v>335</v>
      </c>
      <c r="B32" s="140">
        <v>2669654</v>
      </c>
      <c r="C32" s="396">
        <f>B32/'- 13 -'!$J$53*100</f>
        <v>0.13355439774354785</v>
      </c>
      <c r="D32" s="140">
        <v>71205</v>
      </c>
      <c r="E32" s="396">
        <f>D32/'- 13 -'!$J$53*100</f>
        <v>3.5621623219073799E-3</v>
      </c>
      <c r="F32" s="140">
        <v>32584</v>
      </c>
      <c r="G32" s="396">
        <f>F32/'- 13 -'!$J$53*100</f>
        <v>1.6300750944039052E-3</v>
      </c>
      <c r="H32" s="140">
        <v>47947</v>
      </c>
      <c r="I32" s="396">
        <f>H32/'- 13 -'!$J$53*100</f>
        <v>2.3986376918544083E-3</v>
      </c>
      <c r="J32" s="140">
        <v>262247</v>
      </c>
      <c r="K32" s="396">
        <f>J32/'- 13 -'!$J$53*100</f>
        <v>1.3119393054325464E-2</v>
      </c>
    </row>
    <row r="33" spans="1:11">
      <c r="A33" s="139" t="s">
        <v>336</v>
      </c>
      <c r="B33" s="140">
        <v>2793087</v>
      </c>
      <c r="C33" s="396">
        <f>B33/'- 13 -'!$J$53*100</f>
        <v>0.1397293627302762</v>
      </c>
      <c r="D33" s="140">
        <v>160229</v>
      </c>
      <c r="E33" s="396">
        <f>D33/'- 13 -'!$J$53*100</f>
        <v>8.0157532009956824E-3</v>
      </c>
      <c r="F33" s="140">
        <v>516616</v>
      </c>
      <c r="G33" s="396">
        <f>F33/'- 13 -'!$J$53*100</f>
        <v>2.584467453261011E-2</v>
      </c>
      <c r="H33" s="140">
        <v>306470</v>
      </c>
      <c r="I33" s="396">
        <f>H33/'- 13 -'!$J$53*100</f>
        <v>1.5331730732321532E-2</v>
      </c>
      <c r="J33" s="140">
        <v>-169842</v>
      </c>
      <c r="K33" s="396">
        <f>J33/'- 13 -'!$J$53*100</f>
        <v>-8.4966613731815629E-3</v>
      </c>
    </row>
    <row r="34" spans="1:11">
      <c r="A34" s="512" t="s">
        <v>440</v>
      </c>
      <c r="B34" s="140"/>
      <c r="C34" s="396">
        <f>B34/'- 13 -'!$J$53*100</f>
        <v>0</v>
      </c>
      <c r="D34" s="140"/>
      <c r="E34" s="396">
        <f>D34/'- 13 -'!$J$53*100</f>
        <v>0</v>
      </c>
      <c r="F34" s="140">
        <v>2248</v>
      </c>
      <c r="G34" s="396">
        <f>F34/'- 13 -'!$J$53*100</f>
        <v>1.1246037356432539E-4</v>
      </c>
      <c r="H34" s="140"/>
      <c r="I34" s="396">
        <f>H34/'- 13 -'!$J$53*100</f>
        <v>0</v>
      </c>
      <c r="J34" s="140"/>
      <c r="K34" s="396">
        <f>J34/'- 13 -'!$J$53*100</f>
        <v>0</v>
      </c>
    </row>
    <row r="35" spans="1:11">
      <c r="A35" s="139" t="s">
        <v>337</v>
      </c>
      <c r="B35" s="140">
        <v>336620</v>
      </c>
      <c r="C35" s="396">
        <f>B35/'- 13 -'!$J$53*100</f>
        <v>1.684004045783951E-2</v>
      </c>
      <c r="D35" s="140">
        <v>44774</v>
      </c>
      <c r="E35" s="396">
        <f>D35/'- 13 -'!$J$53*100</f>
        <v>2.2399024759649044E-3</v>
      </c>
      <c r="F35" s="140">
        <v>12507</v>
      </c>
      <c r="G35" s="396">
        <f>F35/'- 13 -'!$J$53*100</f>
        <v>6.256858950929794E-4</v>
      </c>
      <c r="H35" s="140">
        <v>106455</v>
      </c>
      <c r="I35" s="396">
        <f>H35/'- 13 -'!$J$53*100</f>
        <v>5.3256090159209341E-3</v>
      </c>
      <c r="J35" s="140">
        <v>592384</v>
      </c>
      <c r="K35" s="396">
        <f>J35/'- 13 -'!$J$53*100</f>
        <v>2.9635109401036183E-2</v>
      </c>
    </row>
    <row r="36" spans="1:11">
      <c r="A36" s="139" t="s">
        <v>338</v>
      </c>
      <c r="B36" s="140">
        <v>845912</v>
      </c>
      <c r="C36" s="396">
        <f>B36/'- 13 -'!$J$53*100</f>
        <v>4.2318318292947341E-2</v>
      </c>
      <c r="D36" s="140">
        <v>89103</v>
      </c>
      <c r="E36" s="396">
        <f>D36/'- 13 -'!$J$53*100</f>
        <v>4.4575430007571552E-3</v>
      </c>
      <c r="F36" s="140">
        <v>4603</v>
      </c>
      <c r="G36" s="396">
        <f>F36/'- 13 -'!$J$53*100</f>
        <v>2.3027362078140116E-4</v>
      </c>
      <c r="H36" s="140">
        <v>3867</v>
      </c>
      <c r="I36" s="396">
        <f>H36/'- 13 -'!$J$53*100</f>
        <v>1.9345385434752947E-4</v>
      </c>
      <c r="J36" s="140">
        <v>2110865</v>
      </c>
      <c r="K36" s="396">
        <f>J36/'- 13 -'!$J$53*100</f>
        <v>0.10559994058890557</v>
      </c>
    </row>
    <row r="37" spans="1:11">
      <c r="A37" s="144" t="s">
        <v>339</v>
      </c>
      <c r="B37" s="140">
        <v>269151</v>
      </c>
      <c r="C37" s="396">
        <f>B37/'- 13 -'!$J$53*100</f>
        <v>1.346477847206928E-2</v>
      </c>
      <c r="D37" s="140">
        <v>141356</v>
      </c>
      <c r="E37" s="396">
        <f>D37/'- 13 -'!$J$53*100</f>
        <v>7.0715963369923406E-3</v>
      </c>
      <c r="F37" s="140">
        <v>33762</v>
      </c>
      <c r="G37" s="396">
        <f>F37/'- 13 -'!$J$53*100</f>
        <v>1.6890067314407268E-3</v>
      </c>
      <c r="H37" s="140">
        <v>50730</v>
      </c>
      <c r="I37" s="396">
        <f>H37/'- 13 -'!$J$53*100</f>
        <v>2.5378624336824854E-3</v>
      </c>
      <c r="J37" s="140">
        <v>1251921</v>
      </c>
      <c r="K37" s="396">
        <f>J37/'- 13 -'!$J$53*100</f>
        <v>6.2629672301167172E-2</v>
      </c>
    </row>
    <row r="38" spans="1:11">
      <c r="A38" s="145" t="s">
        <v>340</v>
      </c>
      <c r="B38" s="140">
        <v>7552370</v>
      </c>
      <c r="C38" s="396">
        <f>B38/'- 13 -'!$J$53*100</f>
        <v>0.37782133073665664</v>
      </c>
      <c r="D38" s="140">
        <v>41485</v>
      </c>
      <c r="E38" s="396">
        <f>D38/'- 13 -'!$J$53*100</f>
        <v>2.0753641447135403E-3</v>
      </c>
      <c r="F38" s="140">
        <v>15906</v>
      </c>
      <c r="G38" s="396">
        <f>F38/'- 13 -'!$J$53*100</f>
        <v>7.9572718056679695E-4</v>
      </c>
      <c r="H38" s="140">
        <v>10157</v>
      </c>
      <c r="I38" s="396">
        <f>H38/'- 13 -'!$J$53*100</f>
        <v>5.0812278215874246E-4</v>
      </c>
      <c r="J38" s="140">
        <v>2266827</v>
      </c>
      <c r="K38" s="396">
        <f>J38/'- 13 -'!$J$53*100</f>
        <v>0.11340222919292663</v>
      </c>
    </row>
    <row r="39" spans="1:11">
      <c r="A39" s="143" t="s">
        <v>341</v>
      </c>
      <c r="B39" s="398">
        <f>SUM(B24:B38)</f>
        <v>29177527</v>
      </c>
      <c r="C39" s="399">
        <f>B39/'- 13 -'!$J$53*100</f>
        <v>1.4596599582309566</v>
      </c>
      <c r="D39" s="398">
        <f>SUM(D24:D38)</f>
        <v>9392904</v>
      </c>
      <c r="E39" s="399">
        <f>D39/'- 13 -'!$J$53*100</f>
        <v>0.469897461162743</v>
      </c>
      <c r="F39" s="398">
        <f>SUM(F24:F38)</f>
        <v>985759</v>
      </c>
      <c r="G39" s="399">
        <f>F39/'- 13 -'!$J$53*100</f>
        <v>4.9314424103378933E-2</v>
      </c>
      <c r="H39" s="398">
        <f>SUM(H24:H38)</f>
        <v>2315547</v>
      </c>
      <c r="I39" s="399">
        <f>H39/'- 13 -'!$J$53*100</f>
        <v>0.11583953764490791</v>
      </c>
      <c r="J39" s="398">
        <f>SUM(J24:J38)</f>
        <v>14812619</v>
      </c>
      <c r="K39" s="399">
        <f>J39/'- 13 -'!$J$53*100</f>
        <v>0.74102876610588253</v>
      </c>
    </row>
    <row r="40" spans="1:11">
      <c r="A40" s="362" t="s">
        <v>342</v>
      </c>
      <c r="B40" s="146"/>
      <c r="C40" s="397"/>
      <c r="D40" s="146"/>
      <c r="E40" s="397"/>
      <c r="F40" s="146"/>
      <c r="G40" s="397"/>
      <c r="H40" s="146"/>
      <c r="I40" s="397"/>
      <c r="J40" s="146"/>
      <c r="K40" s="397"/>
    </row>
    <row r="41" spans="1:11">
      <c r="A41" s="139" t="s">
        <v>343</v>
      </c>
      <c r="B41" s="140">
        <v>28736498</v>
      </c>
      <c r="C41" s="396">
        <f>B41/'- 13 -'!$J$53*100</f>
        <v>1.4375966637057338</v>
      </c>
      <c r="D41" s="140">
        <v>2562262</v>
      </c>
      <c r="E41" s="396">
        <f>D41/'- 13 -'!$J$53*100</f>
        <v>0.12818191356302291</v>
      </c>
      <c r="F41" s="140">
        <v>136918</v>
      </c>
      <c r="G41" s="396">
        <f>F41/'- 13 -'!$J$53*100</f>
        <v>6.8495771475446188E-3</v>
      </c>
      <c r="H41" s="140">
        <v>1370094</v>
      </c>
      <c r="I41" s="396">
        <f>H41/'- 13 -'!$J$53*100</f>
        <v>6.854149602234913E-2</v>
      </c>
      <c r="J41" s="140">
        <v>1534174</v>
      </c>
      <c r="K41" s="396">
        <f>J41/'- 13 -'!$J$53*100</f>
        <v>7.6749902647987242E-2</v>
      </c>
    </row>
    <row r="42" spans="1:11">
      <c r="A42" s="139" t="s">
        <v>344</v>
      </c>
      <c r="B42" s="140">
        <v>10674108</v>
      </c>
      <c r="C42" s="396">
        <f>B42/'- 13 -'!$J$53*100</f>
        <v>0.53399206990478398</v>
      </c>
      <c r="D42" s="140">
        <v>754868</v>
      </c>
      <c r="E42" s="396">
        <f>D42/'- 13 -'!$J$53*100</f>
        <v>3.7763673163592165E-2</v>
      </c>
      <c r="F42" s="140">
        <v>57924</v>
      </c>
      <c r="G42" s="396">
        <f>F42/'- 13 -'!$J$53*100</f>
        <v>2.8977556398309535E-3</v>
      </c>
      <c r="H42" s="140">
        <v>125949</v>
      </c>
      <c r="I42" s="396">
        <f>H42/'- 13 -'!$J$53*100</f>
        <v>6.3008325578528552E-3</v>
      </c>
      <c r="J42" s="140">
        <v>114191</v>
      </c>
      <c r="K42" s="396">
        <f>J42/'- 13 -'!$J$53*100</f>
        <v>5.7126167783291288E-3</v>
      </c>
    </row>
    <row r="43" spans="1:11">
      <c r="A43" s="139" t="s">
        <v>345</v>
      </c>
      <c r="B43" s="140">
        <v>10426051</v>
      </c>
      <c r="C43" s="396">
        <f>B43/'- 13 -'!$J$53*100</f>
        <v>0.52158255794515496</v>
      </c>
      <c r="D43" s="140">
        <v>509990</v>
      </c>
      <c r="E43" s="396">
        <f>D43/'- 13 -'!$J$53*100</f>
        <v>2.5513196580992131E-2</v>
      </c>
      <c r="F43" s="140">
        <v>37560</v>
      </c>
      <c r="G43" s="396">
        <f>F43/'- 13 -'!$J$53*100</f>
        <v>1.8790087326850809E-3</v>
      </c>
      <c r="H43" s="140">
        <v>111206</v>
      </c>
      <c r="I43" s="396">
        <f>H43/'- 13 -'!$J$53*100</f>
        <v>5.563286611474364E-3</v>
      </c>
      <c r="J43" s="140">
        <v>270394</v>
      </c>
      <c r="K43" s="396">
        <f>J43/'- 13 -'!$J$53*100</f>
        <v>1.3526961854783007E-2</v>
      </c>
    </row>
    <row r="44" spans="1:11">
      <c r="A44" s="145" t="s">
        <v>346</v>
      </c>
      <c r="B44" s="140">
        <v>18712316</v>
      </c>
      <c r="C44" s="396">
        <f>B44/'- 13 -'!$J$53*100</f>
        <v>0.93611834858260812</v>
      </c>
      <c r="D44" s="140">
        <v>672949</v>
      </c>
      <c r="E44" s="396">
        <f>D44/'- 13 -'!$J$53*100</f>
        <v>3.3665523100417795E-2</v>
      </c>
      <c r="F44" s="140">
        <v>102286</v>
      </c>
      <c r="G44" s="396">
        <f>F44/'- 13 -'!$J$53*100</f>
        <v>5.1170470508899403E-3</v>
      </c>
      <c r="H44" s="140">
        <v>64917</v>
      </c>
      <c r="I44" s="396">
        <f>H44/'- 13 -'!$J$53*100</f>
        <v>3.2475934478093022E-3</v>
      </c>
      <c r="J44" s="140">
        <v>471180</v>
      </c>
      <c r="K44" s="396">
        <f>J44/'- 13 -'!$J$53*100</f>
        <v>2.3571654277597349E-2</v>
      </c>
    </row>
    <row r="45" spans="1:11">
      <c r="A45" s="143" t="s">
        <v>347</v>
      </c>
      <c r="B45" s="398">
        <f>SUM(B41:B44)</f>
        <v>68548973</v>
      </c>
      <c r="C45" s="399">
        <f>B45/'- 13 -'!$J$53*100</f>
        <v>3.4292896401382804</v>
      </c>
      <c r="D45" s="398">
        <f>SUM(D41:D44)</f>
        <v>4500069</v>
      </c>
      <c r="E45" s="399">
        <f>D45/'- 13 -'!$J$53*100</f>
        <v>0.22512430640802503</v>
      </c>
      <c r="F45" s="398">
        <f>SUM(F41:F44)</f>
        <v>334688</v>
      </c>
      <c r="G45" s="399">
        <f>F45/'- 13 -'!$J$53*100</f>
        <v>1.6743388570950594E-2</v>
      </c>
      <c r="H45" s="398">
        <f>SUM(H41:H44)</f>
        <v>1672166</v>
      </c>
      <c r="I45" s="399">
        <f>H45/'- 13 -'!$J$53*100</f>
        <v>8.3653208639485652E-2</v>
      </c>
      <c r="J45" s="398">
        <f>SUM(J41:J44)</f>
        <v>2389939</v>
      </c>
      <c r="K45" s="399">
        <f>J45/'- 13 -'!$J$53*100</f>
        <v>0.11956113555869673</v>
      </c>
    </row>
    <row r="46" spans="1:11">
      <c r="A46" s="361" t="s">
        <v>108</v>
      </c>
      <c r="B46" s="146"/>
      <c r="C46" s="397"/>
      <c r="D46" s="146"/>
      <c r="E46" s="397"/>
      <c r="F46" s="146"/>
      <c r="G46" s="397"/>
      <c r="H46" s="146"/>
      <c r="I46" s="397"/>
      <c r="J46" s="146"/>
      <c r="K46" s="397"/>
    </row>
    <row r="47" spans="1:11" ht="14.25">
      <c r="A47" s="145" t="s">
        <v>403</v>
      </c>
      <c r="B47" s="140"/>
      <c r="C47" s="396"/>
      <c r="D47" s="140"/>
      <c r="E47" s="396"/>
      <c r="F47" s="140">
        <v>59258</v>
      </c>
      <c r="G47" s="396"/>
      <c r="H47" s="140">
        <v>2700</v>
      </c>
      <c r="I47" s="396"/>
      <c r="J47" s="140">
        <v>-61958</v>
      </c>
      <c r="K47" s="396"/>
    </row>
    <row r="48" spans="1:11">
      <c r="A48" s="143" t="s">
        <v>350</v>
      </c>
      <c r="B48" s="398"/>
      <c r="C48" s="399"/>
      <c r="D48" s="398"/>
      <c r="E48" s="399"/>
      <c r="F48" s="398">
        <f>F47</f>
        <v>59258</v>
      </c>
      <c r="G48" s="399"/>
      <c r="H48" s="398">
        <f>H47</f>
        <v>2700</v>
      </c>
      <c r="I48" s="399"/>
      <c r="J48" s="398">
        <f>J47</f>
        <v>-61958</v>
      </c>
      <c r="K48" s="399"/>
    </row>
    <row r="49" spans="1:11" ht="5.0999999999999996" customHeight="1">
      <c r="A49" s="30"/>
      <c r="B49" s="39"/>
      <c r="C49" s="147"/>
      <c r="D49" s="65"/>
      <c r="E49" s="147"/>
      <c r="F49" s="65"/>
      <c r="G49" s="147"/>
      <c r="H49" s="65"/>
      <c r="I49" s="147"/>
      <c r="J49" s="65"/>
      <c r="K49" s="147"/>
    </row>
    <row r="50" spans="1:11">
      <c r="A50" s="363" t="s">
        <v>351</v>
      </c>
      <c r="B50" s="400">
        <f>SUM(B48,B45,B39,B22,B21)</f>
        <v>1104797126</v>
      </c>
      <c r="C50" s="401">
        <f>B50/'- 13 -'!$J$53*100</f>
        <v>55.269527358875926</v>
      </c>
      <c r="D50" s="400">
        <f>SUM(D48,D45,D39,D22,D21)</f>
        <v>375997040</v>
      </c>
      <c r="E50" s="401">
        <f>D50/'- 13 -'!$J$53*100</f>
        <v>18.809949989982471</v>
      </c>
      <c r="F50" s="400">
        <f>SUM(F48,F45,F39,F22,F21)</f>
        <v>8936558</v>
      </c>
      <c r="G50" s="401">
        <f>F50/'- 13 -'!$J$53*100</f>
        <v>0.4470679052754718</v>
      </c>
      <c r="H50" s="400">
        <f>SUM(H48,H45,H39,H22,H21)</f>
        <v>19868028</v>
      </c>
      <c r="I50" s="401">
        <f>H50/'- 13 -'!$J$53*100</f>
        <v>0.99393498704024763</v>
      </c>
      <c r="J50" s="400">
        <f>SUM(J48,J45,J39,J22,J21)</f>
        <v>69086347</v>
      </c>
      <c r="K50" s="401">
        <f>J50/'- 13 -'!$J$53*100</f>
        <v>3.4561727721595243</v>
      </c>
    </row>
    <row r="51" spans="1:11" ht="15.95" customHeight="1">
      <c r="A51" s="148" t="s">
        <v>629</v>
      </c>
    </row>
    <row r="52" spans="1:11">
      <c r="A52" s="150"/>
      <c r="B52" s="1">
        <f>+B50-'- 15 -'!B48</f>
        <v>0</v>
      </c>
      <c r="D52" s="1">
        <f>+D50-'- 15 -'!E48</f>
        <v>0</v>
      </c>
      <c r="F52" s="1">
        <f>+F50-'- 15 -'!H48</f>
        <v>0</v>
      </c>
      <c r="H52" s="1">
        <f>H50-'- 16 -'!B48</f>
        <v>0</v>
      </c>
      <c r="J52" s="1">
        <f>+J50-'- 16 -'!D48</f>
        <v>0</v>
      </c>
    </row>
    <row r="54" spans="1:11">
      <c r="B54" s="1">
        <f>+B50-'- 15 -'!B48</f>
        <v>0</v>
      </c>
      <c r="F54" s="1">
        <f>+F50-'- 15 -'!H48</f>
        <v>0</v>
      </c>
      <c r="J54" s="1">
        <f>+J50-'- 16 -'!D48</f>
        <v>0</v>
      </c>
    </row>
  </sheetData>
  <mergeCells count="1">
    <mergeCell ref="L27:L29"/>
  </mergeCells>
  <phoneticPr fontId="6" type="noConversion"/>
  <printOptions verticalCentered="1"/>
  <pageMargins left="0.51181102362204722" right="0" top="0.59055118110236227" bottom="0.19685039370078741" header="0.31496062992125984" footer="0.51181102362204722"/>
  <pageSetup scale="93"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Sheet9">
    <pageSetUpPr autoPageBreaks="0" fitToPage="1"/>
  </sheetPr>
  <dimension ref="A2:O54"/>
  <sheetViews>
    <sheetView showGridLines="0" showZeros="0" workbookViewId="0"/>
  </sheetViews>
  <sheetFormatPr defaultColWidth="14.83203125" defaultRowHeight="12"/>
  <cols>
    <col min="1" max="1" width="48.83203125" style="1" customWidth="1"/>
    <col min="2" max="2" width="22.83203125" style="1" customWidth="1"/>
    <col min="3" max="3" width="7.83203125" style="1" customWidth="1"/>
    <col min="4" max="4" width="15.83203125" style="1" customWidth="1"/>
    <col min="5" max="5" width="7.83203125" style="1" customWidth="1"/>
    <col min="6" max="6" width="15.83203125" style="1" customWidth="1"/>
    <col min="7" max="7" width="7.83203125" style="1" customWidth="1"/>
    <col min="8" max="8" width="12.83203125" style="1" customWidth="1"/>
    <col min="9" max="9" width="7.83203125" style="1" customWidth="1"/>
    <col min="10" max="10" width="15.83203125" style="1" customWidth="1"/>
    <col min="11" max="11" width="8.83203125" style="1" customWidth="1"/>
    <col min="12" max="12" width="5.83203125" style="1" customWidth="1"/>
    <col min="13" max="13" width="45.6640625" style="1" bestFit="1" customWidth="1"/>
    <col min="14" max="16384" width="14.83203125" style="1"/>
  </cols>
  <sheetData>
    <row r="2" spans="1:14">
      <c r="A2" s="46"/>
      <c r="B2" s="46"/>
      <c r="C2" s="47" t="str">
        <f>OPYEAR</f>
        <v>OPERATING FUND 2012/2013 ACTUAL</v>
      </c>
      <c r="D2" s="47"/>
      <c r="E2" s="47"/>
      <c r="F2" s="48"/>
      <c r="G2" s="48"/>
      <c r="H2" s="48"/>
      <c r="I2" s="48"/>
      <c r="J2" s="49"/>
      <c r="K2" s="129" t="s">
        <v>173</v>
      </c>
    </row>
    <row r="3" spans="1:14" ht="11.1" customHeight="1">
      <c r="J3" s="90"/>
      <c r="K3" s="90"/>
    </row>
    <row r="4" spans="1:14" ht="15.75">
      <c r="B4" s="326" t="s">
        <v>484</v>
      </c>
      <c r="C4" s="90"/>
      <c r="D4" s="90"/>
      <c r="E4" s="90"/>
      <c r="F4" s="90"/>
      <c r="G4" s="90"/>
      <c r="H4" s="90"/>
      <c r="I4" s="90"/>
      <c r="J4" s="90"/>
      <c r="K4" s="90"/>
    </row>
    <row r="5" spans="1:14" ht="15.75">
      <c r="B5" s="326" t="s">
        <v>485</v>
      </c>
      <c r="C5" s="90"/>
      <c r="D5" s="90"/>
      <c r="E5" s="90"/>
      <c r="F5" s="90"/>
      <c r="G5" s="90"/>
      <c r="H5" s="90"/>
      <c r="I5" s="90"/>
      <c r="J5" s="90"/>
      <c r="K5" s="90"/>
    </row>
    <row r="6" spans="1:14" ht="11.1" customHeight="1"/>
    <row r="7" spans="1:14">
      <c r="B7" s="130" t="s">
        <v>174</v>
      </c>
      <c r="C7" s="48"/>
      <c r="D7" s="48"/>
      <c r="E7" s="48"/>
      <c r="F7" s="48"/>
      <c r="G7" s="48"/>
      <c r="H7" s="48"/>
      <c r="I7" s="131"/>
    </row>
    <row r="8" spans="1:14">
      <c r="A8" s="7"/>
      <c r="B8" s="357" t="s">
        <v>443</v>
      </c>
      <c r="C8" s="358"/>
      <c r="D8" s="360" t="s">
        <v>37</v>
      </c>
      <c r="E8" s="358"/>
      <c r="F8" s="360" t="s">
        <v>38</v>
      </c>
      <c r="G8" s="358"/>
      <c r="H8" s="359"/>
      <c r="I8" s="354"/>
      <c r="J8" s="364"/>
      <c r="K8" s="354"/>
    </row>
    <row r="9" spans="1:14">
      <c r="A9" s="7"/>
      <c r="B9" s="344" t="s">
        <v>50</v>
      </c>
      <c r="C9" s="346"/>
      <c r="D9" s="345" t="s">
        <v>65</v>
      </c>
      <c r="E9" s="346"/>
      <c r="F9" s="345" t="s">
        <v>66</v>
      </c>
      <c r="G9" s="346"/>
      <c r="H9" s="345" t="s">
        <v>67</v>
      </c>
      <c r="I9" s="365"/>
      <c r="J9" s="345" t="s">
        <v>68</v>
      </c>
      <c r="K9" s="365"/>
    </row>
    <row r="10" spans="1:14">
      <c r="A10" s="132" t="s">
        <v>163</v>
      </c>
      <c r="B10" s="133" t="s">
        <v>95</v>
      </c>
      <c r="C10" s="133" t="s">
        <v>96</v>
      </c>
      <c r="D10" s="133" t="s">
        <v>95</v>
      </c>
      <c r="E10" s="133" t="s">
        <v>96</v>
      </c>
      <c r="F10" s="133" t="s">
        <v>95</v>
      </c>
      <c r="G10" s="133" t="s">
        <v>96</v>
      </c>
      <c r="H10" s="133" t="s">
        <v>95</v>
      </c>
      <c r="I10" s="54" t="s">
        <v>96</v>
      </c>
      <c r="J10" s="133" t="s">
        <v>95</v>
      </c>
      <c r="K10" s="54" t="s">
        <v>96</v>
      </c>
    </row>
    <row r="11" spans="1:14" ht="5.0999999999999996" customHeight="1"/>
    <row r="12" spans="1:14">
      <c r="A12" s="361" t="s">
        <v>166</v>
      </c>
      <c r="B12" s="135"/>
      <c r="C12" s="136"/>
      <c r="D12" s="135"/>
      <c r="E12" s="136"/>
      <c r="F12" s="135"/>
      <c r="G12" s="136"/>
      <c r="H12" s="135"/>
      <c r="I12" s="136"/>
      <c r="J12" s="135"/>
      <c r="K12" s="136"/>
      <c r="M12" s="1" t="s">
        <v>166</v>
      </c>
      <c r="N12" s="149">
        <f>K21/100</f>
        <v>0.76585724159915169</v>
      </c>
    </row>
    <row r="13" spans="1:14">
      <c r="A13" s="137" t="s">
        <v>320</v>
      </c>
      <c r="B13" s="138"/>
      <c r="C13" s="395"/>
      <c r="D13" s="138"/>
      <c r="E13" s="395"/>
      <c r="F13" s="138"/>
      <c r="G13" s="395"/>
      <c r="H13" s="138"/>
      <c r="I13" s="395"/>
      <c r="J13" s="138">
        <f>SUM(F13,D13,B13,'- 12 -'!J13,'- 12 -'!H13,'- 12 -'!F13,'- 12 -'!D13,'- 12 -'!B13)</f>
        <v>3769978</v>
      </c>
      <c r="K13" s="395">
        <f t="shared" ref="K13:K22" si="0">J13/$J$53*100</f>
        <v>0.18860014866961225</v>
      </c>
      <c r="M13" s="1" t="s">
        <v>188</v>
      </c>
      <c r="N13" s="149">
        <f>K22/100</f>
        <v>6.3105352166573161E-2</v>
      </c>
    </row>
    <row r="14" spans="1:14">
      <c r="A14" s="137" t="s">
        <v>357</v>
      </c>
      <c r="B14" s="138">
        <v>2353260</v>
      </c>
      <c r="C14" s="395">
        <f>B14/$J$53*100</f>
        <v>0.11772620048664786</v>
      </c>
      <c r="D14" s="138">
        <v>2395634</v>
      </c>
      <c r="E14" s="395">
        <f>D14/$J$53*100</f>
        <v>0.11984603850685013</v>
      </c>
      <c r="F14" s="138">
        <v>4024075</v>
      </c>
      <c r="G14" s="395">
        <f>F14/$J$53*100</f>
        <v>0.20131182284291047</v>
      </c>
      <c r="H14" s="138"/>
      <c r="I14" s="395"/>
      <c r="J14" s="138">
        <f>SUM(F14,D14,B14,'- 12 -'!J14,'- 12 -'!H14,'- 12 -'!F14,'- 12 -'!D14,'- 12 -'!B14)</f>
        <v>119109180</v>
      </c>
      <c r="K14" s="395">
        <f t="shared" si="0"/>
        <v>5.9586578637635563</v>
      </c>
      <c r="M14" s="1" t="s">
        <v>153</v>
      </c>
      <c r="N14" s="149">
        <f>K39/100</f>
        <v>9.2059058261014015E-2</v>
      </c>
    </row>
    <row r="15" spans="1:14">
      <c r="A15" s="137" t="s">
        <v>321</v>
      </c>
      <c r="B15" s="138">
        <v>25453200</v>
      </c>
      <c r="C15" s="395">
        <f>B15/$J$53*100</f>
        <v>1.2733435855905191</v>
      </c>
      <c r="D15" s="138"/>
      <c r="E15" s="395">
        <f>D15/$J$53*100</f>
        <v>0</v>
      </c>
      <c r="F15" s="138"/>
      <c r="G15" s="395">
        <f>F15/$J$53*100</f>
        <v>0</v>
      </c>
      <c r="H15" s="138"/>
      <c r="I15" s="395"/>
      <c r="J15" s="138">
        <f>SUM(F15,D15,B15,'- 12 -'!J15,'- 12 -'!H15,'- 12 -'!F15,'- 12 -'!D15,'- 12 -'!B15)</f>
        <v>974366493</v>
      </c>
      <c r="K15" s="395">
        <f t="shared" si="0"/>
        <v>48.744492789742722</v>
      </c>
      <c r="M15" s="1" t="s">
        <v>189</v>
      </c>
      <c r="N15" s="149">
        <f>K45/100</f>
        <v>6.1661016785234037E-2</v>
      </c>
    </row>
    <row r="16" spans="1:14">
      <c r="A16" s="137" t="s">
        <v>322</v>
      </c>
      <c r="B16" s="138">
        <v>12134953</v>
      </c>
      <c r="C16" s="395">
        <f>B16/$J$53*100</f>
        <v>0.60707355318751388</v>
      </c>
      <c r="D16" s="138">
        <v>186826</v>
      </c>
      <c r="E16" s="395">
        <f>D16/$J$53*100</f>
        <v>9.3463175051284059E-3</v>
      </c>
      <c r="F16" s="138"/>
      <c r="G16" s="395">
        <f>F16/$J$53*100</f>
        <v>0</v>
      </c>
      <c r="H16" s="138"/>
      <c r="I16" s="395"/>
      <c r="J16" s="138">
        <f>SUM(F16,D16,B16,'- 12 -'!J16,'- 12 -'!H16,'- 12 -'!F16,'- 12 -'!D16,'- 12 -'!B16)</f>
        <v>183911554</v>
      </c>
      <c r="K16" s="395">
        <f t="shared" si="0"/>
        <v>9.2005169331119223</v>
      </c>
      <c r="M16" s="1" t="s">
        <v>81</v>
      </c>
      <c r="N16" s="149">
        <f>K48/100</f>
        <v>7.4435059940883839E-4</v>
      </c>
    </row>
    <row r="17" spans="1:15">
      <c r="A17" s="137" t="s">
        <v>323</v>
      </c>
      <c r="B17" s="138">
        <v>4400486</v>
      </c>
      <c r="C17" s="395">
        <f>B17/$J$53*100</f>
        <v>0.2201424819504377</v>
      </c>
      <c r="D17" s="138">
        <v>34356801</v>
      </c>
      <c r="E17" s="395">
        <f>D17/$J$53*100</f>
        <v>1.7187627557540872</v>
      </c>
      <c r="F17" s="138">
        <v>95087370</v>
      </c>
      <c r="G17" s="395">
        <f>F17/$J$53*100</f>
        <v>4.7569222203955634</v>
      </c>
      <c r="H17" s="138"/>
      <c r="I17" s="395"/>
      <c r="J17" s="138">
        <f>SUM(F17,D17,B17,'- 12 -'!J17,'- 12 -'!H17,'- 12 -'!F17,'- 12 -'!D17,'- 12 -'!B17)</f>
        <v>146928224</v>
      </c>
      <c r="K17" s="395">
        <f t="shared" si="0"/>
        <v>7.3503571878037715</v>
      </c>
      <c r="M17" s="1" t="s">
        <v>108</v>
      </c>
      <c r="N17" s="149">
        <f>K51/100-N16</f>
        <v>1.6572980588618134E-2</v>
      </c>
    </row>
    <row r="18" spans="1:15">
      <c r="A18" s="139" t="s">
        <v>324</v>
      </c>
      <c r="B18" s="138">
        <v>2745696</v>
      </c>
      <c r="C18" s="395">
        <f>B18/$J$53*100</f>
        <v>0.13735853997067349</v>
      </c>
      <c r="D18" s="138">
        <v>1280553</v>
      </c>
      <c r="E18" s="395">
        <f>D18/$J$53*100</f>
        <v>6.4062041258415289E-2</v>
      </c>
      <c r="F18" s="138">
        <v>1563052</v>
      </c>
      <c r="G18" s="395">
        <f>F18/$J$53*100</f>
        <v>7.8194578211951041E-2</v>
      </c>
      <c r="H18" s="138"/>
      <c r="I18" s="395"/>
      <c r="J18" s="138">
        <f>SUM(F18,D18,B18,'- 12 -'!J18,'- 12 -'!H18,'- 12 -'!F18,'- 12 -'!D18,'- 12 -'!B18)</f>
        <v>58130910</v>
      </c>
      <c r="K18" s="395">
        <f t="shared" si="0"/>
        <v>2.9081066967233888</v>
      </c>
      <c r="N18" s="149"/>
    </row>
    <row r="19" spans="1:15">
      <c r="A19" s="139" t="s">
        <v>325</v>
      </c>
      <c r="B19" s="140"/>
      <c r="C19" s="396"/>
      <c r="D19" s="140"/>
      <c r="E19" s="396"/>
      <c r="F19" s="140"/>
      <c r="G19" s="396"/>
      <c r="H19" s="140"/>
      <c r="I19" s="396"/>
      <c r="J19" s="140">
        <f>SUM(F19,D19,B19,'- 12 -'!J19,'- 12 -'!H19,'- 12 -'!F19,'- 12 -'!D19,'- 12 -'!B19)</f>
        <v>31109013</v>
      </c>
      <c r="K19" s="396">
        <f t="shared" si="0"/>
        <v>1.556286131315594</v>
      </c>
      <c r="N19" s="149">
        <f>SUM(N12:N17)</f>
        <v>0.99999999999999989</v>
      </c>
    </row>
    <row r="20" spans="1:15">
      <c r="A20" s="142" t="s">
        <v>326</v>
      </c>
      <c r="B20" s="141">
        <v>402267</v>
      </c>
      <c r="C20" s="396">
        <f>B20/'- 13 -'!$J$53*100</f>
        <v>2.0124153510943276E-2</v>
      </c>
      <c r="D20" s="141">
        <v>0</v>
      </c>
      <c r="E20" s="396">
        <f>D20/'- 13 -'!$J$53*100</f>
        <v>0</v>
      </c>
      <c r="F20" s="141">
        <v>0</v>
      </c>
      <c r="G20" s="396">
        <f>F20/'- 13 -'!$J$53*100</f>
        <v>0</v>
      </c>
      <c r="H20" s="141"/>
      <c r="I20" s="396"/>
      <c r="J20" s="141">
        <f>SUM(F20,D20,B20,'- 12 -'!J20,'- 12 -'!H20,'- 12 -'!F20,'- 12 -'!D20,'- 12 -'!B20)</f>
        <v>13566841</v>
      </c>
      <c r="K20" s="396">
        <f t="shared" si="0"/>
        <v>0.67870640878461108</v>
      </c>
      <c r="N20" s="149"/>
    </row>
    <row r="21" spans="1:15">
      <c r="A21" s="143" t="s">
        <v>327</v>
      </c>
      <c r="B21" s="398">
        <f>SUM(B13:B20)</f>
        <v>47489862</v>
      </c>
      <c r="C21" s="399">
        <f>B21/$J$53*100</f>
        <v>2.3757685146967353</v>
      </c>
      <c r="D21" s="398">
        <f>SUM(D13:D20)</f>
        <v>38219814</v>
      </c>
      <c r="E21" s="399">
        <f>D21/$J$53*100</f>
        <v>1.9120171530244812</v>
      </c>
      <c r="F21" s="398">
        <f>SUM(F13:F20)</f>
        <v>100674497</v>
      </c>
      <c r="G21" s="399">
        <f>F21/$J$53*100</f>
        <v>5.0364286214504252</v>
      </c>
      <c r="H21" s="398"/>
      <c r="I21" s="399"/>
      <c r="J21" s="398">
        <f>SUM(F21,D21,B21,'- 12 -'!J21,'- 12 -'!H21,'- 12 -'!F21,'- 12 -'!D21,'- 12 -'!B21)</f>
        <v>1530892193</v>
      </c>
      <c r="K21" s="399">
        <f t="shared" si="0"/>
        <v>76.585724159915173</v>
      </c>
      <c r="N21" s="149"/>
    </row>
    <row r="22" spans="1:15">
      <c r="A22" s="361" t="s">
        <v>176</v>
      </c>
      <c r="B22" s="398">
        <v>4399197</v>
      </c>
      <c r="C22" s="399">
        <f>B22/$J$53*100</f>
        <v>0.22007799733232189</v>
      </c>
      <c r="D22" s="398">
        <v>5476737</v>
      </c>
      <c r="E22" s="399">
        <f>D22/$J$53*100</f>
        <v>0.27398393635834639</v>
      </c>
      <c r="F22" s="398">
        <v>16220127</v>
      </c>
      <c r="G22" s="399">
        <f>F22/$J$53*100</f>
        <v>0.81144196693985793</v>
      </c>
      <c r="H22" s="398"/>
      <c r="I22" s="399"/>
      <c r="J22" s="398">
        <f>SUM(F22,D22,B22,'- 12 -'!J22,'- 12 -'!H22,'- 12 -'!F22,'- 12 -'!D22,'- 12 -'!B22)</f>
        <v>126142949</v>
      </c>
      <c r="K22" s="399">
        <f t="shared" si="0"/>
        <v>6.3105352166573159</v>
      </c>
    </row>
    <row r="23" spans="1:15">
      <c r="A23" s="361" t="s">
        <v>153</v>
      </c>
      <c r="B23" s="146"/>
      <c r="C23" s="397"/>
      <c r="D23" s="146"/>
      <c r="E23" s="397"/>
      <c r="F23" s="146"/>
      <c r="G23" s="397"/>
      <c r="H23" s="146"/>
      <c r="I23" s="397"/>
      <c r="J23" s="146"/>
      <c r="K23" s="397"/>
      <c r="M23" s="1" t="s">
        <v>62</v>
      </c>
      <c r="N23" s="149">
        <f>'- 12 -'!C50/100</f>
        <v>0.55269527358875925</v>
      </c>
      <c r="O23" s="1" t="s">
        <v>62</v>
      </c>
    </row>
    <row r="24" spans="1:15">
      <c r="A24" s="139" t="s">
        <v>328</v>
      </c>
      <c r="B24" s="138">
        <v>1919371</v>
      </c>
      <c r="C24" s="395">
        <f t="shared" ref="C24:C34" si="1">B24/$J$53*100</f>
        <v>9.6020097717318856E-2</v>
      </c>
      <c r="D24" s="138">
        <v>250713</v>
      </c>
      <c r="E24" s="395">
        <f t="shared" ref="E24:E34" si="2">D24/$J$53*100</f>
        <v>1.2542383290672915E-2</v>
      </c>
      <c r="F24" s="138">
        <v>5570864</v>
      </c>
      <c r="G24" s="395">
        <f t="shared" ref="G24:G34" si="3">F24/$J$53*100</f>
        <v>0.2786928142865</v>
      </c>
      <c r="H24" s="138"/>
      <c r="I24" s="395"/>
      <c r="J24" s="138">
        <f>SUM(F24,D24,B24,'- 12 -'!J24,'- 12 -'!H24,'- 12 -'!F24,'- 12 -'!D24,'- 12 -'!B24)</f>
        <v>25299106</v>
      </c>
      <c r="K24" s="395">
        <f t="shared" ref="K24:K39" si="4">J24/$J$53*100</f>
        <v>1.2656347471545668</v>
      </c>
      <c r="M24" s="1" t="s">
        <v>63</v>
      </c>
      <c r="N24" s="149">
        <f>'- 12 -'!E50/100</f>
        <v>0.18809949989982472</v>
      </c>
      <c r="O24" s="1" t="s">
        <v>486</v>
      </c>
    </row>
    <row r="25" spans="1:15">
      <c r="A25" s="139" t="s">
        <v>329</v>
      </c>
      <c r="B25" s="140">
        <v>147874</v>
      </c>
      <c r="C25" s="396">
        <f t="shared" si="1"/>
        <v>7.3976713881010025E-3</v>
      </c>
      <c r="D25" s="140">
        <v>288561</v>
      </c>
      <c r="E25" s="396">
        <f t="shared" si="2"/>
        <v>1.4435799758049511E-2</v>
      </c>
      <c r="F25" s="140">
        <v>574152</v>
      </c>
      <c r="G25" s="396">
        <f t="shared" si="3"/>
        <v>2.8723019752092776E-2</v>
      </c>
      <c r="H25" s="140"/>
      <c r="I25" s="396"/>
      <c r="J25" s="140">
        <f>SUM(F25,D25,B25,'- 12 -'!J25,'- 12 -'!H25,'- 12 -'!F25,'- 12 -'!D25,'- 12 -'!B25)</f>
        <v>6728163</v>
      </c>
      <c r="K25" s="396">
        <f t="shared" si="4"/>
        <v>0.33658884536551259</v>
      </c>
      <c r="M25" s="1" t="s">
        <v>219</v>
      </c>
      <c r="N25" s="149">
        <f>'- 12 -'!G50/100</f>
        <v>4.4706790527547181E-3</v>
      </c>
      <c r="O25" s="1" t="s">
        <v>219</v>
      </c>
    </row>
    <row r="26" spans="1:15">
      <c r="A26" s="139" t="s">
        <v>330</v>
      </c>
      <c r="B26" s="140"/>
      <c r="C26" s="396">
        <f t="shared" si="1"/>
        <v>0</v>
      </c>
      <c r="D26" s="140"/>
      <c r="E26" s="396">
        <f t="shared" si="2"/>
        <v>0</v>
      </c>
      <c r="F26" s="140">
        <v>42022007</v>
      </c>
      <c r="G26" s="396">
        <f t="shared" si="3"/>
        <v>2.1022289168784236</v>
      </c>
      <c r="H26" s="140"/>
      <c r="I26" s="396"/>
      <c r="J26" s="140">
        <f>SUM(F26,D26,B26,'- 12 -'!J26,'- 12 -'!H26,'- 12 -'!F26,'- 12 -'!D26,'- 12 -'!B26)</f>
        <v>42067626</v>
      </c>
      <c r="K26" s="396">
        <f t="shared" si="4"/>
        <v>2.1045110920481882</v>
      </c>
      <c r="L26" s="751" t="s">
        <v>222</v>
      </c>
      <c r="M26" s="1" t="s">
        <v>64</v>
      </c>
      <c r="N26" s="149">
        <f>'- 12 -'!I50/100</f>
        <v>9.9393498704024759E-3</v>
      </c>
      <c r="O26" s="1" t="s">
        <v>64</v>
      </c>
    </row>
    <row r="27" spans="1:15" ht="12.75" customHeight="1">
      <c r="A27" s="139" t="s">
        <v>353</v>
      </c>
      <c r="B27" s="140">
        <v>829060</v>
      </c>
      <c r="C27" s="396">
        <f t="shared" si="1"/>
        <v>4.1475265706067445E-2</v>
      </c>
      <c r="D27" s="140">
        <v>1049026</v>
      </c>
      <c r="E27" s="396">
        <f t="shared" si="2"/>
        <v>5.2479473237851425E-2</v>
      </c>
      <c r="F27" s="140">
        <v>809231</v>
      </c>
      <c r="G27" s="396">
        <f t="shared" si="3"/>
        <v>4.0483283167185323E-2</v>
      </c>
      <c r="H27" s="140"/>
      <c r="I27" s="396"/>
      <c r="J27" s="140">
        <f>SUM(F27,D27,B27,'- 12 -'!J27,'- 12 -'!H27,'- 12 -'!F27,'- 12 -'!D27,'- 12 -'!B27)</f>
        <v>10444095</v>
      </c>
      <c r="K27" s="396">
        <f t="shared" si="4"/>
        <v>0.52248524254506357</v>
      </c>
      <c r="L27" s="752"/>
      <c r="M27" s="1" t="s">
        <v>193</v>
      </c>
      <c r="N27" s="149">
        <f>'- 12 -'!K50/100</f>
        <v>3.4561727721595242E-2</v>
      </c>
      <c r="O27" s="1" t="s">
        <v>193</v>
      </c>
    </row>
    <row r="28" spans="1:15" ht="12.75" customHeight="1">
      <c r="A28" s="139" t="s">
        <v>331</v>
      </c>
      <c r="B28" s="140"/>
      <c r="C28" s="396">
        <f t="shared" si="1"/>
        <v>0</v>
      </c>
      <c r="D28" s="140">
        <v>19361184</v>
      </c>
      <c r="E28" s="396">
        <f t="shared" si="2"/>
        <v>0.96857917495001766</v>
      </c>
      <c r="F28" s="140"/>
      <c r="G28" s="396">
        <f t="shared" si="3"/>
        <v>0</v>
      </c>
      <c r="H28" s="140"/>
      <c r="I28" s="396"/>
      <c r="J28" s="140">
        <f>SUM(F28,D28,B28,'- 12 -'!J28,'- 12 -'!H28,'- 12 -'!F28,'- 12 -'!D28,'- 12 -'!B28)</f>
        <v>19361184</v>
      </c>
      <c r="K28" s="396">
        <f t="shared" si="4"/>
        <v>0.96857917495001766</v>
      </c>
      <c r="L28" s="752"/>
      <c r="M28" s="1" t="s">
        <v>191</v>
      </c>
      <c r="N28" s="149">
        <f>C53/100</f>
        <v>3.5811963401868548E-2</v>
      </c>
      <c r="O28" s="1" t="s">
        <v>191</v>
      </c>
    </row>
    <row r="29" spans="1:15" ht="12.75" customHeight="1">
      <c r="A29" s="139" t="s">
        <v>332</v>
      </c>
      <c r="B29" s="140">
        <v>0</v>
      </c>
      <c r="C29" s="396">
        <f t="shared" si="1"/>
        <v>0</v>
      </c>
      <c r="D29" s="140"/>
      <c r="E29" s="396">
        <f t="shared" si="2"/>
        <v>0</v>
      </c>
      <c r="F29" s="140"/>
      <c r="G29" s="396">
        <f t="shared" si="3"/>
        <v>0</v>
      </c>
      <c r="H29" s="140"/>
      <c r="I29" s="396"/>
      <c r="J29" s="140">
        <f>SUM(F29,D29,B29,'- 12 -'!J29,'- 12 -'!H29,'- 12 -'!F29,'- 12 -'!D29,'- 12 -'!B29)</f>
        <v>994736</v>
      </c>
      <c r="K29" s="396">
        <f t="shared" si="4"/>
        <v>4.9763515194787722E-2</v>
      </c>
      <c r="M29" s="1" t="s">
        <v>171</v>
      </c>
      <c r="N29" s="149">
        <f>E53/100</f>
        <v>4.2763698892404493E-2</v>
      </c>
      <c r="O29" s="1" t="s">
        <v>171</v>
      </c>
    </row>
    <row r="30" spans="1:15" ht="12.75" customHeight="1">
      <c r="A30" s="139" t="s">
        <v>333</v>
      </c>
      <c r="B30" s="140">
        <v>47733</v>
      </c>
      <c r="C30" s="396">
        <f t="shared" si="1"/>
        <v>2.3879319445489077E-3</v>
      </c>
      <c r="D30" s="140">
        <v>6125</v>
      </c>
      <c r="E30" s="396">
        <f t="shared" si="2"/>
        <v>3.064144964775325E-4</v>
      </c>
      <c r="F30" s="140">
        <v>1042</v>
      </c>
      <c r="G30" s="396">
        <f t="shared" si="3"/>
        <v>5.2127984543606341E-5</v>
      </c>
      <c r="H30" s="140"/>
      <c r="I30" s="396"/>
      <c r="J30" s="140">
        <f>SUM(F30,D30,B30,'- 12 -'!J30,'- 12 -'!H30,'- 12 -'!F30,'- 12 -'!D30,'- 12 -'!B30)</f>
        <v>917542</v>
      </c>
      <c r="K30" s="396">
        <f t="shared" si="4"/>
        <v>4.590174202889602E-2</v>
      </c>
      <c r="M30" s="1" t="s">
        <v>190</v>
      </c>
      <c r="N30" s="149">
        <f>G53/100</f>
        <v>0.11434047638436361</v>
      </c>
      <c r="O30" s="1" t="s">
        <v>190</v>
      </c>
    </row>
    <row r="31" spans="1:15" ht="12.75" customHeight="1">
      <c r="A31" s="139" t="s">
        <v>334</v>
      </c>
      <c r="B31" s="140">
        <v>82103</v>
      </c>
      <c r="C31" s="396">
        <f t="shared" si="1"/>
        <v>4.107355004782833E-3</v>
      </c>
      <c r="D31" s="140">
        <v>942901</v>
      </c>
      <c r="E31" s="396">
        <f t="shared" si="2"/>
        <v>4.7170373084597851E-2</v>
      </c>
      <c r="F31" s="140">
        <v>6700147</v>
      </c>
      <c r="G31" s="396">
        <f t="shared" si="3"/>
        <v>0.33518729295191019</v>
      </c>
      <c r="H31" s="140"/>
      <c r="I31" s="396"/>
      <c r="J31" s="140">
        <f>SUM(F31,D31,B31,'- 12 -'!J31,'- 12 -'!H31,'- 12 -'!F31,'- 12 -'!D31,'- 12 -'!B31)</f>
        <v>9000798</v>
      </c>
      <c r="K31" s="396">
        <f t="shared" si="4"/>
        <v>0.45028163054138476</v>
      </c>
      <c r="M31" s="1" t="s">
        <v>67</v>
      </c>
      <c r="N31" s="149">
        <f>I53/100</f>
        <v>1.7317331188026974E-2</v>
      </c>
      <c r="O31" s="1" t="s">
        <v>67</v>
      </c>
    </row>
    <row r="32" spans="1:15">
      <c r="A32" s="139" t="s">
        <v>335</v>
      </c>
      <c r="B32" s="140">
        <v>85857</v>
      </c>
      <c r="C32" s="396">
        <f t="shared" si="1"/>
        <v>4.2951558243382055E-3</v>
      </c>
      <c r="D32" s="140">
        <v>1823678</v>
      </c>
      <c r="E32" s="396">
        <f t="shared" si="2"/>
        <v>9.1232877731780154E-2</v>
      </c>
      <c r="F32" s="140">
        <v>26992523</v>
      </c>
      <c r="G32" s="396">
        <f t="shared" si="3"/>
        <v>1.3503510765229738</v>
      </c>
      <c r="H32" s="140"/>
      <c r="I32" s="396"/>
      <c r="J32" s="140">
        <f>SUM(F32,D32,B32,'- 12 -'!J32,'- 12 -'!H32,'- 12 -'!F32,'- 12 -'!D32,'- 12 -'!B32)</f>
        <v>31985695</v>
      </c>
      <c r="K32" s="396">
        <f t="shared" si="4"/>
        <v>1.6001437759851311</v>
      </c>
      <c r="N32" s="149"/>
    </row>
    <row r="33" spans="1:14">
      <c r="A33" s="139" t="s">
        <v>336</v>
      </c>
      <c r="B33" s="140">
        <v>203063</v>
      </c>
      <c r="C33" s="396">
        <f t="shared" si="1"/>
        <v>1.0158603575219131E-2</v>
      </c>
      <c r="D33" s="140">
        <v>780435</v>
      </c>
      <c r="E33" s="396">
        <f t="shared" si="2"/>
        <v>3.9042709805460096E-2</v>
      </c>
      <c r="F33" s="140">
        <v>2535023</v>
      </c>
      <c r="G33" s="396">
        <f t="shared" si="3"/>
        <v>0.12681923201697368</v>
      </c>
      <c r="H33" s="140"/>
      <c r="I33" s="396"/>
      <c r="J33" s="140">
        <f>SUM(F33,D33,B33,'- 12 -'!J33,'- 12 -'!H33,'- 12 -'!F33,'- 12 -'!D33,'- 12 -'!B33)</f>
        <v>7125081</v>
      </c>
      <c r="K33" s="396">
        <f t="shared" si="4"/>
        <v>0.35644540522067486</v>
      </c>
      <c r="N33" s="149">
        <f>SUM(N23:N31)</f>
        <v>1</v>
      </c>
    </row>
    <row r="34" spans="1:14">
      <c r="A34" s="512" t="s">
        <v>440</v>
      </c>
      <c r="B34" s="140"/>
      <c r="C34" s="396">
        <f t="shared" si="1"/>
        <v>0</v>
      </c>
      <c r="D34" s="140"/>
      <c r="E34" s="396">
        <f t="shared" si="2"/>
        <v>0</v>
      </c>
      <c r="F34" s="140">
        <v>4396892</v>
      </c>
      <c r="G34" s="396">
        <f t="shared" si="3"/>
        <v>0.21996268542793318</v>
      </c>
      <c r="H34" s="140"/>
      <c r="I34" s="396"/>
      <c r="J34" s="140">
        <f>SUM(F34,D34,B34,'- 12 -'!J34,'- 12 -'!H34,'- 12 -'!F34,'- 12 -'!D34,'- 12 -'!B34)</f>
        <v>4399140</v>
      </c>
      <c r="K34" s="396">
        <f t="shared" si="4"/>
        <v>0.22007514580149753</v>
      </c>
    </row>
    <row r="35" spans="1:14">
      <c r="A35" s="139" t="s">
        <v>337</v>
      </c>
      <c r="B35" s="140">
        <v>64220</v>
      </c>
      <c r="C35" s="396">
        <f>B35/J53</f>
        <v>3.2127247287815732E-5</v>
      </c>
      <c r="D35" s="140">
        <v>37384</v>
      </c>
      <c r="E35" s="396">
        <f>D35/J53</f>
        <v>1.8702040059291552E-5</v>
      </c>
      <c r="F35" s="140">
        <v>81643</v>
      </c>
      <c r="G35" s="396">
        <f>F35/J53</f>
        <v>4.0843426507616627E-5</v>
      </c>
      <c r="H35" s="140"/>
      <c r="I35" s="396"/>
      <c r="J35" s="140">
        <f>SUM(F35,D35,B35,'- 12 -'!J35,'- 12 -'!H35,'- 12 -'!F35,'- 12 -'!D35,'- 12 -'!B35)</f>
        <v>1275987</v>
      </c>
      <c r="K35" s="396">
        <f t="shared" si="4"/>
        <v>6.3833618631326888E-2</v>
      </c>
    </row>
    <row r="36" spans="1:14">
      <c r="A36" s="139" t="s">
        <v>338</v>
      </c>
      <c r="B36" s="140">
        <v>101094</v>
      </c>
      <c r="C36" s="396">
        <f>B36/$J$53*100</f>
        <v>5.0574150378611708E-3</v>
      </c>
      <c r="D36" s="140">
        <v>47690</v>
      </c>
      <c r="E36" s="396">
        <f>D36/$J$53*100</f>
        <v>2.3857807897164937E-3</v>
      </c>
      <c r="F36" s="140">
        <v>124638</v>
      </c>
      <c r="G36" s="396">
        <f>F36/$J$53*100</f>
        <v>6.2352473488925218E-3</v>
      </c>
      <c r="H36" s="140"/>
      <c r="I36" s="396"/>
      <c r="J36" s="140">
        <f>SUM(F36,D36,B36,'- 12 -'!J36,'- 12 -'!H36,'- 12 -'!F36,'- 12 -'!D36,'- 12 -'!B36)</f>
        <v>3327772</v>
      </c>
      <c r="K36" s="396">
        <f t="shared" si="4"/>
        <v>0.16647797253420918</v>
      </c>
    </row>
    <row r="37" spans="1:14">
      <c r="A37" s="144" t="s">
        <v>339</v>
      </c>
      <c r="B37" s="140">
        <v>8385278</v>
      </c>
      <c r="C37" s="396">
        <f>B37/'- 13 -'!$J$53*100</f>
        <v>0.41948909978679683</v>
      </c>
      <c r="D37" s="140">
        <v>186812</v>
      </c>
      <c r="E37" s="396">
        <f>D37/'- 13 -'!$J$53*100</f>
        <v>9.3456171291364555E-3</v>
      </c>
      <c r="F37" s="140">
        <v>186337</v>
      </c>
      <c r="G37" s="396">
        <f>F37/'- 13 -'!$J$53*100</f>
        <v>9.3218543722667704E-3</v>
      </c>
      <c r="H37" s="140"/>
      <c r="I37" s="396"/>
      <c r="J37" s="140">
        <f>SUM(F37,D37,B37,'- 12 -'!J37,'- 12 -'!H37,'- 12 -'!F37,'- 12 -'!D37,'- 12 -'!B37)</f>
        <v>10505347</v>
      </c>
      <c r="K37" s="396">
        <f t="shared" si="4"/>
        <v>0.52554948756355213</v>
      </c>
    </row>
    <row r="38" spans="1:14">
      <c r="A38" s="145" t="s">
        <v>340</v>
      </c>
      <c r="B38" s="140">
        <v>469801</v>
      </c>
      <c r="C38" s="396">
        <f>B38/$J$53*100</f>
        <v>2.3502667242390408E-2</v>
      </c>
      <c r="D38" s="140">
        <v>110223</v>
      </c>
      <c r="E38" s="396">
        <f>D38/$J$53*100</f>
        <v>5.5141102114682553E-3</v>
      </c>
      <c r="F38" s="140">
        <v>120233</v>
      </c>
      <c r="G38" s="396">
        <f>F38/$J$53*100</f>
        <v>6.0148790457115369E-3</v>
      </c>
      <c r="H38" s="140"/>
      <c r="I38" s="396"/>
      <c r="J38" s="140">
        <f>SUM(F38,D38,B38,'- 12 -'!J38,'- 12 -'!H38,'- 12 -'!F38,'- 12 -'!D38,'- 12 -'!B38)</f>
        <v>10587002</v>
      </c>
      <c r="K38" s="396">
        <f t="shared" si="4"/>
        <v>0.52963443053659254</v>
      </c>
    </row>
    <row r="39" spans="1:14">
      <c r="A39" s="143" t="s">
        <v>341</v>
      </c>
      <c r="B39" s="398">
        <f>SUM(B24:B38)</f>
        <v>12335454</v>
      </c>
      <c r="C39" s="399">
        <f>B39/$J$53*100</f>
        <v>0.61710398795620636</v>
      </c>
      <c r="D39" s="398">
        <f>SUM(D24:D38)</f>
        <v>24884732</v>
      </c>
      <c r="E39" s="399">
        <f>D39/$J$53*100</f>
        <v>1.2449049184911576</v>
      </c>
      <c r="F39" s="398">
        <f>SUM(F24:F38)</f>
        <v>90114732</v>
      </c>
      <c r="G39" s="399">
        <f>F39/$J$53*100</f>
        <v>4.5081567724061689</v>
      </c>
      <c r="H39" s="398"/>
      <c r="I39" s="399"/>
      <c r="J39" s="398">
        <f>SUM(F39,D39,B39,'- 12 -'!J39,'- 12 -'!H39,'- 12 -'!F39,'- 12 -'!D39,'- 12 -'!B39)</f>
        <v>184019274</v>
      </c>
      <c r="K39" s="399">
        <f t="shared" si="4"/>
        <v>9.205905826101402</v>
      </c>
    </row>
    <row r="40" spans="1:14">
      <c r="A40" s="362" t="s">
        <v>342</v>
      </c>
      <c r="B40" s="146"/>
      <c r="C40" s="397"/>
      <c r="D40" s="146"/>
      <c r="E40" s="397"/>
      <c r="F40" s="146"/>
      <c r="G40" s="397"/>
      <c r="H40" s="146"/>
      <c r="I40" s="397"/>
      <c r="J40" s="146"/>
      <c r="K40" s="397"/>
    </row>
    <row r="41" spans="1:14">
      <c r="A41" s="139" t="s">
        <v>343</v>
      </c>
      <c r="B41" s="140">
        <v>3780607</v>
      </c>
      <c r="C41" s="396">
        <f>B41/$J$53*100</f>
        <v>0.18913188412807097</v>
      </c>
      <c r="D41" s="140">
        <v>16412309</v>
      </c>
      <c r="E41" s="396">
        <f>D41/$J$53*100</f>
        <v>0.82105622828876323</v>
      </c>
      <c r="F41" s="140">
        <v>19056939</v>
      </c>
      <c r="G41" s="396">
        <f>F41/$J$53*100</f>
        <v>0.9533587539735594</v>
      </c>
      <c r="H41" s="140"/>
      <c r="I41" s="396"/>
      <c r="J41" s="140">
        <f>SUM(F41,D41,B41,'- 12 -'!J41,'- 12 -'!H41,'- 12 -'!F41,'- 12 -'!D41,'- 12 -'!B41)</f>
        <v>73589801</v>
      </c>
      <c r="K41" s="396">
        <f>J41/$J$53*100</f>
        <v>3.6814664194770317</v>
      </c>
    </row>
    <row r="42" spans="1:14">
      <c r="A42" s="139" t="s">
        <v>344</v>
      </c>
      <c r="B42" s="140">
        <v>2948869</v>
      </c>
      <c r="C42" s="396">
        <f>B42/$J$53*100</f>
        <v>0.14752264650011507</v>
      </c>
      <c r="D42" s="140">
        <v>17232</v>
      </c>
      <c r="E42" s="396">
        <f>D42/$J$53*100</f>
        <v>8.6206279237564744E-4</v>
      </c>
      <c r="F42" s="140">
        <v>95585</v>
      </c>
      <c r="G42" s="396">
        <f>F42/$J$53*100</f>
        <v>4.7818170850293783E-3</v>
      </c>
      <c r="H42" s="140"/>
      <c r="I42" s="396"/>
      <c r="J42" s="140">
        <f>SUM(F42,D42,B42,'- 12 -'!J42,'- 12 -'!H42,'- 12 -'!F42,'- 12 -'!D42,'- 12 -'!B42)</f>
        <v>14788726</v>
      </c>
      <c r="K42" s="396">
        <f>J42/$J$53*100</f>
        <v>0.73983347442190917</v>
      </c>
    </row>
    <row r="43" spans="1:14">
      <c r="A43" s="139" t="s">
        <v>345</v>
      </c>
      <c r="B43" s="140">
        <v>208152</v>
      </c>
      <c r="C43" s="396">
        <f>B43/$J$53*100</f>
        <v>1.0413190248292464E-2</v>
      </c>
      <c r="D43" s="140">
        <v>411438</v>
      </c>
      <c r="E43" s="396">
        <f>D43/$J$53*100</f>
        <v>2.0582949812526206E-2</v>
      </c>
      <c r="F43" s="140">
        <v>2312396</v>
      </c>
      <c r="G43" s="396">
        <f>F43/$J$53*100</f>
        <v>0.11568190301986289</v>
      </c>
      <c r="H43" s="140"/>
      <c r="I43" s="396"/>
      <c r="J43" s="140">
        <f>SUM(F43,D43,B43,'- 12 -'!J43,'- 12 -'!H43,'- 12 -'!F43,'- 12 -'!D43,'- 12 -'!B43)</f>
        <v>14287187</v>
      </c>
      <c r="K43" s="396">
        <f>J43/$J$53*100</f>
        <v>0.71474305480577105</v>
      </c>
    </row>
    <row r="44" spans="1:14">
      <c r="A44" s="145" t="s">
        <v>346</v>
      </c>
      <c r="B44" s="140">
        <v>423335</v>
      </c>
      <c r="C44" s="396">
        <f>B44/$J$53*100</f>
        <v>2.1178119325112849E-2</v>
      </c>
      <c r="D44" s="140">
        <v>59221</v>
      </c>
      <c r="E44" s="396">
        <f>D44/$J$53*100</f>
        <v>2.9626404727993391E-3</v>
      </c>
      <c r="F44" s="140">
        <v>83911</v>
      </c>
      <c r="G44" s="396">
        <f>F44/$J$53*100</f>
        <v>4.1978035614573432E-3</v>
      </c>
      <c r="H44" s="140"/>
      <c r="I44" s="396"/>
      <c r="J44" s="140">
        <f>SUM(F44,D44,B44,'- 12 -'!J44,'- 12 -'!H44,'- 12 -'!F44,'- 12 -'!D44,'- 12 -'!B44)</f>
        <v>20590115</v>
      </c>
      <c r="K44" s="396">
        <f>J44/$J$53*100</f>
        <v>1.0300587298186921</v>
      </c>
    </row>
    <row r="45" spans="1:14">
      <c r="A45" s="143" t="s">
        <v>347</v>
      </c>
      <c r="B45" s="398">
        <f>SUM(B41:B44)</f>
        <v>7360963</v>
      </c>
      <c r="C45" s="399">
        <f>B45/$J$53*100</f>
        <v>0.36824584020159135</v>
      </c>
      <c r="D45" s="398">
        <f>SUM(D41:D44)</f>
        <v>16900200</v>
      </c>
      <c r="E45" s="399">
        <f>D45/$J$53*100</f>
        <v>0.84546388136646444</v>
      </c>
      <c r="F45" s="398">
        <f>SUM(F41:F44)</f>
        <v>21548831</v>
      </c>
      <c r="G45" s="399">
        <f>F45/$J$53*100</f>
        <v>1.078020277639909</v>
      </c>
      <c r="H45" s="398"/>
      <c r="I45" s="399"/>
      <c r="J45" s="398">
        <f>SUM(F45,D45,B45,'- 12 -'!J45,'- 12 -'!H45,'- 12 -'!F45,'- 12 -'!D45,'- 12 -'!B45)</f>
        <v>123255829</v>
      </c>
      <c r="K45" s="399">
        <f>J45/$J$53*100</f>
        <v>6.166101678523404</v>
      </c>
    </row>
    <row r="46" spans="1:14">
      <c r="A46" s="361" t="s">
        <v>108</v>
      </c>
      <c r="B46" s="146"/>
      <c r="C46" s="397"/>
      <c r="D46" s="146"/>
      <c r="E46" s="397"/>
      <c r="F46" s="146"/>
      <c r="G46" s="397"/>
      <c r="H46" s="146"/>
      <c r="I46" s="397"/>
      <c r="J46" s="146"/>
      <c r="K46" s="397"/>
    </row>
    <row r="47" spans="1:14" ht="13.5">
      <c r="A47" s="290" t="s">
        <v>505</v>
      </c>
      <c r="B47" s="140"/>
      <c r="C47" s="573"/>
      <c r="D47" s="140">
        <v>0</v>
      </c>
      <c r="E47" s="573"/>
      <c r="F47" s="140">
        <v>0</v>
      </c>
      <c r="G47" s="573"/>
      <c r="H47" s="140">
        <f>'- 10 -'!G21</f>
        <v>0</v>
      </c>
      <c r="I47" s="573"/>
      <c r="J47" s="140"/>
      <c r="K47" s="573"/>
    </row>
    <row r="48" spans="1:14">
      <c r="A48" s="139" t="s">
        <v>348</v>
      </c>
      <c r="B48" s="140"/>
      <c r="C48" s="396"/>
      <c r="D48" s="140"/>
      <c r="E48" s="396"/>
      <c r="F48" s="140"/>
      <c r="G48" s="396"/>
      <c r="H48" s="140">
        <f>'- 10 -'!G22</f>
        <v>1487902</v>
      </c>
      <c r="I48" s="396">
        <f>H48/$J$53*100</f>
        <v>7.4435059940883841E-2</v>
      </c>
      <c r="J48" s="140">
        <f>H48</f>
        <v>1487902</v>
      </c>
      <c r="K48" s="396">
        <f>J48/$J$53*100</f>
        <v>7.4435059940883841E-2</v>
      </c>
    </row>
    <row r="49" spans="1:11">
      <c r="A49" s="144" t="s">
        <v>506</v>
      </c>
      <c r="B49" s="140"/>
      <c r="C49" s="396"/>
      <c r="D49" s="140"/>
      <c r="E49" s="396"/>
      <c r="F49" s="140"/>
      <c r="G49" s="396"/>
      <c r="H49" s="140">
        <f>'- 10 -'!H22</f>
        <v>-213046</v>
      </c>
      <c r="I49" s="396">
        <f>H49/$J$53*100</f>
        <v>-1.0658021684335084E-2</v>
      </c>
      <c r="J49" s="140">
        <f>H49</f>
        <v>-213046</v>
      </c>
      <c r="K49" s="396">
        <f>J49/$J$53*100</f>
        <v>-1.0658021684335084E-2</v>
      </c>
    </row>
    <row r="50" spans="1:11">
      <c r="A50" s="139" t="s">
        <v>349</v>
      </c>
      <c r="B50" s="140"/>
      <c r="C50" s="396"/>
      <c r="D50" s="140"/>
      <c r="E50" s="396"/>
      <c r="F50" s="140"/>
      <c r="G50" s="396"/>
      <c r="H50" s="140">
        <f>'- 10 -'!I22</f>
        <v>33341213</v>
      </c>
      <c r="I50" s="396">
        <f>H50/$J$53*100</f>
        <v>1.6679560805461486</v>
      </c>
      <c r="J50" s="140">
        <f>H50</f>
        <v>33341213</v>
      </c>
      <c r="K50" s="396">
        <f>J50/$J$53*100</f>
        <v>1.6679560805461486</v>
      </c>
    </row>
    <row r="51" spans="1:11">
      <c r="A51" s="143" t="s">
        <v>350</v>
      </c>
      <c r="B51" s="398"/>
      <c r="C51" s="399"/>
      <c r="D51" s="398"/>
      <c r="E51" s="399"/>
      <c r="F51" s="398">
        <f>SUM(F47:F50)</f>
        <v>0</v>
      </c>
      <c r="G51" s="399"/>
      <c r="H51" s="398">
        <f>SUM(H48:H50)</f>
        <v>34616069</v>
      </c>
      <c r="I51" s="399">
        <f>H51/$J$53*100</f>
        <v>1.7317331188026974</v>
      </c>
      <c r="J51" s="398">
        <f>SUM(J47:J50)</f>
        <v>34616069</v>
      </c>
      <c r="K51" s="399">
        <f>J51/$J$53*100</f>
        <v>1.7317331188026974</v>
      </c>
    </row>
    <row r="52" spans="1:11" ht="5.0999999999999996" customHeight="1">
      <c r="A52" s="30"/>
      <c r="B52" s="39"/>
      <c r="C52" s="147"/>
      <c r="D52" s="65"/>
      <c r="E52" s="147"/>
      <c r="F52" s="65"/>
      <c r="G52" s="147"/>
      <c r="H52" s="65"/>
      <c r="I52" s="147"/>
      <c r="J52" s="65"/>
      <c r="K52" s="147"/>
    </row>
    <row r="53" spans="1:11">
      <c r="A53" s="363" t="s">
        <v>351</v>
      </c>
      <c r="B53" s="400">
        <f>SUM(B51,B45,B39,B22,B21)</f>
        <v>71585476</v>
      </c>
      <c r="C53" s="401">
        <f>B53/$J$53*100</f>
        <v>3.581196340186855</v>
      </c>
      <c r="D53" s="400">
        <f>SUM(D51,D45,D39,D22,D21)</f>
        <v>85481483</v>
      </c>
      <c r="E53" s="401">
        <f>D53/$J$53*100</f>
        <v>4.2763698892404491</v>
      </c>
      <c r="F53" s="400">
        <f>SUM(F51,F45,F39,F22,F21)</f>
        <v>228558187</v>
      </c>
      <c r="G53" s="401">
        <f>F53/$J$53*100</f>
        <v>11.434047638436361</v>
      </c>
      <c r="H53" s="400">
        <f>SUM(H51,H45,H39,H22,H21)</f>
        <v>34616069</v>
      </c>
      <c r="I53" s="401">
        <f>H53/$J$53*100</f>
        <v>1.7317331188026974</v>
      </c>
      <c r="J53" s="400">
        <f>SUM(J51,J45,J39,J22,J21)</f>
        <v>1998926314</v>
      </c>
      <c r="K53" s="401">
        <f>J53/$J$53*100</f>
        <v>100</v>
      </c>
    </row>
    <row r="54" spans="1:11" ht="20.100000000000001" customHeight="1">
      <c r="A54" s="150"/>
      <c r="B54" s="1">
        <f>+B53-'- 16 -'!G48</f>
        <v>0</v>
      </c>
      <c r="D54" s="1">
        <f>+D53-'- 17 -'!B48</f>
        <v>0</v>
      </c>
      <c r="F54" s="1">
        <f>+F53-'- 17 -'!E48</f>
        <v>0</v>
      </c>
      <c r="H54" s="1">
        <f>+H53-'- 17 -'!H48</f>
        <v>0</v>
      </c>
      <c r="J54" s="1">
        <f>+J53-'- 3 -'!D48</f>
        <v>0</v>
      </c>
    </row>
  </sheetData>
  <mergeCells count="1">
    <mergeCell ref="L26:L28"/>
  </mergeCells>
  <phoneticPr fontId="6" type="noConversion"/>
  <printOptions verticalCentered="1"/>
  <pageMargins left="0.51181102362204722" right="0" top="0.59055118110236227" bottom="0.19685039370078741" header="0.31496062992125984" footer="0.51181102362204722"/>
  <pageSetup scale="89" orientation="landscape" r:id="rId1"/>
  <headerFooter alignWithMargins="0"/>
</worksheet>
</file>

<file path=xl/worksheets/sheet12.xml><?xml version="1.0" encoding="utf-8"?>
<worksheet xmlns="http://schemas.openxmlformats.org/spreadsheetml/2006/main" xmlns:r="http://schemas.openxmlformats.org/officeDocument/2006/relationships">
  <sheetPr codeName="Sheet10">
    <pageSetUpPr fitToPage="1"/>
  </sheetPr>
  <dimension ref="A1:I52"/>
  <sheetViews>
    <sheetView showGridLines="0" showZeros="0" workbookViewId="0"/>
  </sheetViews>
  <sheetFormatPr defaultColWidth="15.83203125" defaultRowHeight="12"/>
  <cols>
    <col min="1" max="1" width="32.83203125" style="1" customWidth="1"/>
    <col min="2" max="2" width="17.83203125" style="1" customWidth="1"/>
    <col min="3" max="3" width="8.83203125" style="1" customWidth="1"/>
    <col min="4" max="4" width="9.83203125" style="1" customWidth="1"/>
    <col min="5" max="5" width="17.83203125" style="1" customWidth="1"/>
    <col min="6" max="6" width="8.83203125" style="1" customWidth="1"/>
    <col min="7" max="7" width="9.83203125" style="1" customWidth="1"/>
    <col min="8" max="8" width="17.83203125" style="1" customWidth="1"/>
    <col min="9" max="9" width="8.83203125" style="1" customWidth="1"/>
    <col min="10" max="16384" width="15.83203125" style="1"/>
  </cols>
  <sheetData>
    <row r="1" spans="1:9" ht="6.95" customHeight="1">
      <c r="A1" s="6"/>
      <c r="B1" s="7"/>
      <c r="C1" s="7"/>
      <c r="D1" s="7"/>
      <c r="E1" s="7"/>
      <c r="F1" s="7"/>
      <c r="G1" s="7"/>
      <c r="H1" s="7"/>
      <c r="I1" s="7"/>
    </row>
    <row r="2" spans="1:9" ht="15.95" customHeight="1">
      <c r="A2" s="152"/>
      <c r="B2" s="8" t="s">
        <v>490</v>
      </c>
      <c r="C2" s="9"/>
      <c r="D2" s="9"/>
      <c r="E2" s="9"/>
      <c r="F2" s="9"/>
      <c r="G2" s="9"/>
      <c r="H2" s="82"/>
      <c r="I2" s="153" t="s">
        <v>16</v>
      </c>
    </row>
    <row r="3" spans="1:9" ht="15.95" customHeight="1">
      <c r="A3" s="154"/>
      <c r="B3" s="10" t="str">
        <f>OPYEAR</f>
        <v>OPERATING FUND 2012/2013 ACTUAL</v>
      </c>
      <c r="C3" s="11"/>
      <c r="D3" s="11"/>
      <c r="E3" s="11"/>
      <c r="F3" s="11"/>
      <c r="G3" s="11"/>
      <c r="H3" s="84"/>
      <c r="I3" s="74"/>
    </row>
    <row r="4" spans="1:9" ht="15.95" customHeight="1">
      <c r="B4" s="7"/>
      <c r="C4" s="7"/>
      <c r="D4" s="7"/>
      <c r="E4" s="7"/>
      <c r="F4" s="7"/>
      <c r="G4" s="7"/>
      <c r="H4" s="7"/>
      <c r="I4" s="7"/>
    </row>
    <row r="5" spans="1:9" ht="15.95" customHeight="1">
      <c r="B5" s="7"/>
      <c r="C5" s="7"/>
      <c r="D5" s="7"/>
      <c r="E5" s="7"/>
      <c r="F5" s="7"/>
      <c r="G5" s="7"/>
      <c r="H5" s="7"/>
      <c r="I5" s="7"/>
    </row>
    <row r="6" spans="1:9" ht="15.95" customHeight="1">
      <c r="B6" s="366"/>
      <c r="C6" s="360"/>
      <c r="D6" s="358"/>
      <c r="E6" s="357" t="s">
        <v>442</v>
      </c>
      <c r="F6" s="360"/>
      <c r="G6" s="358"/>
      <c r="H6" s="357" t="s">
        <v>218</v>
      </c>
      <c r="I6" s="358"/>
    </row>
    <row r="7" spans="1:9" ht="15.95" customHeight="1">
      <c r="B7" s="344" t="s">
        <v>62</v>
      </c>
      <c r="C7" s="345"/>
      <c r="D7" s="346"/>
      <c r="E7" s="344" t="s">
        <v>153</v>
      </c>
      <c r="F7" s="345"/>
      <c r="G7" s="346"/>
      <c r="H7" s="344" t="s">
        <v>318</v>
      </c>
      <c r="I7" s="346"/>
    </row>
    <row r="8" spans="1:9" ht="15.95" customHeight="1">
      <c r="A8" s="75"/>
      <c r="B8" s="155" t="s">
        <v>17</v>
      </c>
      <c r="C8" s="156"/>
      <c r="D8" s="157" t="s">
        <v>74</v>
      </c>
      <c r="E8" s="155"/>
      <c r="F8" s="157"/>
      <c r="G8" s="157" t="s">
        <v>74</v>
      </c>
      <c r="H8" s="155"/>
      <c r="I8" s="157"/>
    </row>
    <row r="9" spans="1:9" ht="15.95" customHeight="1">
      <c r="A9" s="42" t="s">
        <v>94</v>
      </c>
      <c r="B9" s="87" t="s">
        <v>95</v>
      </c>
      <c r="C9" s="87" t="s">
        <v>96</v>
      </c>
      <c r="D9" s="87" t="s">
        <v>97</v>
      </c>
      <c r="E9" s="87" t="s">
        <v>95</v>
      </c>
      <c r="F9" s="87" t="s">
        <v>96</v>
      </c>
      <c r="G9" s="87" t="s">
        <v>97</v>
      </c>
      <c r="H9" s="87" t="s">
        <v>95</v>
      </c>
      <c r="I9" s="87" t="s">
        <v>96</v>
      </c>
    </row>
    <row r="10" spans="1:9" ht="5.0999999999999996" customHeight="1">
      <c r="A10" s="5"/>
    </row>
    <row r="11" spans="1:9" ht="14.1" customHeight="1">
      <c r="A11" s="330" t="s">
        <v>236</v>
      </c>
      <c r="B11" s="331">
        <f>SUM('- 18 -'!B11,'- 18 -'!E11,'- 19 -'!B11,'- 19 -'!E11,'- 19 -'!H11,'- 20 -'!B11)</f>
        <v>9436110</v>
      </c>
      <c r="C11" s="337">
        <f>B11/'- 3 -'!D11*100</f>
        <v>60.306543611904438</v>
      </c>
      <c r="D11" s="331">
        <f>B11/'- 7 -'!C11</f>
        <v>6284.4555444555444</v>
      </c>
      <c r="E11" s="331">
        <f>SUM('- 21 -'!B11,'- 21 -'!E11,'- 21 -'!H11,'- 22 -'!B11,'- 22 -'!D11,'- 22 -'!G11,'- 23 -'!B11)</f>
        <v>2182734</v>
      </c>
      <c r="F11" s="337">
        <f>E11/'- 3 -'!D11*100</f>
        <v>13.949937332670626</v>
      </c>
      <c r="G11" s="331">
        <f>E11/'- 7 -'!E11</f>
        <v>1453.7022977022978</v>
      </c>
      <c r="H11" s="331">
        <f>SUM('- 24 -'!D11,'- 24 -'!B11)</f>
        <v>0</v>
      </c>
      <c r="I11" s="337">
        <f>H11/'- 3 -'!D11*100</f>
        <v>0</v>
      </c>
    </row>
    <row r="12" spans="1:9" ht="14.1" customHeight="1">
      <c r="A12" s="26" t="s">
        <v>237</v>
      </c>
      <c r="B12" s="27">
        <f>SUM('- 18 -'!B12,'- 18 -'!E12,'- 19 -'!B12,'- 19 -'!E12,'- 19 -'!H12,'- 20 -'!B12)</f>
        <v>17049076</v>
      </c>
      <c r="C12" s="79">
        <f>B12/'- 3 -'!D12*100</f>
        <v>57.735403978228952</v>
      </c>
      <c r="D12" s="27">
        <f>B12/'- 7 -'!C12</f>
        <v>7455.4294210250127</v>
      </c>
      <c r="E12" s="27">
        <f>SUM('- 21 -'!B12,'- 21 -'!E12,'- 21 -'!H12,'- 22 -'!B12,'- 22 -'!D12,'- 22 -'!G12,'- 23 -'!B12)</f>
        <v>4444757</v>
      </c>
      <c r="F12" s="79">
        <f>E12/'- 3 -'!D12*100</f>
        <v>15.051832778507231</v>
      </c>
      <c r="G12" s="27">
        <f>E12/'- 7 -'!E12</f>
        <v>1943.6579499737622</v>
      </c>
      <c r="H12" s="27">
        <f>SUM('- 24 -'!D12,'- 24 -'!B12)</f>
        <v>529645</v>
      </c>
      <c r="I12" s="79">
        <f>H12/'- 3 -'!D12*100</f>
        <v>1.793602658586839</v>
      </c>
    </row>
    <row r="13" spans="1:9" ht="14.1" customHeight="1">
      <c r="A13" s="330" t="s">
        <v>238</v>
      </c>
      <c r="B13" s="331">
        <f>SUM('- 18 -'!B13,'- 18 -'!E13,'- 19 -'!B13,'- 19 -'!E13,'- 19 -'!H13,'- 20 -'!B13)</f>
        <v>47544320</v>
      </c>
      <c r="C13" s="337">
        <f>B13/'- 3 -'!D13*100</f>
        <v>59.110327183728288</v>
      </c>
      <c r="D13" s="331">
        <f>B13/'- 7 -'!C13</f>
        <v>6057.7588074154301</v>
      </c>
      <c r="E13" s="331">
        <f>SUM('- 21 -'!B13,'- 21 -'!E13,'- 21 -'!H13,'- 22 -'!B13,'- 22 -'!D13,'- 22 -'!G13,'- 23 -'!B13)</f>
        <v>17781477</v>
      </c>
      <c r="F13" s="337">
        <f>E13/'- 3 -'!D13*100</f>
        <v>22.107139681037381</v>
      </c>
      <c r="G13" s="331">
        <f>E13/'- 7 -'!E13</f>
        <v>2265.5892208702298</v>
      </c>
      <c r="H13" s="331">
        <f>SUM('- 24 -'!D13,'- 24 -'!B13)</f>
        <v>0</v>
      </c>
      <c r="I13" s="337">
        <f>H13/'- 3 -'!D13*100</f>
        <v>0</v>
      </c>
    </row>
    <row r="14" spans="1:9" ht="14.1" customHeight="1">
      <c r="A14" s="26" t="s">
        <v>656</v>
      </c>
      <c r="B14" s="27">
        <f>SUM('- 18 -'!B14,'- 18 -'!E14,'- 19 -'!B14,'- 19 -'!E14,'- 19 -'!H14,'- 20 -'!B14)</f>
        <v>38926002</v>
      </c>
      <c r="C14" s="79">
        <f>B14/'- 3 -'!D14*100</f>
        <v>55.716514685564846</v>
      </c>
      <c r="D14" s="27">
        <f>B14/'- 7 -'!C14</f>
        <v>7641.539458186101</v>
      </c>
      <c r="E14" s="27">
        <f>SUM('- 21 -'!B14,'- 21 -'!E14,'- 21 -'!H14,'- 22 -'!B14,'- 22 -'!D14,'- 22 -'!G14,'- 23 -'!B14)</f>
        <v>8974496</v>
      </c>
      <c r="F14" s="79">
        <f>E14/'- 3 -'!D14*100</f>
        <v>12.845594525210755</v>
      </c>
      <c r="G14" s="27">
        <f>E14/'- 7 -'!E14</f>
        <v>1761.7777777777778</v>
      </c>
      <c r="H14" s="27">
        <f>SUM('- 24 -'!D14,'- 24 -'!B14)</f>
        <v>242414</v>
      </c>
      <c r="I14" s="79">
        <f>H14/'- 3 -'!D14*100</f>
        <v>0.34697791956611712</v>
      </c>
    </row>
    <row r="15" spans="1:9" ht="14.1" customHeight="1">
      <c r="A15" s="330" t="s">
        <v>239</v>
      </c>
      <c r="B15" s="331">
        <f>SUM('- 18 -'!B15,'- 18 -'!E15,'- 19 -'!B15,'- 19 -'!E15,'- 19 -'!H15,'- 20 -'!B15)</f>
        <v>9887283</v>
      </c>
      <c r="C15" s="337">
        <f>B15/'- 3 -'!D15*100</f>
        <v>53.168163447172965</v>
      </c>
      <c r="D15" s="331">
        <f>B15/'- 7 -'!C15</f>
        <v>6403.6806994818653</v>
      </c>
      <c r="E15" s="331">
        <f>SUM('- 21 -'!B15,'- 21 -'!E15,'- 21 -'!H15,'- 22 -'!B15,'- 22 -'!D15,'- 22 -'!G15,'- 23 -'!B15)</f>
        <v>3229675</v>
      </c>
      <c r="F15" s="337">
        <f>E15/'- 3 -'!D15*100</f>
        <v>17.367348368732678</v>
      </c>
      <c r="G15" s="331">
        <f>E15/'- 7 -'!E15</f>
        <v>2091.7584196891194</v>
      </c>
      <c r="H15" s="331">
        <f>SUM('- 24 -'!D15,'- 24 -'!B15)</f>
        <v>0</v>
      </c>
      <c r="I15" s="337">
        <f>H15/'- 3 -'!D15*100</f>
        <v>0</v>
      </c>
    </row>
    <row r="16" spans="1:9" ht="14.1" customHeight="1">
      <c r="A16" s="26" t="s">
        <v>240</v>
      </c>
      <c r="B16" s="27">
        <f>SUM('- 18 -'!B16,'- 18 -'!E16,'- 19 -'!B16,'- 19 -'!E16,'- 19 -'!H16,'- 20 -'!B16)</f>
        <v>7090349</v>
      </c>
      <c r="C16" s="79">
        <f>B16/'- 3 -'!D16*100</f>
        <v>55.491046150390552</v>
      </c>
      <c r="D16" s="27">
        <f>B16/'- 7 -'!C16</f>
        <v>7143.9284634760706</v>
      </c>
      <c r="E16" s="27">
        <f>SUM('- 21 -'!B16,'- 21 -'!E16,'- 21 -'!H16,'- 22 -'!B16,'- 22 -'!D16,'- 22 -'!G16,'- 23 -'!B16)</f>
        <v>2070639</v>
      </c>
      <c r="F16" s="79">
        <f>E16/'- 3 -'!D16*100</f>
        <v>16.205397549513929</v>
      </c>
      <c r="G16" s="27">
        <f>E16/'- 7 -'!E16</f>
        <v>2086.2861460957179</v>
      </c>
      <c r="H16" s="27">
        <f>SUM('- 24 -'!D16,'- 24 -'!B16)</f>
        <v>92300</v>
      </c>
      <c r="I16" s="79">
        <f>H16/'- 3 -'!D16*100</f>
        <v>0.72236550833831281</v>
      </c>
    </row>
    <row r="17" spans="1:9" ht="14.1" customHeight="1">
      <c r="A17" s="330" t="s">
        <v>241</v>
      </c>
      <c r="B17" s="331">
        <f>SUM('- 18 -'!B17,'- 18 -'!E17,'- 19 -'!B17,'- 19 -'!E17,'- 19 -'!H17,'- 20 -'!B17)</f>
        <v>9276321</v>
      </c>
      <c r="C17" s="337">
        <f>B17/'- 3 -'!D17*100</f>
        <v>57.634810369955339</v>
      </c>
      <c r="D17" s="331">
        <f>B17/'- 7 -'!C17</f>
        <v>7160.5755213215252</v>
      </c>
      <c r="E17" s="331">
        <f>SUM('- 21 -'!B17,'- 21 -'!E17,'- 21 -'!H17,'- 22 -'!B17,'- 22 -'!D17,'- 22 -'!G17,'- 23 -'!B17)</f>
        <v>1937590</v>
      </c>
      <c r="F17" s="337">
        <f>E17/'- 3 -'!D17*100</f>
        <v>12.038461392692399</v>
      </c>
      <c r="G17" s="331">
        <f>E17/'- 7 -'!E17</f>
        <v>1495.6640164088085</v>
      </c>
      <c r="H17" s="331">
        <f>SUM('- 24 -'!D17,'- 24 -'!B17)</f>
        <v>0</v>
      </c>
      <c r="I17" s="337">
        <f>H17/'- 3 -'!D17*100</f>
        <v>0</v>
      </c>
    </row>
    <row r="18" spans="1:9" ht="14.1" customHeight="1">
      <c r="A18" s="26" t="s">
        <v>242</v>
      </c>
      <c r="B18" s="27">
        <f>SUM('- 18 -'!B18,'- 18 -'!E18,'- 19 -'!B18,'- 19 -'!E18,'- 19 -'!H18,'- 20 -'!B18)</f>
        <v>48360199</v>
      </c>
      <c r="C18" s="79">
        <f>B18/'- 3 -'!D18*100</f>
        <v>42.927936124488085</v>
      </c>
      <c r="D18" s="27">
        <f>B18/'- 7 -'!C18</f>
        <v>8372.6106301939053</v>
      </c>
      <c r="E18" s="27">
        <f>SUM('- 21 -'!B18,'- 21 -'!E18,'- 21 -'!H18,'- 22 -'!B18,'- 22 -'!D18,'- 22 -'!G18,'- 23 -'!B18)</f>
        <v>17156104</v>
      </c>
      <c r="F18" s="79">
        <f>E18/'- 3 -'!D18*100</f>
        <v>15.228972417112562</v>
      </c>
      <c r="G18" s="27">
        <f>E18/'- 7 -'!E18</f>
        <v>2970.2396121883658</v>
      </c>
      <c r="H18" s="27">
        <f>SUM('- 24 -'!D18,'- 24 -'!B18)</f>
        <v>1872088</v>
      </c>
      <c r="I18" s="79">
        <f>H18/'- 3 -'!D18*100</f>
        <v>1.6617978367587085</v>
      </c>
    </row>
    <row r="19" spans="1:9" ht="14.1" customHeight="1">
      <c r="A19" s="330" t="s">
        <v>243</v>
      </c>
      <c r="B19" s="331">
        <f>SUM('- 18 -'!B19,'- 18 -'!E19,'- 19 -'!B19,'- 19 -'!E19,'- 19 -'!H19,'- 20 -'!B19)</f>
        <v>23553761</v>
      </c>
      <c r="C19" s="337">
        <f>B19/'- 3 -'!D19*100</f>
        <v>60.453000690106471</v>
      </c>
      <c r="D19" s="331">
        <f>B19/'- 7 -'!C19</f>
        <v>5622.3619697801541</v>
      </c>
      <c r="E19" s="331">
        <f>SUM('- 21 -'!B19,'- 21 -'!E19,'- 21 -'!H19,'- 22 -'!B19,'- 22 -'!D19,'- 22 -'!G19,'- 23 -'!B19)</f>
        <v>6728241</v>
      </c>
      <c r="F19" s="337">
        <f>E19/'- 3 -'!D19*100</f>
        <v>17.268679843367803</v>
      </c>
      <c r="G19" s="331">
        <f>E19/'- 7 -'!E19</f>
        <v>1606.0537559974218</v>
      </c>
      <c r="H19" s="331">
        <f>SUM('- 24 -'!D19,'- 24 -'!B19)</f>
        <v>0</v>
      </c>
      <c r="I19" s="337">
        <f>H19/'- 3 -'!D19*100</f>
        <v>0</v>
      </c>
    </row>
    <row r="20" spans="1:9" ht="14.1" customHeight="1">
      <c r="A20" s="26" t="s">
        <v>244</v>
      </c>
      <c r="B20" s="27">
        <f>SUM('- 18 -'!B20,'- 18 -'!E20,'- 19 -'!B20,'- 19 -'!E20,'- 19 -'!H20,'- 20 -'!B20)</f>
        <v>42099490</v>
      </c>
      <c r="C20" s="79">
        <f>B20/'- 3 -'!D20*100</f>
        <v>62.218807486588659</v>
      </c>
      <c r="D20" s="27">
        <f>B20/'- 7 -'!C20</f>
        <v>5696.4332589134701</v>
      </c>
      <c r="E20" s="27">
        <f>SUM('- 21 -'!B20,'- 21 -'!E20,'- 21 -'!H20,'- 22 -'!B20,'- 22 -'!D20,'- 22 -'!G20,'- 23 -'!B20)</f>
        <v>9735531</v>
      </c>
      <c r="F20" s="79">
        <f>E20/'- 3 -'!D20*100</f>
        <v>14.388134608488508</v>
      </c>
      <c r="G20" s="27">
        <f>E20/'- 7 -'!E20</f>
        <v>1317.3034300791558</v>
      </c>
      <c r="H20" s="27">
        <f>SUM('- 24 -'!D20,'- 24 -'!B20)</f>
        <v>0</v>
      </c>
      <c r="I20" s="79">
        <f>H20/'- 3 -'!D20*100</f>
        <v>0</v>
      </c>
    </row>
    <row r="21" spans="1:9" ht="14.1" customHeight="1">
      <c r="A21" s="330" t="s">
        <v>245</v>
      </c>
      <c r="B21" s="331">
        <f>SUM('- 18 -'!B21,'- 18 -'!E21,'- 19 -'!B21,'- 19 -'!E21,'- 19 -'!H21,'- 20 -'!B21)</f>
        <v>17680143</v>
      </c>
      <c r="C21" s="337">
        <f>B21/'- 3 -'!D21*100</f>
        <v>54.131047266248075</v>
      </c>
      <c r="D21" s="331">
        <f>B21/'- 7 -'!C21</f>
        <v>6409.332245785753</v>
      </c>
      <c r="E21" s="331">
        <f>SUM('- 21 -'!B21,'- 21 -'!E21,'- 21 -'!H21,'- 22 -'!B21,'- 22 -'!D21,'- 22 -'!G21,'- 23 -'!B21)</f>
        <v>5714198</v>
      </c>
      <c r="F21" s="337">
        <f>E21/'- 3 -'!D21*100</f>
        <v>17.495080329763184</v>
      </c>
      <c r="G21" s="331">
        <f>E21/'- 7 -'!E21</f>
        <v>2071.4874025738627</v>
      </c>
      <c r="H21" s="331">
        <f>SUM('- 24 -'!D21,'- 24 -'!B21)</f>
        <v>0</v>
      </c>
      <c r="I21" s="337">
        <f>H21/'- 3 -'!D21*100</f>
        <v>0</v>
      </c>
    </row>
    <row r="22" spans="1:9" ht="14.1" customHeight="1">
      <c r="A22" s="26" t="s">
        <v>246</v>
      </c>
      <c r="B22" s="27">
        <f>SUM('- 18 -'!B22,'- 18 -'!E22,'- 19 -'!B22,'- 19 -'!E22,'- 19 -'!H22,'- 20 -'!B22)</f>
        <v>9180717</v>
      </c>
      <c r="C22" s="79">
        <f>B22/'- 3 -'!D22*100</f>
        <v>49.426088411521128</v>
      </c>
      <c r="D22" s="27">
        <f>B22/'- 7 -'!C22</f>
        <v>5754.1316201817608</v>
      </c>
      <c r="E22" s="27">
        <f>SUM('- 21 -'!B22,'- 21 -'!E22,'- 21 -'!H22,'- 22 -'!B22,'- 22 -'!D22,'- 22 -'!G22,'- 23 -'!B22)</f>
        <v>4494842</v>
      </c>
      <c r="F22" s="79">
        <f>E22/'- 3 -'!D22*100</f>
        <v>24.198813457360515</v>
      </c>
      <c r="G22" s="27">
        <f>E22/'- 7 -'!E22</f>
        <v>2817.1996239423379</v>
      </c>
      <c r="H22" s="27">
        <f>SUM('- 24 -'!D22,'- 24 -'!B22)</f>
        <v>594946</v>
      </c>
      <c r="I22" s="79">
        <f>H22/'- 3 -'!D22*100</f>
        <v>3.2030018566176093</v>
      </c>
    </row>
    <row r="23" spans="1:9" ht="14.1" customHeight="1">
      <c r="A23" s="330" t="s">
        <v>247</v>
      </c>
      <c r="B23" s="331">
        <f>SUM('- 18 -'!B23,'- 18 -'!E23,'- 19 -'!B23,'- 19 -'!E23,'- 19 -'!H23,'- 20 -'!B23)</f>
        <v>8276084</v>
      </c>
      <c r="C23" s="337">
        <f>B23/'- 3 -'!D23*100</f>
        <v>51.490109003504173</v>
      </c>
      <c r="D23" s="331">
        <f>B23/'- 7 -'!C23</f>
        <v>6981.0915225643184</v>
      </c>
      <c r="E23" s="331">
        <f>SUM('- 21 -'!B23,'- 21 -'!E23,'- 21 -'!H23,'- 22 -'!B23,'- 22 -'!D23,'- 22 -'!G23,'- 23 -'!B23)</f>
        <v>2816756</v>
      </c>
      <c r="F23" s="337">
        <f>E23/'- 3 -'!D23*100</f>
        <v>17.52460142698822</v>
      </c>
      <c r="G23" s="331">
        <f>E23/'- 7 -'!E23</f>
        <v>2376.0067482075074</v>
      </c>
      <c r="H23" s="331">
        <f>SUM('- 24 -'!D23,'- 24 -'!B23)</f>
        <v>246128</v>
      </c>
      <c r="I23" s="337">
        <f>H23/'- 3 -'!D23*100</f>
        <v>1.5312988061520971</v>
      </c>
    </row>
    <row r="24" spans="1:9" ht="14.1" customHeight="1">
      <c r="A24" s="26" t="s">
        <v>248</v>
      </c>
      <c r="B24" s="27">
        <f>SUM('- 18 -'!B24,'- 18 -'!E24,'- 19 -'!B24,'- 19 -'!E24,'- 19 -'!H24,'- 20 -'!B24)</f>
        <v>29901438</v>
      </c>
      <c r="C24" s="79">
        <f>B24/'- 3 -'!D24*100</f>
        <v>58.55145000392119</v>
      </c>
      <c r="D24" s="27">
        <f>B24/'- 7 -'!C24</f>
        <v>7046.0772439145085</v>
      </c>
      <c r="E24" s="27">
        <f>SUM('- 21 -'!B24,'- 21 -'!E24,'- 21 -'!H24,'- 22 -'!B24,'- 22 -'!D24,'- 22 -'!G24,'- 23 -'!B24)</f>
        <v>8585943</v>
      </c>
      <c r="F24" s="79">
        <f>E24/'- 3 -'!D24*100</f>
        <v>16.81254969413234</v>
      </c>
      <c r="G24" s="27">
        <f>E24/'- 7 -'!E24</f>
        <v>2023.221009967717</v>
      </c>
      <c r="H24" s="27">
        <f>SUM('- 24 -'!D24,'- 24 -'!B24)</f>
        <v>381407</v>
      </c>
      <c r="I24" s="79">
        <f>H24/'- 3 -'!D24*100</f>
        <v>0.7468514688706801</v>
      </c>
    </row>
    <row r="25" spans="1:9" ht="14.1" customHeight="1">
      <c r="A25" s="330" t="s">
        <v>249</v>
      </c>
      <c r="B25" s="331">
        <f>SUM('- 18 -'!B25,'- 18 -'!E25,'- 19 -'!B25,'- 19 -'!E25,'- 19 -'!H25,'- 20 -'!B25)</f>
        <v>81650954</v>
      </c>
      <c r="C25" s="337">
        <f>B25/'- 3 -'!D25*100</f>
        <v>54.506875549793719</v>
      </c>
      <c r="D25" s="331">
        <f>B25/'- 7 -'!C25</f>
        <v>5957.4015380349929</v>
      </c>
      <c r="E25" s="331">
        <f>SUM('- 21 -'!B25,'- 21 -'!E25,'- 21 -'!H25,'- 22 -'!B25,'- 22 -'!D25,'- 22 -'!G25,'- 23 -'!B25)</f>
        <v>31887896</v>
      </c>
      <c r="F25" s="337">
        <f>E25/'- 3 -'!D25*100</f>
        <v>21.287070066771847</v>
      </c>
      <c r="G25" s="331">
        <f>E25/'- 7 -'!E25</f>
        <v>2326.5986662580808</v>
      </c>
      <c r="H25" s="331">
        <f>SUM('- 24 -'!D25,'- 24 -'!B25)</f>
        <v>0</v>
      </c>
      <c r="I25" s="337">
        <f>H25/'- 3 -'!D25*100</f>
        <v>0</v>
      </c>
    </row>
    <row r="26" spans="1:9" ht="14.1" customHeight="1">
      <c r="A26" s="26" t="s">
        <v>250</v>
      </c>
      <c r="B26" s="27">
        <f>SUM('- 18 -'!B26,'- 18 -'!E26,'- 19 -'!B26,'- 19 -'!E26,'- 19 -'!H26,'- 20 -'!B26)</f>
        <v>21200020</v>
      </c>
      <c r="C26" s="79">
        <f>B26/'- 3 -'!D26*100</f>
        <v>56.870260307543887</v>
      </c>
      <c r="D26" s="27">
        <f>B26/'- 7 -'!C26</f>
        <v>6822.2107803700728</v>
      </c>
      <c r="E26" s="27">
        <f>SUM('- 21 -'!B26,'- 21 -'!E26,'- 21 -'!H26,'- 22 -'!B26,'- 22 -'!D26,'- 22 -'!G26,'- 23 -'!B26)</f>
        <v>5301996</v>
      </c>
      <c r="F26" s="79">
        <f>E26/'- 3 -'!D26*100</f>
        <v>14.222906047709222</v>
      </c>
      <c r="G26" s="27">
        <f>E26/'- 7 -'!E26</f>
        <v>1706.1934030571199</v>
      </c>
      <c r="H26" s="27">
        <f>SUM('- 24 -'!D26,'- 24 -'!B26)</f>
        <v>0</v>
      </c>
      <c r="I26" s="79">
        <f>H26/'- 3 -'!D26*100</f>
        <v>0</v>
      </c>
    </row>
    <row r="27" spans="1:9" ht="14.1" customHeight="1">
      <c r="A27" s="330" t="s">
        <v>251</v>
      </c>
      <c r="B27" s="331">
        <f>SUM('- 18 -'!B27,'- 18 -'!E27,'- 19 -'!B27,'- 19 -'!E27,'- 19 -'!H27,'- 20 -'!B27)</f>
        <v>20416565</v>
      </c>
      <c r="C27" s="337">
        <f>B27/'- 3 -'!D27*100</f>
        <v>55.994777731896875</v>
      </c>
      <c r="D27" s="331">
        <f>B27/'- 7 -'!C27</f>
        <v>7453.9126847362577</v>
      </c>
      <c r="E27" s="331">
        <f>SUM('- 21 -'!B27,'- 21 -'!E27,'- 21 -'!H27,'- 22 -'!B27,'- 22 -'!D27,'- 22 -'!G27,'- 23 -'!B27)</f>
        <v>6751250</v>
      </c>
      <c r="F27" s="337">
        <f>E27/'- 3 -'!D27*100</f>
        <v>18.516079622721492</v>
      </c>
      <c r="G27" s="331">
        <f>E27/'- 7 -'!E27</f>
        <v>2464.8234417898243</v>
      </c>
      <c r="H27" s="331">
        <f>SUM('- 24 -'!D27,'- 24 -'!B27)</f>
        <v>0</v>
      </c>
      <c r="I27" s="337">
        <f>H27/'- 3 -'!D27*100</f>
        <v>0</v>
      </c>
    </row>
    <row r="28" spans="1:9" ht="14.1" customHeight="1">
      <c r="A28" s="26" t="s">
        <v>252</v>
      </c>
      <c r="B28" s="27">
        <f>SUM('- 18 -'!B28,'- 18 -'!E28,'- 19 -'!B28,'- 19 -'!E28,'- 19 -'!H28,'- 20 -'!B28)</f>
        <v>14641405</v>
      </c>
      <c r="C28" s="79">
        <f>B28/'- 3 -'!D28*100</f>
        <v>57.489194619512041</v>
      </c>
      <c r="D28" s="27">
        <f>B28/'- 7 -'!C28</f>
        <v>7377.881078357269</v>
      </c>
      <c r="E28" s="27">
        <f>SUM('- 21 -'!B28,'- 21 -'!E28,'- 21 -'!H28,'- 22 -'!B28,'- 22 -'!D28,'- 22 -'!G28,'- 23 -'!B28)</f>
        <v>3324480</v>
      </c>
      <c r="F28" s="79">
        <f>E28/'- 3 -'!D28*100</f>
        <v>13.053506663375227</v>
      </c>
      <c r="G28" s="27">
        <f>E28/'- 7 -'!E28</f>
        <v>1675.222978080121</v>
      </c>
      <c r="H28" s="27">
        <f>SUM('- 24 -'!D28,'- 24 -'!B28)</f>
        <v>178066</v>
      </c>
      <c r="I28" s="79">
        <f>H28/'- 3 -'!D28*100</f>
        <v>0.69917271799516723</v>
      </c>
    </row>
    <row r="29" spans="1:9" ht="14.1" customHeight="1">
      <c r="A29" s="330" t="s">
        <v>253</v>
      </c>
      <c r="B29" s="331">
        <f>SUM('- 18 -'!B29,'- 18 -'!E29,'- 19 -'!B29,'- 19 -'!E29,'- 19 -'!H29,'- 20 -'!B29)</f>
        <v>77058084</v>
      </c>
      <c r="C29" s="337">
        <f>B29/'- 3 -'!D29*100</f>
        <v>55.808571810101235</v>
      </c>
      <c r="D29" s="331">
        <f>B29/'- 7 -'!C29</f>
        <v>6330.557983635108</v>
      </c>
      <c r="E29" s="331">
        <f>SUM('- 21 -'!B29,'- 21 -'!E29,'- 21 -'!H29,'- 22 -'!B29,'- 22 -'!D29,'- 22 -'!G29,'- 23 -'!B29)</f>
        <v>28627905</v>
      </c>
      <c r="F29" s="337">
        <f>E29/'- 3 -'!D29*100</f>
        <v>20.733483225007983</v>
      </c>
      <c r="G29" s="331">
        <f>E29/'- 7 -'!E29</f>
        <v>2351.8702145838124</v>
      </c>
      <c r="H29" s="331">
        <f>SUM('- 24 -'!D29,'- 24 -'!B29)</f>
        <v>0</v>
      </c>
      <c r="I29" s="337">
        <f>H29/'- 3 -'!D29*100</f>
        <v>0</v>
      </c>
    </row>
    <row r="30" spans="1:9" ht="14.1" customHeight="1">
      <c r="A30" s="26" t="s">
        <v>254</v>
      </c>
      <c r="B30" s="27">
        <f>SUM('- 18 -'!B30,'- 18 -'!E30,'- 19 -'!B30,'- 19 -'!E30,'- 19 -'!H30,'- 20 -'!B30)</f>
        <v>7933939</v>
      </c>
      <c r="C30" s="79">
        <f>B30/'- 3 -'!D30*100</f>
        <v>59.589154630388549</v>
      </c>
      <c r="D30" s="27">
        <f>B30/'- 7 -'!C30</f>
        <v>7361.2349229912788</v>
      </c>
      <c r="E30" s="27">
        <f>SUM('- 21 -'!B30,'- 21 -'!E30,'- 21 -'!H30,'- 22 -'!B30,'- 22 -'!D30,'- 22 -'!G30,'- 23 -'!B30)</f>
        <v>1507279</v>
      </c>
      <c r="F30" s="79">
        <f>E30/'- 3 -'!D30*100</f>
        <v>11.320666998087258</v>
      </c>
      <c r="G30" s="27">
        <f>E30/'- 7 -'!E30</f>
        <v>1398.4774540731119</v>
      </c>
      <c r="H30" s="27">
        <f>SUM('- 24 -'!D30,'- 24 -'!B30)</f>
        <v>0</v>
      </c>
      <c r="I30" s="79">
        <f>H30/'- 3 -'!D30*100</f>
        <v>0</v>
      </c>
    </row>
    <row r="31" spans="1:9" ht="14.1" customHeight="1">
      <c r="A31" s="330" t="s">
        <v>255</v>
      </c>
      <c r="B31" s="331">
        <f>SUM('- 18 -'!B31,'- 18 -'!E31,'- 19 -'!B31,'- 19 -'!E31,'- 19 -'!H31,'- 20 -'!B31)</f>
        <v>18781574</v>
      </c>
      <c r="C31" s="337">
        <f>B31/'- 3 -'!D31*100</f>
        <v>57.544014647921884</v>
      </c>
      <c r="D31" s="331">
        <f>B31/'- 7 -'!C31</f>
        <v>5904.2986482238293</v>
      </c>
      <c r="E31" s="331">
        <f>SUM('- 21 -'!B31,'- 21 -'!E31,'- 21 -'!H31,'- 22 -'!B31,'- 22 -'!D31,'- 22 -'!G31,'- 23 -'!B31)</f>
        <v>6221649</v>
      </c>
      <c r="F31" s="337">
        <f>E31/'- 3 -'!D31*100</f>
        <v>19.062228820131292</v>
      </c>
      <c r="G31" s="331">
        <f>E31/'- 7 -'!E31</f>
        <v>1955.8783401446085</v>
      </c>
      <c r="H31" s="331">
        <f>SUM('- 24 -'!D31,'- 24 -'!B31)</f>
        <v>0</v>
      </c>
      <c r="I31" s="337">
        <f>H31/'- 3 -'!D31*100</f>
        <v>0</v>
      </c>
    </row>
    <row r="32" spans="1:9" ht="14.1" customHeight="1">
      <c r="A32" s="26" t="s">
        <v>256</v>
      </c>
      <c r="B32" s="27">
        <f>SUM('- 18 -'!B32,'- 18 -'!E32,'- 19 -'!B32,'- 19 -'!E32,'- 19 -'!H32,'- 20 -'!B32)</f>
        <v>14290048</v>
      </c>
      <c r="C32" s="79">
        <f>B32/'- 3 -'!D32*100</f>
        <v>57.897545026737106</v>
      </c>
      <c r="D32" s="27">
        <f>B32/'- 7 -'!C32</f>
        <v>6928.5081212121213</v>
      </c>
      <c r="E32" s="27">
        <f>SUM('- 21 -'!B32,'- 21 -'!E32,'- 21 -'!H32,'- 22 -'!B32,'- 22 -'!D32,'- 22 -'!G32,'- 23 -'!B32)</f>
        <v>3450162</v>
      </c>
      <c r="F32" s="79">
        <f>E32/'- 3 -'!D32*100</f>
        <v>13.978673111842408</v>
      </c>
      <c r="G32" s="27">
        <f>E32/'- 7 -'!E32</f>
        <v>1672.8058181818183</v>
      </c>
      <c r="H32" s="27">
        <f>SUM('- 24 -'!D32,'- 24 -'!B32)</f>
        <v>254841</v>
      </c>
      <c r="I32" s="79">
        <f>H32/'- 3 -'!D32*100</f>
        <v>1.032513555738841</v>
      </c>
    </row>
    <row r="33" spans="1:9" ht="14.1" customHeight="1">
      <c r="A33" s="330" t="s">
        <v>257</v>
      </c>
      <c r="B33" s="331">
        <f>SUM('- 18 -'!B33,'- 18 -'!E33,'- 19 -'!B33,'- 19 -'!E33,'- 19 -'!H33,'- 20 -'!B33)</f>
        <v>14103501</v>
      </c>
      <c r="C33" s="337">
        <f>B33/'- 3 -'!D33*100</f>
        <v>55.865027314980068</v>
      </c>
      <c r="D33" s="331">
        <f>B33/'- 7 -'!C33</f>
        <v>6968.13290513834</v>
      </c>
      <c r="E33" s="331">
        <f>SUM('- 21 -'!B33,'- 21 -'!E33,'- 21 -'!H33,'- 22 -'!B33,'- 22 -'!D33,'- 22 -'!G33,'- 23 -'!B33)</f>
        <v>3464790</v>
      </c>
      <c r="F33" s="337">
        <f>E33/'- 3 -'!D33*100</f>
        <v>13.724293563042947</v>
      </c>
      <c r="G33" s="331">
        <f>E33/'- 7 -'!E33</f>
        <v>1711.852766798419</v>
      </c>
      <c r="H33" s="331">
        <f>SUM('- 24 -'!D33,'- 24 -'!B33)</f>
        <v>0</v>
      </c>
      <c r="I33" s="337">
        <f>H33/'- 3 -'!D33*100</f>
        <v>0</v>
      </c>
    </row>
    <row r="34" spans="1:9" ht="14.1" customHeight="1">
      <c r="A34" s="26" t="s">
        <v>258</v>
      </c>
      <c r="B34" s="27">
        <f>SUM('- 18 -'!B34,'- 18 -'!E34,'- 19 -'!B34,'- 19 -'!E34,'- 19 -'!H34,'- 20 -'!B34)</f>
        <v>13886877</v>
      </c>
      <c r="C34" s="79">
        <f>B34/'- 3 -'!D34*100</f>
        <v>57.337772140061801</v>
      </c>
      <c r="D34" s="27">
        <f>B34/'- 7 -'!C34</f>
        <v>6811.065443113097</v>
      </c>
      <c r="E34" s="27">
        <f>SUM('- 21 -'!B34,'- 21 -'!E34,'- 21 -'!H34,'- 22 -'!B34,'- 22 -'!D34,'- 22 -'!G34,'- 23 -'!B34)</f>
        <v>3397554</v>
      </c>
      <c r="F34" s="79">
        <f>E34/'- 3 -'!D34*100</f>
        <v>14.028220822115408</v>
      </c>
      <c r="G34" s="27">
        <f>E34/'- 7 -'!E34</f>
        <v>1666.3906968075455</v>
      </c>
      <c r="H34" s="27">
        <f>SUM('- 24 -'!D34,'- 24 -'!B34)</f>
        <v>0</v>
      </c>
      <c r="I34" s="79">
        <f>H34/'- 3 -'!D34*100</f>
        <v>0</v>
      </c>
    </row>
    <row r="35" spans="1:9" ht="14.1" customHeight="1">
      <c r="A35" s="330" t="s">
        <v>259</v>
      </c>
      <c r="B35" s="331">
        <f>SUM('- 18 -'!B35,'- 18 -'!E35,'- 19 -'!B35,'- 19 -'!E35,'- 19 -'!H35,'- 20 -'!B35)</f>
        <v>94507854</v>
      </c>
      <c r="C35" s="337">
        <f>B35/'- 3 -'!D35*100</f>
        <v>56.921281825544725</v>
      </c>
      <c r="D35" s="331">
        <f>B35/'- 7 -'!C35</f>
        <v>5987.5731120121645</v>
      </c>
      <c r="E35" s="331">
        <f>SUM('- 21 -'!B35,'- 21 -'!E35,'- 21 -'!H35,'- 22 -'!B35,'- 22 -'!D35,'- 22 -'!G35,'- 23 -'!B35)</f>
        <v>31556239</v>
      </c>
      <c r="F35" s="337">
        <f>E35/'- 3 -'!D35*100</f>
        <v>19.006056083690627</v>
      </c>
      <c r="G35" s="331">
        <f>E35/'- 7 -'!E35</f>
        <v>1999.2548783578306</v>
      </c>
      <c r="H35" s="331">
        <f>SUM('- 24 -'!D35,'- 24 -'!B35)</f>
        <v>1021822</v>
      </c>
      <c r="I35" s="337">
        <f>H35/'- 3 -'!D35*100</f>
        <v>0.61543475569281003</v>
      </c>
    </row>
    <row r="36" spans="1:9" ht="14.1" customHeight="1">
      <c r="A36" s="26" t="s">
        <v>260</v>
      </c>
      <c r="B36" s="27">
        <f>SUM('- 18 -'!B36,'- 18 -'!E36,'- 19 -'!B36,'- 19 -'!E36,'- 19 -'!H36,'- 20 -'!B36)</f>
        <v>11801346</v>
      </c>
      <c r="C36" s="79">
        <f>B36/'- 3 -'!D36*100</f>
        <v>57.42707763284556</v>
      </c>
      <c r="D36" s="27">
        <f>B36/'- 7 -'!C36</f>
        <v>7154.4989390724459</v>
      </c>
      <c r="E36" s="27">
        <f>SUM('- 21 -'!B36,'- 21 -'!E36,'- 21 -'!H36,'- 22 -'!B36,'- 22 -'!D36,'- 22 -'!G36,'- 23 -'!B36)</f>
        <v>2793459</v>
      </c>
      <c r="F36" s="79">
        <f>E36/'- 3 -'!D36*100</f>
        <v>13.593380522626072</v>
      </c>
      <c r="G36" s="27">
        <f>E36/'- 7 -'!E36</f>
        <v>1693.5186420127311</v>
      </c>
      <c r="H36" s="27">
        <f>SUM('- 24 -'!D36,'- 24 -'!B36)</f>
        <v>115037</v>
      </c>
      <c r="I36" s="79">
        <f>H36/'- 3 -'!D36*100</f>
        <v>0.5597868861441444</v>
      </c>
    </row>
    <row r="37" spans="1:9" ht="14.1" customHeight="1">
      <c r="A37" s="330" t="s">
        <v>261</v>
      </c>
      <c r="B37" s="331">
        <f>SUM('- 18 -'!B37,'- 18 -'!E37,'- 19 -'!B37,'- 19 -'!E37,'- 19 -'!H37,'- 20 -'!B37)</f>
        <v>22013976</v>
      </c>
      <c r="C37" s="337">
        <f>B37/'- 3 -'!D37*100</f>
        <v>55.593559372806787</v>
      </c>
      <c r="D37" s="331">
        <f>B37/'- 7 -'!C37</f>
        <v>5904.2446023870189</v>
      </c>
      <c r="E37" s="331">
        <f>SUM('- 21 -'!B37,'- 21 -'!E37,'- 21 -'!H37,'- 22 -'!B37,'- 22 -'!D37,'- 22 -'!G37,'- 23 -'!B37)</f>
        <v>7313591</v>
      </c>
      <c r="F37" s="337">
        <f>E37/'- 3 -'!D37*100</f>
        <v>18.469564765898056</v>
      </c>
      <c r="G37" s="331">
        <f>E37/'- 7 -'!E37</f>
        <v>1961.5370792543918</v>
      </c>
      <c r="H37" s="331">
        <f>SUM('- 24 -'!D37,'- 24 -'!B37)</f>
        <v>305358</v>
      </c>
      <c r="I37" s="337">
        <f>H37/'- 3 -'!D37*100</f>
        <v>0.77114366359632336</v>
      </c>
    </row>
    <row r="38" spans="1:9" ht="14.1" customHeight="1">
      <c r="A38" s="26" t="s">
        <v>262</v>
      </c>
      <c r="B38" s="27">
        <f>SUM('- 18 -'!B38,'- 18 -'!E38,'- 19 -'!B38,'- 19 -'!E38,'- 19 -'!H38,'- 20 -'!B38)</f>
        <v>64197522</v>
      </c>
      <c r="C38" s="79">
        <f>B38/'- 3 -'!D38*100</f>
        <v>58.344900671515745</v>
      </c>
      <c r="D38" s="27">
        <f>B38/'- 7 -'!C38</f>
        <v>6201.7004134626532</v>
      </c>
      <c r="E38" s="27">
        <f>SUM('- 21 -'!B38,'- 21 -'!E38,'- 21 -'!H38,'- 22 -'!B38,'- 22 -'!D38,'- 22 -'!G38,'- 23 -'!B38)</f>
        <v>20543124</v>
      </c>
      <c r="F38" s="79">
        <f>E38/'- 3 -'!D38*100</f>
        <v>18.670292745296795</v>
      </c>
      <c r="G38" s="27">
        <f>E38/'- 7 -'!E38</f>
        <v>1984.5361103597511</v>
      </c>
      <c r="H38" s="27">
        <f>SUM('- 24 -'!D38,'- 24 -'!B38)</f>
        <v>738060</v>
      </c>
      <c r="I38" s="79">
        <f>H38/'- 3 -'!D38*100</f>
        <v>0.67077413657210805</v>
      </c>
    </row>
    <row r="39" spans="1:9" ht="14.1" customHeight="1">
      <c r="A39" s="330" t="s">
        <v>263</v>
      </c>
      <c r="B39" s="331">
        <f>SUM('- 18 -'!B39,'- 18 -'!E39,'- 19 -'!B39,'- 19 -'!E39,'- 19 -'!H39,'- 20 -'!B39)</f>
        <v>10672314</v>
      </c>
      <c r="C39" s="337">
        <f>B39/'- 3 -'!D39*100</f>
        <v>54.63988374006987</v>
      </c>
      <c r="D39" s="331">
        <f>B39/'- 7 -'!C39</f>
        <v>6729.0756620428756</v>
      </c>
      <c r="E39" s="331">
        <f>SUM('- 21 -'!B39,'- 21 -'!E39,'- 21 -'!H39,'- 22 -'!B39,'- 22 -'!D39,'- 22 -'!G39,'- 23 -'!B39)</f>
        <v>2675148</v>
      </c>
      <c r="F39" s="337">
        <f>E39/'- 3 -'!D39*100</f>
        <v>13.696165209108393</v>
      </c>
      <c r="G39" s="331">
        <f>E39/'- 7 -'!E39</f>
        <v>1686.7263556116015</v>
      </c>
      <c r="H39" s="331">
        <f>SUM('- 24 -'!D39,'- 24 -'!B39)</f>
        <v>0</v>
      </c>
      <c r="I39" s="337">
        <f>H39/'- 3 -'!D39*100</f>
        <v>0</v>
      </c>
    </row>
    <row r="40" spans="1:9" ht="14.1" customHeight="1">
      <c r="A40" s="26" t="s">
        <v>264</v>
      </c>
      <c r="B40" s="27">
        <f>SUM('- 18 -'!B40,'- 18 -'!E40,'- 19 -'!B40,'- 19 -'!E40,'- 19 -'!H40,'- 20 -'!B40)</f>
        <v>52784511</v>
      </c>
      <c r="C40" s="79">
        <f>B40/'- 3 -'!D40*100</f>
        <v>56.888850410586436</v>
      </c>
      <c r="D40" s="27">
        <f>B40/'- 7 -'!C40</f>
        <v>6568.7508244459104</v>
      </c>
      <c r="E40" s="27">
        <f>SUM('- 21 -'!B40,'- 21 -'!E40,'- 21 -'!H40,'- 22 -'!B40,'- 22 -'!D40,'- 22 -'!G40,'- 23 -'!B40)</f>
        <v>19187562</v>
      </c>
      <c r="F40" s="79">
        <f>E40/'- 3 -'!D40*100</f>
        <v>20.679519875856244</v>
      </c>
      <c r="G40" s="27">
        <f>E40/'- 7 -'!E40</f>
        <v>2387.7897382928682</v>
      </c>
      <c r="H40" s="27">
        <f>SUM('- 24 -'!D40,'- 24 -'!B40)</f>
        <v>0</v>
      </c>
      <c r="I40" s="79">
        <f>H40/'- 3 -'!D40*100</f>
        <v>0</v>
      </c>
    </row>
    <row r="41" spans="1:9" ht="14.1" customHeight="1">
      <c r="A41" s="330" t="s">
        <v>265</v>
      </c>
      <c r="B41" s="331">
        <f>SUM('- 18 -'!B41,'- 18 -'!E41,'- 19 -'!B41,'- 19 -'!E41,'- 19 -'!H41,'- 20 -'!B41)</f>
        <v>30513524</v>
      </c>
      <c r="C41" s="337">
        <f>B41/'- 3 -'!D41*100</f>
        <v>52.698454597251988</v>
      </c>
      <c r="D41" s="331">
        <f>B41/'- 7 -'!C41</f>
        <v>6820.1886455073763</v>
      </c>
      <c r="E41" s="331">
        <f>SUM('- 21 -'!B41,'- 21 -'!E41,'- 21 -'!H41,'- 22 -'!B41,'- 22 -'!D41,'- 22 -'!G41,'- 23 -'!B41)</f>
        <v>10817986</v>
      </c>
      <c r="F41" s="337">
        <f>E41/'- 3 -'!D41*100</f>
        <v>18.683228592499106</v>
      </c>
      <c r="G41" s="331">
        <f>E41/'- 7 -'!E41</f>
        <v>2417.9673670093875</v>
      </c>
      <c r="H41" s="331">
        <f>SUM('- 24 -'!D41,'- 24 -'!B41)</f>
        <v>972366</v>
      </c>
      <c r="I41" s="337">
        <f>H41/'- 3 -'!D41*100</f>
        <v>1.6793270257119932</v>
      </c>
    </row>
    <row r="42" spans="1:9" ht="14.1" customHeight="1">
      <c r="A42" s="26" t="s">
        <v>266</v>
      </c>
      <c r="B42" s="27">
        <f>SUM('- 18 -'!B42,'- 18 -'!E42,'- 19 -'!B42,'- 19 -'!E42,'- 19 -'!H42,'- 20 -'!B42)</f>
        <v>11096574</v>
      </c>
      <c r="C42" s="79">
        <f>B42/'- 3 -'!D42*100</f>
        <v>56.388471674516317</v>
      </c>
      <c r="D42" s="27">
        <f>B42/'- 7 -'!C42</f>
        <v>7766.9027787499126</v>
      </c>
      <c r="E42" s="27">
        <f>SUM('- 21 -'!B42,'- 21 -'!E42,'- 21 -'!H42,'- 22 -'!B42,'- 22 -'!D42,'- 22 -'!G42,'- 23 -'!B42)</f>
        <v>3275280</v>
      </c>
      <c r="F42" s="79">
        <f>E42/'- 3 -'!D42*100</f>
        <v>16.64369863221836</v>
      </c>
      <c r="G42" s="27">
        <f>E42/'- 7 -'!E42</f>
        <v>2292.4896759291664</v>
      </c>
      <c r="H42" s="27">
        <f>SUM('- 24 -'!D42,'- 24 -'!B42)</f>
        <v>0</v>
      </c>
      <c r="I42" s="79">
        <f>H42/'- 3 -'!D42*100</f>
        <v>0</v>
      </c>
    </row>
    <row r="43" spans="1:9" ht="14.1" customHeight="1">
      <c r="A43" s="330" t="s">
        <v>267</v>
      </c>
      <c r="B43" s="331">
        <f>SUM('- 18 -'!B43,'- 18 -'!E43,'- 19 -'!B43,'- 19 -'!E43,'- 19 -'!H43,'- 20 -'!B43)</f>
        <v>6434370</v>
      </c>
      <c r="C43" s="337">
        <f>B43/'- 3 -'!D43*100</f>
        <v>55.252393774922901</v>
      </c>
      <c r="D43" s="331">
        <f>B43/'- 7 -'!C43</f>
        <v>6595.9712967708865</v>
      </c>
      <c r="E43" s="331">
        <f>SUM('- 21 -'!B43,'- 21 -'!E43,'- 21 -'!H43,'- 22 -'!B43,'- 22 -'!D43,'- 22 -'!G43,'- 23 -'!B43)</f>
        <v>1954038</v>
      </c>
      <c r="F43" s="337">
        <f>E43/'- 3 -'!D43*100</f>
        <v>16.779463572527348</v>
      </c>
      <c r="G43" s="331">
        <f>E43/'- 7 -'!E43</f>
        <v>2003.1143003587904</v>
      </c>
      <c r="H43" s="331">
        <f>SUM('- 24 -'!D43,'- 24 -'!B43)</f>
        <v>241216</v>
      </c>
      <c r="I43" s="337">
        <f>H43/'- 3 -'!D43*100</f>
        <v>2.0713389837407239</v>
      </c>
    </row>
    <row r="44" spans="1:9" ht="14.1" customHeight="1">
      <c r="A44" s="26" t="s">
        <v>268</v>
      </c>
      <c r="B44" s="27">
        <f>SUM('- 18 -'!B44,'- 18 -'!E44,'- 19 -'!B44,'- 19 -'!E44,'- 19 -'!H44,'- 20 -'!B44)</f>
        <v>5499075</v>
      </c>
      <c r="C44" s="79">
        <f>B44/'- 3 -'!D44*100</f>
        <v>56.37761104284855</v>
      </c>
      <c r="D44" s="27">
        <f>B44/'- 7 -'!C44</f>
        <v>7685.6394129979035</v>
      </c>
      <c r="E44" s="27">
        <f>SUM('- 21 -'!B44,'- 21 -'!E44,'- 21 -'!H44,'- 22 -'!B44,'- 22 -'!D44,'- 22 -'!G44,'- 23 -'!B44)</f>
        <v>1463485</v>
      </c>
      <c r="F44" s="79">
        <f>E44/'- 3 -'!D44*100</f>
        <v>15.003939407453656</v>
      </c>
      <c r="G44" s="27">
        <f>E44/'- 7 -'!E44</f>
        <v>2045.4018169112508</v>
      </c>
      <c r="H44" s="27">
        <f>SUM('- 24 -'!D44,'- 24 -'!B44)</f>
        <v>0</v>
      </c>
      <c r="I44" s="79">
        <f>H44/'- 3 -'!D44*100</f>
        <v>0</v>
      </c>
    </row>
    <row r="45" spans="1:9" ht="14.1" customHeight="1">
      <c r="A45" s="330" t="s">
        <v>269</v>
      </c>
      <c r="B45" s="331">
        <f>SUM('- 18 -'!B45,'- 18 -'!E45,'- 19 -'!B45,'- 19 -'!E45,'- 19 -'!H45,'- 20 -'!B45)</f>
        <v>9737817</v>
      </c>
      <c r="C45" s="337">
        <f>B45/'- 3 -'!D45*100</f>
        <v>59.760610622786245</v>
      </c>
      <c r="D45" s="331">
        <f>B45/'- 7 -'!C45</f>
        <v>6048.3335403726705</v>
      </c>
      <c r="E45" s="331">
        <f>SUM('- 21 -'!B45,'- 21 -'!E45,'- 21 -'!H45,'- 22 -'!B45,'- 22 -'!D45,'- 22 -'!G45,'- 23 -'!B45)</f>
        <v>2491638</v>
      </c>
      <c r="F45" s="337">
        <f>E45/'- 3 -'!D45*100</f>
        <v>15.291087143138743</v>
      </c>
      <c r="G45" s="331">
        <f>E45/'- 7 -'!E45</f>
        <v>1547.6012422360247</v>
      </c>
      <c r="H45" s="331">
        <f>SUM('- 24 -'!D45,'- 24 -'!B45)</f>
        <v>376500</v>
      </c>
      <c r="I45" s="337">
        <f>H45/'- 3 -'!D45*100</f>
        <v>2.310566105265587</v>
      </c>
    </row>
    <row r="46" spans="1:9" ht="14.1" customHeight="1">
      <c r="A46" s="26" t="s">
        <v>270</v>
      </c>
      <c r="B46" s="27">
        <f>SUM('- 18 -'!B46,'- 18 -'!E46,'- 19 -'!B46,'- 19 -'!E46,'- 19 -'!H46,'- 20 -'!B46)</f>
        <v>183313983</v>
      </c>
      <c r="C46" s="79">
        <f>B46/'- 3 -'!D46*100</f>
        <v>52.776748818441618</v>
      </c>
      <c r="D46" s="27">
        <f>B46/'- 7 -'!C46</f>
        <v>6084.7075048959405</v>
      </c>
      <c r="E46" s="27">
        <f>SUM('- 21 -'!B46,'- 21 -'!E46,'- 21 -'!H46,'- 22 -'!B46,'- 22 -'!D46,'- 22 -'!G46,'- 23 -'!B46)</f>
        <v>82137546</v>
      </c>
      <c r="F46" s="79">
        <f>E46/'- 3 -'!D46*100</f>
        <v>23.647692133802988</v>
      </c>
      <c r="G46" s="27">
        <f>E46/'- 7 -'!E46</f>
        <v>2726.3765393168919</v>
      </c>
      <c r="H46" s="27">
        <f>SUM('- 24 -'!D46,'- 24 -'!B46)</f>
        <v>774364</v>
      </c>
      <c r="I46" s="79">
        <f>H46/'- 3 -'!D46*100</f>
        <v>0.22294215451116856</v>
      </c>
    </row>
    <row r="47" spans="1:9" ht="5.0999999999999996" customHeight="1">
      <c r="A47" s="28"/>
      <c r="B47" s="29"/>
      <c r="C47" s="80"/>
      <c r="D47" s="29"/>
      <c r="E47" s="29"/>
      <c r="F47" s="80"/>
      <c r="G47" s="29"/>
      <c r="H47" s="29"/>
      <c r="I47" s="80"/>
    </row>
    <row r="48" spans="1:9" ht="14.1" customHeight="1">
      <c r="A48" s="332" t="s">
        <v>271</v>
      </c>
      <c r="B48" s="333">
        <f>SUM(B11:B46)</f>
        <v>1104797126</v>
      </c>
      <c r="C48" s="340">
        <f>B48/'- 3 -'!D48*100</f>
        <v>55.269527358875926</v>
      </c>
      <c r="D48" s="333">
        <f>B48/'- 7 -'!C48</f>
        <v>6413.5002258654958</v>
      </c>
      <c r="E48" s="333">
        <f>SUM(E11:E46)</f>
        <v>375997040</v>
      </c>
      <c r="F48" s="340">
        <f>E48/'- 3 -'!D48*100</f>
        <v>18.809949989982471</v>
      </c>
      <c r="G48" s="333">
        <f>E48/'- 7 -'!E48</f>
        <v>2182.71485706667</v>
      </c>
      <c r="H48" s="333">
        <f>SUM(H11:H46)</f>
        <v>8936558</v>
      </c>
      <c r="I48" s="340">
        <f>H48/'- 3 -'!D48*100</f>
        <v>0.4470679052754718</v>
      </c>
    </row>
    <row r="49" spans="1:9" ht="5.0999999999999996" customHeight="1">
      <c r="A49" s="28" t="s">
        <v>17</v>
      </c>
      <c r="B49" s="29"/>
      <c r="C49" s="80"/>
      <c r="D49" s="29"/>
      <c r="E49" s="29"/>
      <c r="F49" s="80"/>
      <c r="H49" s="29"/>
      <c r="I49" s="80"/>
    </row>
    <row r="50" spans="1:9" ht="14.1" customHeight="1">
      <c r="A50" s="330" t="s">
        <v>272</v>
      </c>
      <c r="B50" s="331">
        <f>SUM('- 18 -'!B50,'- 18 -'!E50,'- 19 -'!B50,'- 19 -'!E50,'- 19 -'!H50,'- 20 -'!B50)</f>
        <v>1820253</v>
      </c>
      <c r="C50" s="337">
        <f>B50/'- 3 -'!D50*100</f>
        <v>57.393475016655984</v>
      </c>
      <c r="D50" s="331">
        <f>B50/'- 7 -'!C50</f>
        <v>10899.718562874252</v>
      </c>
      <c r="E50" s="331">
        <f>SUM('- 21 -'!B50,'- 21 -'!E50,'- 21 -'!H50,'- 22 -'!B50,'- 22 -'!D50,'- 22 -'!G50,'- 23 -'!B50)</f>
        <v>423291</v>
      </c>
      <c r="F50" s="337">
        <f>E50/'- 3 -'!D50*100</f>
        <v>13.346574038485489</v>
      </c>
      <c r="G50" s="331">
        <f>E50/'- 7 -'!E50</f>
        <v>2534.6766467065868</v>
      </c>
      <c r="H50" s="331">
        <f>SUM('- 24 -'!D50,'- 24 -'!B50)</f>
        <v>0</v>
      </c>
      <c r="I50" s="337">
        <f>H50/'- 3 -'!D50*100</f>
        <v>0</v>
      </c>
    </row>
    <row r="51" spans="1:9" ht="14.1" customHeight="1">
      <c r="A51" s="26" t="s">
        <v>273</v>
      </c>
      <c r="B51" s="27">
        <f>SUM('- 18 -'!B51,'- 18 -'!E51,'- 19 -'!B51,'- 19 -'!E51,'- 19 -'!H51,'- 20 -'!B51)</f>
        <v>4738185</v>
      </c>
      <c r="C51" s="79">
        <f>B51/'- 3 -'!D51*100</f>
        <v>26.198641981336213</v>
      </c>
      <c r="D51" s="27">
        <f>B51/'- 7 -'!C51</f>
        <v>6554.5941235059763</v>
      </c>
      <c r="E51" s="27">
        <f>SUM('- 21 -'!B51,'- 21 -'!E51,'- 21 -'!H51,'- 22 -'!B51,'- 22 -'!D51,'- 22 -'!G51,'- 23 -'!B51)</f>
        <v>676761</v>
      </c>
      <c r="F51" s="79">
        <f>E51/'- 3 -'!D51*100</f>
        <v>3.7419854112769082</v>
      </c>
      <c r="G51" s="27">
        <f>E51/'- 7 -'!E51</f>
        <v>936.20102921646742</v>
      </c>
      <c r="H51" s="27">
        <f>SUM('- 24 -'!D51,'- 24 -'!B51)</f>
        <v>2441494</v>
      </c>
      <c r="I51" s="79">
        <f>H51/'- 3 -'!D51*100</f>
        <v>13.499647482227999</v>
      </c>
    </row>
    <row r="52" spans="1:9" ht="50.1" customHeight="1"/>
  </sheetData>
  <phoneticPr fontId="6" type="noConversion"/>
  <pageMargins left="0.5" right="0.5" top="0.6" bottom="0.2" header="0.3" footer="0.5"/>
  <pageSetup scale="88" firstPageNumber="14" orientation="portrait" r:id="rId1"/>
  <headerFooter alignWithMargins="0">
    <oddHeader>&amp;C&amp;"Arial,Regular"&amp;11&amp;A</oddHeader>
  </headerFooter>
</worksheet>
</file>

<file path=xl/worksheets/sheet13.xml><?xml version="1.0" encoding="utf-8"?>
<worksheet xmlns="http://schemas.openxmlformats.org/spreadsheetml/2006/main" xmlns:r="http://schemas.openxmlformats.org/officeDocument/2006/relationships">
  <sheetPr codeName="Sheet11">
    <pageSetUpPr fitToPage="1"/>
  </sheetPr>
  <dimension ref="A1:I52"/>
  <sheetViews>
    <sheetView showGridLines="0" showZeros="0" workbookViewId="0"/>
  </sheetViews>
  <sheetFormatPr defaultColWidth="15.83203125" defaultRowHeight="12"/>
  <cols>
    <col min="1" max="1" width="32.83203125" style="1" customWidth="1"/>
    <col min="2" max="2" width="18.83203125" style="1" customWidth="1"/>
    <col min="3" max="3" width="9.83203125" style="1" customWidth="1"/>
    <col min="4" max="4" width="16.83203125" style="1" customWidth="1"/>
    <col min="5" max="5" width="8.83203125" style="1" customWidth="1"/>
    <col min="6" max="6" width="9.83203125" style="1" customWidth="1"/>
    <col min="7" max="7" width="16.83203125" style="1" customWidth="1"/>
    <col min="8" max="8" width="8.83203125" style="1" customWidth="1"/>
    <col min="9" max="9" width="9.83203125" style="1" customWidth="1"/>
    <col min="10" max="16384" width="15.83203125" style="1"/>
  </cols>
  <sheetData>
    <row r="1" spans="1:9" ht="6.95" customHeight="1">
      <c r="A1" s="6"/>
      <c r="B1" s="7"/>
      <c r="C1" s="7"/>
      <c r="D1" s="7"/>
      <c r="E1" s="7"/>
      <c r="F1" s="7"/>
      <c r="G1" s="7"/>
      <c r="H1" s="7"/>
      <c r="I1" s="7"/>
    </row>
    <row r="2" spans="1:9" ht="15.95" customHeight="1">
      <c r="A2" s="152"/>
      <c r="B2" s="8" t="s">
        <v>490</v>
      </c>
      <c r="C2" s="9"/>
      <c r="D2" s="9"/>
      <c r="E2" s="9"/>
      <c r="F2" s="9"/>
      <c r="G2" s="82"/>
      <c r="H2" s="92"/>
      <c r="I2" s="153" t="s">
        <v>18</v>
      </c>
    </row>
    <row r="3" spans="1:9" ht="15.95" customHeight="1">
      <c r="A3" s="154"/>
      <c r="B3" s="10" t="str">
        <f>OPYEAR</f>
        <v>OPERATING FUND 2012/2013 ACTUAL</v>
      </c>
      <c r="C3" s="11"/>
      <c r="D3" s="11"/>
      <c r="E3" s="11"/>
      <c r="F3" s="11"/>
      <c r="G3" s="84"/>
      <c r="H3" s="74"/>
      <c r="I3" s="74"/>
    </row>
    <row r="4" spans="1:9" ht="15.95" customHeight="1">
      <c r="B4" s="7"/>
      <c r="C4" s="7"/>
      <c r="D4" s="7"/>
      <c r="E4" s="7"/>
      <c r="F4" s="7"/>
      <c r="G4" s="7"/>
      <c r="H4" s="7"/>
      <c r="I4" s="7"/>
    </row>
    <row r="5" spans="1:9" ht="15.95" customHeight="1">
      <c r="B5" s="7"/>
      <c r="C5" s="7"/>
      <c r="D5" s="7"/>
      <c r="E5" s="7"/>
      <c r="F5" s="7"/>
      <c r="G5" s="7"/>
      <c r="H5" s="7"/>
      <c r="I5" s="7"/>
    </row>
    <row r="6" spans="1:9" ht="15.95" customHeight="1">
      <c r="B6" s="357" t="s">
        <v>64</v>
      </c>
      <c r="C6" s="360"/>
      <c r="D6" s="357" t="s">
        <v>192</v>
      </c>
      <c r="E6" s="360"/>
      <c r="F6" s="358"/>
      <c r="G6" s="357" t="s">
        <v>443</v>
      </c>
      <c r="H6" s="360"/>
      <c r="I6" s="358"/>
    </row>
    <row r="7" spans="1:9" ht="15.95" customHeight="1">
      <c r="B7" s="344" t="s">
        <v>217</v>
      </c>
      <c r="C7" s="345"/>
      <c r="D7" s="344" t="s">
        <v>44</v>
      </c>
      <c r="E7" s="345"/>
      <c r="F7" s="346"/>
      <c r="G7" s="344" t="s">
        <v>50</v>
      </c>
      <c r="H7" s="345"/>
      <c r="I7" s="346"/>
    </row>
    <row r="8" spans="1:9" ht="15.95" customHeight="1">
      <c r="A8" s="75"/>
      <c r="B8" s="13" t="s">
        <v>17</v>
      </c>
      <c r="C8" s="156"/>
      <c r="D8" s="155"/>
      <c r="E8" s="157"/>
      <c r="F8" s="157" t="s">
        <v>74</v>
      </c>
      <c r="G8" s="155"/>
      <c r="H8" s="157"/>
      <c r="I8" s="157" t="s">
        <v>74</v>
      </c>
    </row>
    <row r="9" spans="1:9" ht="15.95" customHeight="1">
      <c r="A9" s="42" t="s">
        <v>94</v>
      </c>
      <c r="B9" s="87" t="s">
        <v>95</v>
      </c>
      <c r="C9" s="87" t="s">
        <v>96</v>
      </c>
      <c r="D9" s="87" t="s">
        <v>95</v>
      </c>
      <c r="E9" s="87" t="s">
        <v>96</v>
      </c>
      <c r="F9" s="87" t="s">
        <v>97</v>
      </c>
      <c r="G9" s="87" t="s">
        <v>95</v>
      </c>
      <c r="H9" s="87" t="s">
        <v>96</v>
      </c>
      <c r="I9" s="87" t="s">
        <v>97</v>
      </c>
    </row>
    <row r="10" spans="1:9" ht="5.0999999999999996" customHeight="1">
      <c r="A10" s="5"/>
    </row>
    <row r="11" spans="1:9" ht="14.1" customHeight="1">
      <c r="A11" s="330" t="s">
        <v>236</v>
      </c>
      <c r="B11" s="331">
        <f>SUM('- 25 -'!H11,'- 25 -'!F11,'- 25 -'!D11,'- 25 -'!B11)</f>
        <v>19037</v>
      </c>
      <c r="C11" s="337">
        <f>B11/'- 3 -'!D11*100</f>
        <v>0.12166620257074418</v>
      </c>
      <c r="D11" s="331">
        <f>SUM('- 26 -'!B11,'- 26 -'!E11,'- 26 -'!H11,'- 27 -'!B11)</f>
        <v>584447</v>
      </c>
      <c r="E11" s="337">
        <f>D11/'- 3 -'!D11*100</f>
        <v>3.7352233594507385</v>
      </c>
      <c r="F11" s="331">
        <f>D11/'- 7 -'!E11</f>
        <v>389.24209124209125</v>
      </c>
      <c r="G11" s="331">
        <f>SUM('- 28 -'!B11,'- 28 -'!E11,'- 28 -'!H11,'- 29 -'!B11,'- 29 -'!E11)</f>
        <v>322922</v>
      </c>
      <c r="H11" s="337">
        <f>G11/'- 3 -'!D11*100</f>
        <v>2.0638069793848737</v>
      </c>
      <c r="I11" s="331">
        <f>G11/'- 7 -'!E11</f>
        <v>215.06626706626707</v>
      </c>
    </row>
    <row r="12" spans="1:9" ht="14.1" customHeight="1">
      <c r="A12" s="26" t="s">
        <v>237</v>
      </c>
      <c r="B12" s="27">
        <f>SUM('- 25 -'!H12,'- 25 -'!F12,'- 25 -'!D12,'- 25 -'!B12)</f>
        <v>58379</v>
      </c>
      <c r="C12" s="79">
        <f>B12/'- 3 -'!D12*100</f>
        <v>0.19769605982429944</v>
      </c>
      <c r="D12" s="27">
        <f>SUM('- 26 -'!B12,'- 26 -'!E12,'- 26 -'!H12,'- 27 -'!B12)</f>
        <v>929639</v>
      </c>
      <c r="E12" s="79">
        <f>D12/'- 3 -'!D12*100</f>
        <v>3.1481520299936951</v>
      </c>
      <c r="F12" s="27">
        <f>D12/'- 7 -'!E12</f>
        <v>406.52396361728177</v>
      </c>
      <c r="G12" s="27">
        <f>SUM('- 28 -'!B12,'- 28 -'!E12,'- 28 -'!H12,'- 29 -'!B12,'- 29 -'!E12)</f>
        <v>690069</v>
      </c>
      <c r="H12" s="79">
        <f>G12/'- 3 -'!D12*100</f>
        <v>2.3368663784390704</v>
      </c>
      <c r="I12" s="27">
        <f>G12/'- 7 -'!E12</f>
        <v>301.76185062095504</v>
      </c>
    </row>
    <row r="13" spans="1:9" ht="14.1" customHeight="1">
      <c r="A13" s="330" t="s">
        <v>238</v>
      </c>
      <c r="B13" s="331">
        <f>SUM('- 25 -'!H13,'- 25 -'!F13,'- 25 -'!D13,'- 25 -'!B13)</f>
        <v>281821</v>
      </c>
      <c r="C13" s="337">
        <f>B13/'- 3 -'!D13*100</f>
        <v>0.3503790046265356</v>
      </c>
      <c r="D13" s="331">
        <f>SUM('- 26 -'!B13,'- 26 -'!E13,'- 26 -'!H13,'- 27 -'!B13)</f>
        <v>2358821</v>
      </c>
      <c r="E13" s="337">
        <f>D13/'- 3 -'!D13*100</f>
        <v>2.9326464460496884</v>
      </c>
      <c r="F13" s="331">
        <f>D13/'- 7 -'!E13</f>
        <v>300.54418041664013</v>
      </c>
      <c r="G13" s="331">
        <f>SUM('- 28 -'!B13,'- 28 -'!E13,'- 28 -'!H13,'- 29 -'!B13,'- 29 -'!E13)</f>
        <v>2404475</v>
      </c>
      <c r="H13" s="337">
        <f>G13/'- 3 -'!D13*100</f>
        <v>2.9894065990447451</v>
      </c>
      <c r="I13" s="331">
        <f>G13/'- 7 -'!E13</f>
        <v>306.36108810600751</v>
      </c>
    </row>
    <row r="14" spans="1:9" ht="14.1" customHeight="1">
      <c r="A14" s="26" t="s">
        <v>656</v>
      </c>
      <c r="B14" s="27">
        <f>SUM('- 25 -'!H14,'- 25 -'!F14,'- 25 -'!D14,'- 25 -'!B14)</f>
        <v>690880</v>
      </c>
      <c r="C14" s="79">
        <f>B14/'- 3 -'!D14*100</f>
        <v>0.98888721389787315</v>
      </c>
      <c r="D14" s="27">
        <f>SUM('- 26 -'!B14,'- 26 -'!E14,'- 26 -'!H14,'- 27 -'!B14)</f>
        <v>2799075</v>
      </c>
      <c r="E14" s="79">
        <f>D14/'- 3 -'!D14*100</f>
        <v>4.0064403054672146</v>
      </c>
      <c r="F14" s="27">
        <f>D14/'- 7 -'!E14</f>
        <v>549.48468786808007</v>
      </c>
      <c r="G14" s="27">
        <f>SUM('- 28 -'!B14,'- 28 -'!E14,'- 28 -'!H14,'- 29 -'!B14,'- 29 -'!E14)</f>
        <v>2443539</v>
      </c>
      <c r="H14" s="79">
        <f>G14/'- 3 -'!D14*100</f>
        <v>3.497545845531489</v>
      </c>
      <c r="I14" s="27">
        <f>G14/'- 7 -'!E14</f>
        <v>479.68963486454652</v>
      </c>
    </row>
    <row r="15" spans="1:9" ht="14.1" customHeight="1">
      <c r="A15" s="330" t="s">
        <v>239</v>
      </c>
      <c r="B15" s="331">
        <f>SUM('- 25 -'!H15,'- 25 -'!F15,'- 25 -'!D15,'- 25 -'!B15)</f>
        <v>76946</v>
      </c>
      <c r="C15" s="337">
        <f>B15/'- 3 -'!D15*100</f>
        <v>0.41377166048611852</v>
      </c>
      <c r="D15" s="331">
        <f>SUM('- 26 -'!B15,'- 26 -'!E15,'- 26 -'!H15,'- 27 -'!B15)</f>
        <v>772256</v>
      </c>
      <c r="E15" s="337">
        <f>D15/'- 3 -'!D15*100</f>
        <v>4.1527518966595789</v>
      </c>
      <c r="F15" s="331">
        <f>D15/'- 7 -'!E15</f>
        <v>500.16580310880829</v>
      </c>
      <c r="G15" s="331">
        <f>SUM('- 28 -'!B15,'- 28 -'!E15,'- 28 -'!H15,'- 29 -'!B15,'- 29 -'!E15)</f>
        <v>579877</v>
      </c>
      <c r="H15" s="337">
        <f>G15/'- 3 -'!D15*100</f>
        <v>3.1182474614367082</v>
      </c>
      <c r="I15" s="331">
        <f>G15/'- 7 -'!E15</f>
        <v>375.56800518134713</v>
      </c>
    </row>
    <row r="16" spans="1:9" ht="14.1" customHeight="1">
      <c r="A16" s="26" t="s">
        <v>240</v>
      </c>
      <c r="B16" s="27">
        <f>SUM('- 25 -'!H16,'- 25 -'!F16,'- 25 -'!D16,'- 25 -'!B16)</f>
        <v>11748</v>
      </c>
      <c r="C16" s="79">
        <f>B16/'- 3 -'!D16*100</f>
        <v>9.1943120172898143E-2</v>
      </c>
      <c r="D16" s="27">
        <f>SUM('- 26 -'!B16,'- 26 -'!E16,'- 26 -'!H16,'- 27 -'!B16)</f>
        <v>647033</v>
      </c>
      <c r="E16" s="79">
        <f>D16/'- 3 -'!D16*100</f>
        <v>5.0638604762368749</v>
      </c>
      <c r="F16" s="27">
        <f>D16/'- 7 -'!E16</f>
        <v>651.92241813602016</v>
      </c>
      <c r="G16" s="27">
        <f>SUM('- 28 -'!B16,'- 28 -'!E16,'- 28 -'!H16,'- 29 -'!B16,'- 29 -'!E16)</f>
        <v>360680</v>
      </c>
      <c r="H16" s="79">
        <f>G16/'- 3 -'!D16*100</f>
        <v>2.8227821402758684</v>
      </c>
      <c r="I16" s="27">
        <f>G16/'- 7 -'!E16</f>
        <v>363.40554156171282</v>
      </c>
    </row>
    <row r="17" spans="1:9" ht="14.1" customHeight="1">
      <c r="A17" s="330" t="s">
        <v>241</v>
      </c>
      <c r="B17" s="331">
        <f>SUM('- 25 -'!H17,'- 25 -'!F17,'- 25 -'!D17,'- 25 -'!B17)</f>
        <v>344868</v>
      </c>
      <c r="C17" s="337">
        <f>B17/'- 3 -'!D17*100</f>
        <v>2.1427031020881828</v>
      </c>
      <c r="D17" s="331">
        <f>SUM('- 26 -'!B17,'- 26 -'!E17,'- 26 -'!H17,'- 27 -'!B17)</f>
        <v>744148</v>
      </c>
      <c r="E17" s="337">
        <f>D17/'- 3 -'!D17*100</f>
        <v>4.623473990085242</v>
      </c>
      <c r="F17" s="331">
        <f>D17/'- 7 -'!E17</f>
        <v>574.42254887906211</v>
      </c>
      <c r="G17" s="331">
        <f>SUM('- 28 -'!B17,'- 28 -'!E17,'- 28 -'!H17,'- 29 -'!B17,'- 29 -'!E17)</f>
        <v>390899</v>
      </c>
      <c r="H17" s="337">
        <f>G17/'- 3 -'!D17*100</f>
        <v>2.4286988062191002</v>
      </c>
      <c r="I17" s="331">
        <f>G17/'- 7 -'!E17</f>
        <v>301.74266400538136</v>
      </c>
    </row>
    <row r="18" spans="1:9" ht="14.1" customHeight="1">
      <c r="A18" s="26" t="s">
        <v>242</v>
      </c>
      <c r="B18" s="27">
        <f>SUM('- 25 -'!H18,'- 25 -'!F18,'- 25 -'!D18,'- 25 -'!B18)</f>
        <v>2316349</v>
      </c>
      <c r="C18" s="79">
        <f>B18/'- 3 -'!D18*100</f>
        <v>2.056155350271033</v>
      </c>
      <c r="D18" s="27">
        <f>SUM('- 26 -'!B18,'- 26 -'!E18,'- 26 -'!H18,'- 27 -'!B18)</f>
        <v>6182729</v>
      </c>
      <c r="E18" s="79">
        <f>D18/'- 3 -'!D18*100</f>
        <v>5.4882279451955958</v>
      </c>
      <c r="F18" s="27">
        <f>D18/'- 7 -'!E18</f>
        <v>1070.4170706371192</v>
      </c>
      <c r="G18" s="27">
        <f>SUM('- 28 -'!B18,'- 28 -'!E18,'- 28 -'!H18,'- 29 -'!B18,'- 29 -'!E18)</f>
        <v>6224541</v>
      </c>
      <c r="H18" s="79">
        <f>G18/'- 3 -'!D18*100</f>
        <v>5.5253432363307109</v>
      </c>
      <c r="I18" s="27">
        <f>G18/'- 7 -'!E18</f>
        <v>1077.6559903047091</v>
      </c>
    </row>
    <row r="19" spans="1:9" ht="14.1" customHeight="1">
      <c r="A19" s="330" t="s">
        <v>243</v>
      </c>
      <c r="B19" s="331">
        <f>SUM('- 25 -'!H19,'- 25 -'!F19,'- 25 -'!D19,'- 25 -'!B19)</f>
        <v>57409</v>
      </c>
      <c r="C19" s="337">
        <f>B19/'- 3 -'!D19*100</f>
        <v>0.14734573882355018</v>
      </c>
      <c r="D19" s="331">
        <f>SUM('- 26 -'!B19,'- 26 -'!E19,'- 26 -'!H19,'- 27 -'!B19)</f>
        <v>1285948</v>
      </c>
      <c r="E19" s="337">
        <f>D19/'- 3 -'!D19*100</f>
        <v>3.3005096439350403</v>
      </c>
      <c r="F19" s="331">
        <f>D19/'- 7 -'!E19</f>
        <v>306.96011266798746</v>
      </c>
      <c r="G19" s="331">
        <f>SUM('- 28 -'!B19,'- 28 -'!E19,'- 28 -'!H19,'- 29 -'!B19,'- 29 -'!E19)</f>
        <v>1025731</v>
      </c>
      <c r="H19" s="337">
        <f>G19/'- 3 -'!D19*100</f>
        <v>2.6326376008852086</v>
      </c>
      <c r="I19" s="331">
        <f>G19/'- 7 -'!E19</f>
        <v>244.84543957224355</v>
      </c>
    </row>
    <row r="20" spans="1:9" ht="14.1" customHeight="1">
      <c r="A20" s="26" t="s">
        <v>244</v>
      </c>
      <c r="B20" s="27">
        <f>SUM('- 25 -'!H20,'- 25 -'!F20,'- 25 -'!D20,'- 25 -'!B20)</f>
        <v>139768</v>
      </c>
      <c r="C20" s="79">
        <f>B20/'- 3 -'!D20*100</f>
        <v>0.20656303163733153</v>
      </c>
      <c r="D20" s="27">
        <f>SUM('- 26 -'!B20,'- 26 -'!E20,'- 26 -'!H20,'- 27 -'!B20)</f>
        <v>2058118</v>
      </c>
      <c r="E20" s="79">
        <f>D20/'- 3 -'!D20*100</f>
        <v>3.0416911850163237</v>
      </c>
      <c r="F20" s="27">
        <f>D20/'- 7 -'!E20</f>
        <v>278.48156417021852</v>
      </c>
      <c r="G20" s="27">
        <f>SUM('- 28 -'!B20,'- 28 -'!E20,'- 28 -'!H20,'- 29 -'!B20,'- 29 -'!E20)</f>
        <v>2239818</v>
      </c>
      <c r="H20" s="79">
        <f>G20/'- 3 -'!D20*100</f>
        <v>3.3102254907837607</v>
      </c>
      <c r="I20" s="27">
        <f>G20/'- 7 -'!E20</f>
        <v>303.06718084026789</v>
      </c>
    </row>
    <row r="21" spans="1:9" ht="14.1" customHeight="1">
      <c r="A21" s="330" t="s">
        <v>245</v>
      </c>
      <c r="B21" s="331">
        <f>SUM('- 25 -'!H21,'- 25 -'!F21,'- 25 -'!D21,'- 25 -'!B21)</f>
        <v>254056</v>
      </c>
      <c r="C21" s="337">
        <f>B21/'- 3 -'!D21*100</f>
        <v>0.77783971228478876</v>
      </c>
      <c r="D21" s="331">
        <f>SUM('- 26 -'!B21,'- 26 -'!E21,'- 26 -'!H21,'- 27 -'!B21)</f>
        <v>1347697</v>
      </c>
      <c r="E21" s="337">
        <f>D21/'- 3 -'!D21*100</f>
        <v>4.1262251107120989</v>
      </c>
      <c r="F21" s="331">
        <f>D21/'- 7 -'!E21</f>
        <v>488.56153706724672</v>
      </c>
      <c r="G21" s="331">
        <f>SUM('- 28 -'!B21,'- 28 -'!E21,'- 28 -'!H21,'- 29 -'!B21,'- 29 -'!E21)</f>
        <v>1527323</v>
      </c>
      <c r="H21" s="337">
        <f>G21/'- 3 -'!D21*100</f>
        <v>4.6761835299537911</v>
      </c>
      <c r="I21" s="331">
        <f>G21/'- 7 -'!E21</f>
        <v>553.67881094797895</v>
      </c>
    </row>
    <row r="22" spans="1:9" ht="14.1" customHeight="1">
      <c r="A22" s="26" t="s">
        <v>246</v>
      </c>
      <c r="B22" s="27">
        <f>SUM('- 25 -'!H22,'- 25 -'!F22,'- 25 -'!D22,'- 25 -'!B22)</f>
        <v>57757</v>
      </c>
      <c r="C22" s="79">
        <f>B22/'- 3 -'!D22*100</f>
        <v>0.31094549460398635</v>
      </c>
      <c r="D22" s="27">
        <f>SUM('- 26 -'!B22,'- 26 -'!E22,'- 26 -'!H22,'- 27 -'!B22)</f>
        <v>746353</v>
      </c>
      <c r="E22" s="79">
        <f>D22/'- 3 -'!D22*100</f>
        <v>4.0181294515672397</v>
      </c>
      <c r="F22" s="27">
        <f>D22/'- 7 -'!E22</f>
        <v>467.78627389533062</v>
      </c>
      <c r="G22" s="27">
        <f>SUM('- 28 -'!B22,'- 28 -'!E22,'- 28 -'!H22,'- 29 -'!B22,'- 29 -'!E22)</f>
        <v>504096</v>
      </c>
      <c r="H22" s="79">
        <f>G22/'- 3 -'!D22*100</f>
        <v>2.7138940742748257</v>
      </c>
      <c r="I22" s="27">
        <f>G22/'- 7 -'!E22</f>
        <v>315.94860545283609</v>
      </c>
    </row>
    <row r="23" spans="1:9" ht="14.1" customHeight="1">
      <c r="A23" s="330" t="s">
        <v>247</v>
      </c>
      <c r="B23" s="331">
        <f>SUM('- 25 -'!H23,'- 25 -'!F23,'- 25 -'!D23,'- 25 -'!B23)</f>
        <v>315718</v>
      </c>
      <c r="C23" s="337">
        <f>B23/'- 3 -'!D23*100</f>
        <v>1.9642567951664494</v>
      </c>
      <c r="D23" s="331">
        <f>SUM('- 26 -'!B23,'- 26 -'!E23,'- 26 -'!H23,'- 27 -'!B23)</f>
        <v>608576</v>
      </c>
      <c r="E23" s="337">
        <f>D23/'- 3 -'!D23*100</f>
        <v>3.786288850731403</v>
      </c>
      <c r="F23" s="331">
        <f>D23/'- 7 -'!E23</f>
        <v>513.34964150147619</v>
      </c>
      <c r="G23" s="331">
        <f>SUM('- 28 -'!B23,'- 28 -'!E23,'- 28 -'!H23,'- 29 -'!B23,'- 29 -'!E23)</f>
        <v>474148</v>
      </c>
      <c r="H23" s="337">
        <f>G23/'- 3 -'!D23*100</f>
        <v>2.9499377004623799</v>
      </c>
      <c r="I23" s="331">
        <f>G23/'- 7 -'!E23</f>
        <v>399.95613665120203</v>
      </c>
    </row>
    <row r="24" spans="1:9" ht="14.1" customHeight="1">
      <c r="A24" s="26" t="s">
        <v>248</v>
      </c>
      <c r="B24" s="27">
        <f>SUM('- 25 -'!H24,'- 25 -'!F24,'- 25 -'!D24,'- 25 -'!B24)</f>
        <v>450439</v>
      </c>
      <c r="C24" s="79">
        <f>B24/'- 3 -'!D24*100</f>
        <v>0.88202636235475551</v>
      </c>
      <c r="D24" s="27">
        <f>SUM('- 26 -'!B24,'- 26 -'!E24,'- 26 -'!H24,'- 27 -'!B24)</f>
        <v>1773259</v>
      </c>
      <c r="E24" s="79">
        <f>D24/'- 3 -'!D24*100</f>
        <v>3.4723040972980392</v>
      </c>
      <c r="F24" s="27">
        <f>D24/'- 7 -'!E24</f>
        <v>417.85682305535266</v>
      </c>
      <c r="G24" s="27">
        <f>SUM('- 28 -'!B24,'- 28 -'!E24,'- 28 -'!H24,'- 29 -'!B24,'- 29 -'!E24)</f>
        <v>1424777</v>
      </c>
      <c r="H24" s="79">
        <f>G24/'- 3 -'!D24*100</f>
        <v>2.78992466122321</v>
      </c>
      <c r="I24" s="27">
        <f>G24/'- 7 -'!E24</f>
        <v>335.73933124396166</v>
      </c>
    </row>
    <row r="25" spans="1:9" ht="14.1" customHeight="1">
      <c r="A25" s="330" t="s">
        <v>249</v>
      </c>
      <c r="B25" s="331">
        <f>SUM('- 25 -'!H25,'- 25 -'!F25,'- 25 -'!D25,'- 25 -'!B25)</f>
        <v>1130743</v>
      </c>
      <c r="C25" s="337">
        <f>B25/'- 3 -'!D25*100</f>
        <v>0.75483830819417486</v>
      </c>
      <c r="D25" s="331">
        <f>SUM('- 26 -'!B25,'- 26 -'!E25,'- 26 -'!H25,'- 27 -'!B25)</f>
        <v>4961302</v>
      </c>
      <c r="E25" s="337">
        <f>D25/'- 3 -'!D25*100</f>
        <v>3.3119646180612006</v>
      </c>
      <c r="F25" s="331">
        <f>D25/'- 7 -'!E25</f>
        <v>361.98558274599077</v>
      </c>
      <c r="G25" s="331">
        <f>SUM('- 28 -'!B25,'- 28 -'!E25,'- 28 -'!H25,'- 29 -'!B25,'- 29 -'!E25)</f>
        <v>7542375</v>
      </c>
      <c r="H25" s="337">
        <f>G25/'- 3 -'!D25*100</f>
        <v>5.034984593993542</v>
      </c>
      <c r="I25" s="331">
        <f>G25/'- 7 -'!E25</f>
        <v>550.30534518233162</v>
      </c>
    </row>
    <row r="26" spans="1:9" ht="14.1" customHeight="1">
      <c r="A26" s="26" t="s">
        <v>250</v>
      </c>
      <c r="B26" s="27">
        <f>SUM('- 25 -'!H26,'- 25 -'!F26,'- 25 -'!D26,'- 25 -'!B26)</f>
        <v>115183</v>
      </c>
      <c r="C26" s="79">
        <f>B26/'- 3 -'!D26*100</f>
        <v>0.30898495345777161</v>
      </c>
      <c r="D26" s="27">
        <f>SUM('- 26 -'!B26,'- 26 -'!E26,'- 26 -'!H26,'- 27 -'!B26)</f>
        <v>1151994</v>
      </c>
      <c r="E26" s="79">
        <f>D26/'- 3 -'!D26*100</f>
        <v>3.090289473912228</v>
      </c>
      <c r="F26" s="27">
        <f>D26/'- 7 -'!E26</f>
        <v>370.71407884151245</v>
      </c>
      <c r="G26" s="27">
        <f>SUM('- 28 -'!B26,'- 28 -'!E26,'- 28 -'!H26,'- 29 -'!B26,'- 29 -'!E26)</f>
        <v>1353617</v>
      </c>
      <c r="H26" s="79">
        <f>G26/'- 3 -'!D26*100</f>
        <v>3.6311546473407397</v>
      </c>
      <c r="I26" s="27">
        <f>G26/'- 7 -'!E26</f>
        <v>435.59678197908289</v>
      </c>
    </row>
    <row r="27" spans="1:9" ht="14.1" customHeight="1">
      <c r="A27" s="330" t="s">
        <v>251</v>
      </c>
      <c r="B27" s="331">
        <f>SUM('- 25 -'!H27,'- 25 -'!F27,'- 25 -'!D27,'- 25 -'!B27)</f>
        <v>29483</v>
      </c>
      <c r="C27" s="337">
        <f>B27/'- 3 -'!D27*100</f>
        <v>8.086051849904799E-2</v>
      </c>
      <c r="D27" s="331">
        <f>SUM('- 26 -'!B27,'- 26 -'!E27,'- 26 -'!H27,'- 27 -'!B27)</f>
        <v>1767514</v>
      </c>
      <c r="E27" s="337">
        <f>D27/'- 3 -'!D27*100</f>
        <v>4.8476104363303021</v>
      </c>
      <c r="F27" s="331">
        <f>D27/'- 7 -'!E27</f>
        <v>645.30419417022028</v>
      </c>
      <c r="G27" s="331">
        <f>SUM('- 28 -'!B27,'- 28 -'!E27,'- 28 -'!H27,'- 29 -'!B27,'- 29 -'!E27)</f>
        <v>2081942</v>
      </c>
      <c r="H27" s="337">
        <f>G27/'- 3 -'!D27*100</f>
        <v>5.7099653903925978</v>
      </c>
      <c r="I27" s="331">
        <f>G27/'- 7 -'!E27</f>
        <v>760.09915882937094</v>
      </c>
    </row>
    <row r="28" spans="1:9" ht="14.1" customHeight="1">
      <c r="A28" s="26" t="s">
        <v>252</v>
      </c>
      <c r="B28" s="27">
        <f>SUM('- 25 -'!H28,'- 25 -'!F28,'- 25 -'!D28,'- 25 -'!B28)</f>
        <v>72909</v>
      </c>
      <c r="C28" s="79">
        <f>B28/'- 3 -'!D28*100</f>
        <v>0.28627578367745471</v>
      </c>
      <c r="D28" s="27">
        <f>SUM('- 26 -'!B28,'- 26 -'!E28,'- 26 -'!H28,'- 27 -'!B28)</f>
        <v>1058836</v>
      </c>
      <c r="E28" s="79">
        <f>D28/'- 3 -'!D28*100</f>
        <v>4.1574991521746476</v>
      </c>
      <c r="F28" s="27">
        <f>D28/'- 7 -'!E28</f>
        <v>533.55303602922652</v>
      </c>
      <c r="G28" s="27">
        <f>SUM('- 28 -'!B28,'- 28 -'!E28,'- 28 -'!H28,'- 29 -'!B28,'- 29 -'!E28)</f>
        <v>652981</v>
      </c>
      <c r="H28" s="79">
        <f>G28/'- 3 -'!D28*100</f>
        <v>2.5639173147552161</v>
      </c>
      <c r="I28" s="27">
        <f>G28/'- 7 -'!E28</f>
        <v>329.04056437389772</v>
      </c>
    </row>
    <row r="29" spans="1:9" ht="14.1" customHeight="1">
      <c r="A29" s="330" t="s">
        <v>253</v>
      </c>
      <c r="B29" s="331">
        <f>SUM('- 25 -'!H29,'- 25 -'!F29,'- 25 -'!D29,'- 25 -'!B29)</f>
        <v>1023872</v>
      </c>
      <c r="C29" s="337">
        <f>B29/'- 3 -'!D29*100</f>
        <v>0.74152939017211961</v>
      </c>
      <c r="D29" s="331">
        <f>SUM('- 26 -'!B29,'- 26 -'!E29,'- 26 -'!H29,'- 27 -'!B29)</f>
        <v>4474152</v>
      </c>
      <c r="E29" s="337">
        <f>D29/'- 3 -'!D29*100</f>
        <v>3.2403612991637325</v>
      </c>
      <c r="F29" s="331">
        <f>D29/'- 7 -'!E29</f>
        <v>367.5653116887384</v>
      </c>
      <c r="G29" s="331">
        <f>SUM('- 28 -'!B29,'- 28 -'!E29,'- 28 -'!H29,'- 29 -'!B29,'- 29 -'!E29)</f>
        <v>6040226</v>
      </c>
      <c r="H29" s="337">
        <f>G29/'- 3 -'!D29*100</f>
        <v>4.3745752421023152</v>
      </c>
      <c r="I29" s="331">
        <f>G29/'- 7 -'!E29</f>
        <v>496.22309487036239</v>
      </c>
    </row>
    <row r="30" spans="1:9" ht="14.1" customHeight="1">
      <c r="A30" s="26" t="s">
        <v>254</v>
      </c>
      <c r="B30" s="27">
        <f>SUM('- 25 -'!H30,'- 25 -'!F30,'- 25 -'!D30,'- 25 -'!B30)</f>
        <v>10401</v>
      </c>
      <c r="C30" s="79">
        <f>B30/'- 3 -'!D30*100</f>
        <v>7.8118422300785445E-2</v>
      </c>
      <c r="D30" s="27">
        <f>SUM('- 26 -'!B30,'- 26 -'!E30,'- 26 -'!H30,'- 27 -'!B30)</f>
        <v>533992</v>
      </c>
      <c r="E30" s="79">
        <f>D30/'- 3 -'!D30*100</f>
        <v>4.0106348006192691</v>
      </c>
      <c r="F30" s="27">
        <f>D30/'- 7 -'!E30</f>
        <v>495.44627945815552</v>
      </c>
      <c r="G30" s="27">
        <f>SUM('- 28 -'!B30,'- 28 -'!E30,'- 28 -'!H30,'- 29 -'!B30,'- 29 -'!E30)</f>
        <v>443796</v>
      </c>
      <c r="H30" s="79">
        <f>G30/'- 3 -'!D30*100</f>
        <v>3.3332028981251205</v>
      </c>
      <c r="I30" s="27">
        <f>G30/'- 7 -'!E30</f>
        <v>411.76099461866767</v>
      </c>
    </row>
    <row r="31" spans="1:9" ht="14.1" customHeight="1">
      <c r="A31" s="330" t="s">
        <v>255</v>
      </c>
      <c r="B31" s="331">
        <f>SUM('- 25 -'!H31,'- 25 -'!F31,'- 25 -'!D31,'- 25 -'!B31)</f>
        <v>44580</v>
      </c>
      <c r="C31" s="337">
        <f>B31/'- 3 -'!D31*100</f>
        <v>0.13658664460201034</v>
      </c>
      <c r="D31" s="331">
        <f>SUM('- 26 -'!B31,'- 26 -'!E31,'- 26 -'!H31,'- 27 -'!B31)</f>
        <v>1115892</v>
      </c>
      <c r="E31" s="337">
        <f>D31/'- 3 -'!D31*100</f>
        <v>3.4189310008574809</v>
      </c>
      <c r="F31" s="331">
        <f>D31/'- 7 -'!E31</f>
        <v>350.79911977365606</v>
      </c>
      <c r="G31" s="331">
        <f>SUM('- 28 -'!B31,'- 28 -'!E31,'- 28 -'!H31,'- 29 -'!B31,'- 29 -'!E31)</f>
        <v>1137269</v>
      </c>
      <c r="H31" s="337">
        <f>G31/'- 3 -'!D31*100</f>
        <v>3.4844270237748693</v>
      </c>
      <c r="I31" s="331">
        <f>G31/'- 7 -'!E31</f>
        <v>357.51933354291106</v>
      </c>
    </row>
    <row r="32" spans="1:9" ht="14.1" customHeight="1">
      <c r="A32" s="26" t="s">
        <v>256</v>
      </c>
      <c r="B32" s="27">
        <f>SUM('- 25 -'!H32,'- 25 -'!F32,'- 25 -'!D32,'- 25 -'!B32)</f>
        <v>31396</v>
      </c>
      <c r="C32" s="79">
        <f>B32/'- 3 -'!D32*100</f>
        <v>0.12720400404949223</v>
      </c>
      <c r="D32" s="27">
        <f>SUM('- 26 -'!B32,'- 26 -'!E32,'- 26 -'!H32,'- 27 -'!B32)</f>
        <v>972163</v>
      </c>
      <c r="E32" s="79">
        <f>D32/'- 3 -'!D32*100</f>
        <v>3.938814695781836</v>
      </c>
      <c r="F32" s="27">
        <f>D32/'- 7 -'!E32</f>
        <v>471.35175757575757</v>
      </c>
      <c r="G32" s="27">
        <f>SUM('- 28 -'!B32,'- 28 -'!E32,'- 28 -'!H32,'- 29 -'!B32,'- 29 -'!E32)</f>
        <v>680204</v>
      </c>
      <c r="H32" s="79">
        <f>G32/'- 3 -'!D32*100</f>
        <v>2.7559138861791568</v>
      </c>
      <c r="I32" s="27">
        <f>G32/'- 7 -'!E32</f>
        <v>329.79587878787879</v>
      </c>
    </row>
    <row r="33" spans="1:9" ht="14.1" customHeight="1">
      <c r="A33" s="330" t="s">
        <v>257</v>
      </c>
      <c r="B33" s="331">
        <f>SUM('- 25 -'!H33,'- 25 -'!F33,'- 25 -'!D33,'- 25 -'!B33)</f>
        <v>32596</v>
      </c>
      <c r="C33" s="337">
        <f>B33/'- 3 -'!D33*100</f>
        <v>0.12911520553365366</v>
      </c>
      <c r="D33" s="331">
        <f>SUM('- 26 -'!B33,'- 26 -'!E33,'- 26 -'!H33,'- 27 -'!B33)</f>
        <v>877289</v>
      </c>
      <c r="E33" s="337">
        <f>D33/'- 3 -'!D33*100</f>
        <v>3.475007655767993</v>
      </c>
      <c r="F33" s="331">
        <f>D33/'- 7 -'!E33</f>
        <v>433.44318181818181</v>
      </c>
      <c r="G33" s="331">
        <f>SUM('- 28 -'!B33,'- 28 -'!E33,'- 28 -'!H33,'- 29 -'!B33,'- 29 -'!E33)</f>
        <v>693280</v>
      </c>
      <c r="H33" s="337">
        <f>G33/'- 3 -'!D33*100</f>
        <v>2.7461341788063387</v>
      </c>
      <c r="I33" s="331">
        <f>G33/'- 7 -'!E33</f>
        <v>342.52964426877469</v>
      </c>
    </row>
    <row r="34" spans="1:9" ht="14.1" customHeight="1">
      <c r="A34" s="26" t="s">
        <v>258</v>
      </c>
      <c r="B34" s="27">
        <f>SUM('- 25 -'!H34,'- 25 -'!F34,'- 25 -'!D34,'- 25 -'!B34)</f>
        <v>30010</v>
      </c>
      <c r="C34" s="79">
        <f>B34/'- 3 -'!D34*100</f>
        <v>0.12390881995449768</v>
      </c>
      <c r="D34" s="27">
        <f>SUM('- 26 -'!B34,'- 26 -'!E34,'- 26 -'!H34,'- 27 -'!B34)</f>
        <v>971168</v>
      </c>
      <c r="E34" s="79">
        <f>D34/'- 3 -'!D34*100</f>
        <v>4.0098727376730956</v>
      </c>
      <c r="F34" s="27">
        <f>D34/'- 7 -'!E34</f>
        <v>476.32659267143077</v>
      </c>
      <c r="G34" s="27">
        <f>SUM('- 28 -'!B34,'- 28 -'!E34,'- 28 -'!H34,'- 29 -'!B34,'- 29 -'!E34)</f>
        <v>517786</v>
      </c>
      <c r="H34" s="79">
        <f>G34/'- 3 -'!D34*100</f>
        <v>2.1378957763731932</v>
      </c>
      <c r="I34" s="27">
        <f>G34/'- 7 -'!E34</f>
        <v>253.95733911431333</v>
      </c>
    </row>
    <row r="35" spans="1:9" ht="14.1" customHeight="1">
      <c r="A35" s="330" t="s">
        <v>259</v>
      </c>
      <c r="B35" s="331">
        <f>SUM('- 25 -'!H35,'- 25 -'!F35,'- 25 -'!D35,'- 25 -'!B35)</f>
        <v>1293230</v>
      </c>
      <c r="C35" s="337">
        <f>B35/'- 3 -'!D35*100</f>
        <v>0.77890150055940532</v>
      </c>
      <c r="D35" s="331">
        <f>SUM('- 26 -'!B35,'- 26 -'!E35,'- 26 -'!H35,'- 27 -'!B35)</f>
        <v>4929073</v>
      </c>
      <c r="E35" s="337">
        <f>D35/'- 3 -'!D35*100</f>
        <v>2.9687390147667854</v>
      </c>
      <c r="F35" s="331">
        <f>D35/'- 7 -'!E35</f>
        <v>312.28288139888497</v>
      </c>
      <c r="G35" s="331">
        <f>SUM('- 28 -'!B35,'- 28 -'!E35,'- 28 -'!H35,'- 29 -'!B35,'- 29 -'!E35)</f>
        <v>6874562</v>
      </c>
      <c r="H35" s="337">
        <f>G35/'- 3 -'!D35*100</f>
        <v>4.1404905991112697</v>
      </c>
      <c r="I35" s="331">
        <f>G35/'- 7 -'!E35</f>
        <v>435.53991383679676</v>
      </c>
    </row>
    <row r="36" spans="1:9" ht="14.1" customHeight="1">
      <c r="A36" s="26" t="s">
        <v>260</v>
      </c>
      <c r="B36" s="27">
        <f>SUM('- 25 -'!H36,'- 25 -'!F36,'- 25 -'!D36,'- 25 -'!B36)</f>
        <v>22309</v>
      </c>
      <c r="C36" s="79">
        <f>B36/'- 3 -'!D36*100</f>
        <v>0.10855886056651091</v>
      </c>
      <c r="D36" s="27">
        <f>SUM('- 26 -'!B36,'- 26 -'!E36,'- 26 -'!H36,'- 27 -'!B36)</f>
        <v>872470</v>
      </c>
      <c r="E36" s="79">
        <f>D36/'- 3 -'!D36*100</f>
        <v>4.2455667702928768</v>
      </c>
      <c r="F36" s="27">
        <f>D36/'- 7 -'!E36</f>
        <v>528.92997878144888</v>
      </c>
      <c r="G36" s="27">
        <f>SUM('- 28 -'!B36,'- 28 -'!E36,'- 28 -'!H36,'- 29 -'!B36,'- 29 -'!E36)</f>
        <v>704395</v>
      </c>
      <c r="H36" s="79">
        <f>G36/'- 3 -'!D36*100</f>
        <v>3.4276892101280856</v>
      </c>
      <c r="I36" s="27">
        <f>G36/'- 7 -'!E36</f>
        <v>427.03546529251287</v>
      </c>
    </row>
    <row r="37" spans="1:9" ht="14.1" customHeight="1">
      <c r="A37" s="330" t="s">
        <v>261</v>
      </c>
      <c r="B37" s="331">
        <f>SUM('- 25 -'!H37,'- 25 -'!F37,'- 25 -'!D37,'- 25 -'!B37)</f>
        <v>122166</v>
      </c>
      <c r="C37" s="337">
        <f>B37/'- 3 -'!D37*100</f>
        <v>0.30851504400378715</v>
      </c>
      <c r="D37" s="331">
        <f>SUM('- 26 -'!B37,'- 26 -'!E37,'- 26 -'!H37,'- 27 -'!B37)</f>
        <v>1391761</v>
      </c>
      <c r="E37" s="337">
        <f>D37/'- 3 -'!D37*100</f>
        <v>3.5147193667448784</v>
      </c>
      <c r="F37" s="331">
        <f>D37/'- 7 -'!E37</f>
        <v>373.27638460506904</v>
      </c>
      <c r="G37" s="331">
        <f>SUM('- 28 -'!B37,'- 28 -'!E37,'- 28 -'!H37,'- 29 -'!B37,'- 29 -'!E37)</f>
        <v>1192062</v>
      </c>
      <c r="H37" s="337">
        <f>G37/'- 3 -'!D37*100</f>
        <v>3.010404370980817</v>
      </c>
      <c r="I37" s="331">
        <f>G37/'- 7 -'!E37</f>
        <v>319.71623977470836</v>
      </c>
    </row>
    <row r="38" spans="1:9" ht="14.1" customHeight="1">
      <c r="A38" s="26" t="s">
        <v>262</v>
      </c>
      <c r="B38" s="27">
        <f>SUM('- 25 -'!H38,'- 25 -'!F38,'- 25 -'!D38,'- 25 -'!B38)</f>
        <v>1214067</v>
      </c>
      <c r="C38" s="79">
        <f>B38/'- 3 -'!D38*100</f>
        <v>1.1033855562768469</v>
      </c>
      <c r="D38" s="27">
        <f>SUM('- 26 -'!B38,'- 26 -'!E38,'- 26 -'!H38,'- 27 -'!B38)</f>
        <v>3356734</v>
      </c>
      <c r="E38" s="79">
        <f>D38/'- 3 -'!D38*100</f>
        <v>3.0507145090537877</v>
      </c>
      <c r="F38" s="27">
        <f>D38/'- 7 -'!E38</f>
        <v>324.27199659955949</v>
      </c>
      <c r="G38" s="27">
        <f>SUM('- 28 -'!B38,'- 28 -'!E38,'- 28 -'!H38,'- 29 -'!B38,'- 29 -'!E38)</f>
        <v>3886012</v>
      </c>
      <c r="H38" s="79">
        <f>G38/'- 3 -'!D38*100</f>
        <v>3.5317404330391171</v>
      </c>
      <c r="I38" s="27">
        <f>G38/'- 7 -'!E38</f>
        <v>375.4020634491286</v>
      </c>
    </row>
    <row r="39" spans="1:9" ht="14.1" customHeight="1">
      <c r="A39" s="330" t="s">
        <v>263</v>
      </c>
      <c r="B39" s="331">
        <f>SUM('- 25 -'!H39,'- 25 -'!F39,'- 25 -'!D39,'- 25 -'!B39)</f>
        <v>66205</v>
      </c>
      <c r="C39" s="337">
        <f>B39/'- 3 -'!D39*100</f>
        <v>0.33895493545367256</v>
      </c>
      <c r="D39" s="331">
        <f>SUM('- 26 -'!B39,'- 26 -'!E39,'- 26 -'!H39,'- 27 -'!B39)</f>
        <v>834372</v>
      </c>
      <c r="E39" s="337">
        <f>D39/'- 3 -'!D39*100</f>
        <v>4.2717998248523781</v>
      </c>
      <c r="F39" s="331">
        <f>D39/'- 7 -'!E39</f>
        <v>526.08575031525857</v>
      </c>
      <c r="G39" s="331">
        <f>SUM('- 28 -'!B39,'- 28 -'!E39,'- 28 -'!H39,'- 29 -'!B39,'- 29 -'!E39)</f>
        <v>866184</v>
      </c>
      <c r="H39" s="337">
        <f>G39/'- 3 -'!D39*100</f>
        <v>4.4346702184276703</v>
      </c>
      <c r="I39" s="331">
        <f>G39/'- 7 -'!E39</f>
        <v>546.14375788146276</v>
      </c>
    </row>
    <row r="40" spans="1:9" ht="14.1" customHeight="1">
      <c r="A40" s="26" t="s">
        <v>264</v>
      </c>
      <c r="B40" s="27">
        <f>SUM('- 25 -'!H40,'- 25 -'!F40,'- 25 -'!D40,'- 25 -'!B40)</f>
        <v>917923</v>
      </c>
      <c r="C40" s="79">
        <f>B40/'- 3 -'!D40*100</f>
        <v>0.98929748985335364</v>
      </c>
      <c r="D40" s="27">
        <f>SUM('- 26 -'!B40,'- 26 -'!E40,'- 26 -'!H40,'- 27 -'!B40)</f>
        <v>3209447</v>
      </c>
      <c r="E40" s="79">
        <f>D40/'- 3 -'!D40*100</f>
        <v>3.4590024009828446</v>
      </c>
      <c r="F40" s="27">
        <f>D40/'- 7 -'!E40</f>
        <v>399.39855893077146</v>
      </c>
      <c r="G40" s="27">
        <f>SUM('- 28 -'!B40,'- 28 -'!E40,'- 28 -'!H40,'- 29 -'!B40,'- 29 -'!E40)</f>
        <v>3380158</v>
      </c>
      <c r="H40" s="79">
        <f>G40/'- 3 -'!D40*100</f>
        <v>3.6429872927334119</v>
      </c>
      <c r="I40" s="27">
        <f>G40/'- 7 -'!E40</f>
        <v>420.64263225356848</v>
      </c>
    </row>
    <row r="41" spans="1:9" ht="14.1" customHeight="1">
      <c r="A41" s="330" t="s">
        <v>265</v>
      </c>
      <c r="B41" s="331">
        <f>SUM('- 25 -'!H41,'- 25 -'!F41,'- 25 -'!D41,'- 25 -'!B41)</f>
        <v>279445</v>
      </c>
      <c r="C41" s="337">
        <f>B41/'- 3 -'!D41*100</f>
        <v>0.4826161555423451</v>
      </c>
      <c r="D41" s="331">
        <f>SUM('- 26 -'!B41,'- 26 -'!E41,'- 26 -'!H41,'- 27 -'!B41)</f>
        <v>2305772</v>
      </c>
      <c r="E41" s="337">
        <f>D41/'- 3 -'!D41*100</f>
        <v>3.9821890468506655</v>
      </c>
      <c r="F41" s="331">
        <f>D41/'- 7 -'!E41</f>
        <v>515.3714796602593</v>
      </c>
      <c r="G41" s="331">
        <f>SUM('- 28 -'!B41,'- 28 -'!E41,'- 28 -'!H41,'- 29 -'!B41,'- 29 -'!E41)</f>
        <v>1478146</v>
      </c>
      <c r="H41" s="337">
        <f>G41/'- 3 -'!D41*100</f>
        <v>2.5528355842841894</v>
      </c>
      <c r="I41" s="331">
        <f>G41/'- 7 -'!E41</f>
        <v>330.38578453285652</v>
      </c>
    </row>
    <row r="42" spans="1:9" ht="14.1" customHeight="1">
      <c r="A42" s="26" t="s">
        <v>266</v>
      </c>
      <c r="B42" s="27">
        <f>SUM('- 25 -'!H42,'- 25 -'!F42,'- 25 -'!D42,'- 25 -'!B42)</f>
        <v>160725</v>
      </c>
      <c r="C42" s="79">
        <f>B42/'- 3 -'!D42*100</f>
        <v>0.81674191600818735</v>
      </c>
      <c r="D42" s="27">
        <f>SUM('- 26 -'!B42,'- 26 -'!E42,'- 26 -'!H42,'- 27 -'!B42)</f>
        <v>765032</v>
      </c>
      <c r="E42" s="79">
        <f>D42/'- 3 -'!D42*100</f>
        <v>3.8875949695913863</v>
      </c>
      <c r="F42" s="27">
        <f>D42/'- 7 -'!E42</f>
        <v>535.47420732134105</v>
      </c>
      <c r="G42" s="27">
        <f>SUM('- 28 -'!B42,'- 28 -'!E42,'- 28 -'!H42,'- 29 -'!B42,'- 29 -'!E42)</f>
        <v>460561</v>
      </c>
      <c r="H42" s="79">
        <f>G42/'- 3 -'!D42*100</f>
        <v>2.3403918094798368</v>
      </c>
      <c r="I42" s="27">
        <f>G42/'- 7 -'!E42</f>
        <v>322.36368726814584</v>
      </c>
    </row>
    <row r="43" spans="1:9" ht="14.1" customHeight="1">
      <c r="A43" s="330" t="s">
        <v>267</v>
      </c>
      <c r="B43" s="331">
        <f>SUM('- 25 -'!H43,'- 25 -'!F43,'- 25 -'!D43,'- 25 -'!B43)</f>
        <v>13744</v>
      </c>
      <c r="C43" s="337">
        <f>B43/'- 3 -'!D43*100</f>
        <v>0.11802070755062893</v>
      </c>
      <c r="D43" s="331">
        <f>SUM('- 26 -'!B43,'- 26 -'!E43,'- 26 -'!H43,'- 27 -'!B43)</f>
        <v>555300</v>
      </c>
      <c r="E43" s="337">
        <f>D43/'- 3 -'!D43*100</f>
        <v>4.768400676867306</v>
      </c>
      <c r="F43" s="331">
        <f>D43/'- 7 -'!E43</f>
        <v>569.24654023577648</v>
      </c>
      <c r="G43" s="331">
        <f>SUM('- 28 -'!B43,'- 28 -'!E43,'- 28 -'!H43,'- 29 -'!B43,'- 29 -'!E43)</f>
        <v>352209</v>
      </c>
      <c r="H43" s="337">
        <f>G43/'- 3 -'!D43*100</f>
        <v>3.0244437853390185</v>
      </c>
      <c r="I43" s="331">
        <f>G43/'- 7 -'!E43</f>
        <v>361.05484366991288</v>
      </c>
    </row>
    <row r="44" spans="1:9" ht="14.1" customHeight="1">
      <c r="A44" s="26" t="s">
        <v>268</v>
      </c>
      <c r="B44" s="27">
        <f>SUM('- 25 -'!H44,'- 25 -'!F44,'- 25 -'!D44,'- 25 -'!B44)</f>
        <v>10629</v>
      </c>
      <c r="C44" s="79">
        <f>B44/'- 3 -'!D44*100</f>
        <v>0.10897062283646564</v>
      </c>
      <c r="D44" s="27">
        <f>SUM('- 26 -'!B44,'- 26 -'!E44,'- 26 -'!H44,'- 27 -'!B44)</f>
        <v>338821</v>
      </c>
      <c r="E44" s="79">
        <f>D44/'- 3 -'!D44*100</f>
        <v>3.4736603067150367</v>
      </c>
      <c r="F44" s="27">
        <f>D44/'- 7 -'!E44</f>
        <v>473.54437456324251</v>
      </c>
      <c r="G44" s="27">
        <f>SUM('- 28 -'!B44,'- 28 -'!E44,'- 28 -'!H44,'- 29 -'!B44,'- 29 -'!E44)</f>
        <v>231842</v>
      </c>
      <c r="H44" s="79">
        <f>G44/'- 3 -'!D44*100</f>
        <v>2.3768903132610655</v>
      </c>
      <c r="I44" s="27">
        <f>G44/'- 7 -'!E44</f>
        <v>324.02795248078269</v>
      </c>
    </row>
    <row r="45" spans="1:9" ht="14.1" customHeight="1">
      <c r="A45" s="330" t="s">
        <v>269</v>
      </c>
      <c r="B45" s="331">
        <f>SUM('- 25 -'!H45,'- 25 -'!F45,'- 25 -'!D45,'- 25 -'!B45)</f>
        <v>47820</v>
      </c>
      <c r="C45" s="337">
        <f>B45/'- 3 -'!D45*100</f>
        <v>0.29346951169668095</v>
      </c>
      <c r="D45" s="331">
        <f>SUM('- 26 -'!B45,'- 26 -'!E45,'- 26 -'!H45,'- 27 -'!B45)</f>
        <v>620817</v>
      </c>
      <c r="E45" s="337">
        <f>D45/'- 3 -'!D45*100</f>
        <v>3.8099301932872929</v>
      </c>
      <c r="F45" s="331">
        <f>D45/'- 7 -'!E45</f>
        <v>385.60062111801244</v>
      </c>
      <c r="G45" s="331">
        <f>SUM('- 28 -'!B45,'- 28 -'!E45,'- 28 -'!H45,'- 29 -'!B45,'- 29 -'!E45)</f>
        <v>473329</v>
      </c>
      <c r="H45" s="337">
        <f>G45/'- 3 -'!D45*100</f>
        <v>2.90480197619988</v>
      </c>
      <c r="I45" s="331">
        <f>G45/'- 7 -'!E45</f>
        <v>293.99316770186334</v>
      </c>
    </row>
    <row r="46" spans="1:9" ht="14.1" customHeight="1">
      <c r="A46" s="26" t="s">
        <v>270</v>
      </c>
      <c r="B46" s="27">
        <f>SUM('- 25 -'!H46,'- 25 -'!F46,'- 25 -'!D46,'- 25 -'!B46)</f>
        <v>8123417</v>
      </c>
      <c r="C46" s="79">
        <f>B46/'- 3 -'!D46*100</f>
        <v>2.3387606964846679</v>
      </c>
      <c r="D46" s="27">
        <f>SUM('- 26 -'!B46,'- 26 -'!E46,'- 26 -'!H46,'- 27 -'!B46)</f>
        <v>9184347</v>
      </c>
      <c r="E46" s="79">
        <f>D46/'- 3 -'!D46*100</f>
        <v>2.6442062233758121</v>
      </c>
      <c r="F46" s="27">
        <f>D46/'- 7 -'!E46</f>
        <v>304.8543499186776</v>
      </c>
      <c r="G46" s="27">
        <f>SUM('- 28 -'!B46,'- 28 -'!E46,'- 28 -'!H46,'- 29 -'!B46,'- 29 -'!E46)</f>
        <v>9929645</v>
      </c>
      <c r="H46" s="79">
        <f>G46/'- 3 -'!D46*100</f>
        <v>2.858780172930369</v>
      </c>
      <c r="I46" s="27">
        <f>G46/'- 7 -'!E46</f>
        <v>329.59289009858264</v>
      </c>
    </row>
    <row r="47" spans="1:9" ht="5.0999999999999996" customHeight="1">
      <c r="A47"/>
      <c r="B47"/>
      <c r="C47"/>
      <c r="D47"/>
      <c r="E47"/>
      <c r="F47"/>
      <c r="G47"/>
      <c r="H47"/>
      <c r="I47"/>
    </row>
    <row r="48" spans="1:9" ht="14.1" customHeight="1">
      <c r="A48" s="332" t="s">
        <v>271</v>
      </c>
      <c r="B48" s="333">
        <f>SUM(B11:B46)</f>
        <v>19868028</v>
      </c>
      <c r="C48" s="340">
        <f>B48/'- 3 -'!D48*100</f>
        <v>0.99393498704024763</v>
      </c>
      <c r="D48" s="333">
        <f>SUM(D11:D46)</f>
        <v>69086347</v>
      </c>
      <c r="E48" s="340">
        <f>D48/'- 3 -'!D48*100</f>
        <v>3.4561727721595243</v>
      </c>
      <c r="F48" s="333">
        <f>D48/'- 7 -'!E48</f>
        <v>401.05580623018562</v>
      </c>
      <c r="G48" s="333">
        <f>SUM(G11:G46)</f>
        <v>71585476</v>
      </c>
      <c r="H48" s="340">
        <f>G48/'- 3 -'!D48*100</f>
        <v>3.581196340186855</v>
      </c>
      <c r="I48" s="333">
        <f>G48/'- 7 -'!E48</f>
        <v>415.56359596711064</v>
      </c>
    </row>
    <row r="49" spans="1:9" ht="5.0999999999999996" customHeight="1">
      <c r="A49"/>
      <c r="B49"/>
      <c r="C49"/>
      <c r="D49"/>
      <c r="E49"/>
      <c r="F49"/>
      <c r="G49"/>
      <c r="H49"/>
      <c r="I49"/>
    </row>
    <row r="50" spans="1:9" ht="14.1" customHeight="1">
      <c r="A50" s="26" t="s">
        <v>272</v>
      </c>
      <c r="B50" s="27">
        <f>SUM('- 25 -'!H50,'- 25 -'!F50,'- 25 -'!D50,'- 25 -'!B50)</f>
        <v>11324</v>
      </c>
      <c r="C50" s="79">
        <f>B50/'- 3 -'!D50*100</f>
        <v>0.35705130610338909</v>
      </c>
      <c r="D50" s="27">
        <f>SUM('- 26 -'!B50,'- 26 -'!E50,'- 26 -'!H50,'- 27 -'!B50)</f>
        <v>257792</v>
      </c>
      <c r="E50" s="79">
        <f>D50/'- 3 -'!D50*100</f>
        <v>8.1283089282060121</v>
      </c>
      <c r="F50" s="27">
        <f>D50/'- 7 -'!E50</f>
        <v>1543.6646706586826</v>
      </c>
      <c r="G50" s="27">
        <f>SUM('- 28 -'!B50,'- 28 -'!E50,'- 28 -'!H50,'- 29 -'!B50,'- 29 -'!E50)</f>
        <v>43394</v>
      </c>
      <c r="H50" s="79">
        <f>G50/'- 3 -'!D50*100</f>
        <v>1.3682342261612916</v>
      </c>
      <c r="I50" s="27">
        <f>G50/'- 7 -'!E50</f>
        <v>259.8443113772455</v>
      </c>
    </row>
    <row r="51" spans="1:9" ht="14.1" customHeight="1">
      <c r="A51" s="330" t="s">
        <v>273</v>
      </c>
      <c r="B51" s="331">
        <f>SUM('- 25 -'!H51,'- 25 -'!F51,'- 25 -'!D51,'- 25 -'!B51)</f>
        <v>6086432</v>
      </c>
      <c r="C51" s="337">
        <f>B51/'- 3 -'!D51*100</f>
        <v>33.653445973879904</v>
      </c>
      <c r="D51" s="331">
        <f>SUM('- 26 -'!B51,'- 26 -'!E51,'- 26 -'!H51,'- 27 -'!B51)</f>
        <v>1820773</v>
      </c>
      <c r="E51" s="337">
        <f>D51/'- 3 -'!D51*100</f>
        <v>10.067521626167716</v>
      </c>
      <c r="F51" s="331">
        <f>D51/'- 7 -'!E51</f>
        <v>2518.7762837538735</v>
      </c>
      <c r="G51" s="331">
        <f>SUM('- 28 -'!B51,'- 28 -'!E51,'- 28 -'!H51,'- 29 -'!B51,'- 29 -'!E51)</f>
        <v>219836</v>
      </c>
      <c r="H51" s="337">
        <f>G51/'- 3 -'!D51*100</f>
        <v>1.2155297141435017</v>
      </c>
      <c r="I51" s="331">
        <f>G51/'- 7 -'!E51</f>
        <v>304.11133244798583</v>
      </c>
    </row>
    <row r="52" spans="1:9"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14.xml><?xml version="1.0" encoding="utf-8"?>
<worksheet xmlns="http://schemas.openxmlformats.org/spreadsheetml/2006/main" xmlns:r="http://schemas.openxmlformats.org/officeDocument/2006/relationships">
  <sheetPr codeName="Sheet12">
    <pageSetUpPr fitToPage="1"/>
  </sheetPr>
  <dimension ref="A1:J52"/>
  <sheetViews>
    <sheetView showGridLines="0" showZeros="0" workbookViewId="0"/>
  </sheetViews>
  <sheetFormatPr defaultColWidth="15.83203125" defaultRowHeight="12"/>
  <cols>
    <col min="1" max="1" width="32.83203125" style="1" customWidth="1"/>
    <col min="2" max="2" width="15.83203125" style="1"/>
    <col min="3" max="3" width="7.83203125" style="1" customWidth="1"/>
    <col min="4" max="4" width="9.83203125" style="1" customWidth="1"/>
    <col min="5" max="5" width="15.83203125" style="1"/>
    <col min="6" max="6" width="7.83203125" style="1" customWidth="1"/>
    <col min="7" max="7" width="9.83203125" style="1" customWidth="1"/>
    <col min="8" max="8" width="14.83203125" style="1" customWidth="1"/>
    <col min="9" max="9" width="7.83203125" style="1" customWidth="1"/>
    <col min="10" max="10" width="9.83203125" style="1" customWidth="1"/>
    <col min="11" max="16384" width="15.83203125" style="1"/>
  </cols>
  <sheetData>
    <row r="1" spans="1:10" ht="6.95" customHeight="1">
      <c r="A1" s="6"/>
      <c r="B1" s="7"/>
      <c r="C1" s="7"/>
      <c r="D1" s="7"/>
      <c r="E1" s="7"/>
      <c r="F1" s="7"/>
      <c r="G1" s="7"/>
      <c r="H1" s="7"/>
      <c r="I1" s="7"/>
      <c r="J1" s="7"/>
    </row>
    <row r="2" spans="1:10" ht="15.95" customHeight="1">
      <c r="A2" s="152"/>
      <c r="B2" s="8" t="s">
        <v>490</v>
      </c>
      <c r="C2" s="9"/>
      <c r="D2" s="9"/>
      <c r="E2" s="9"/>
      <c r="F2" s="9"/>
      <c r="G2" s="9"/>
      <c r="H2" s="82"/>
      <c r="I2" s="82"/>
      <c r="J2" s="153" t="s">
        <v>19</v>
      </c>
    </row>
    <row r="3" spans="1:10" ht="15.95" customHeight="1">
      <c r="A3" s="154"/>
      <c r="B3" s="10" t="str">
        <f>OPYEAR</f>
        <v>OPERATING FUND 2012/2013 ACTUAL</v>
      </c>
      <c r="C3" s="11"/>
      <c r="D3" s="11"/>
      <c r="E3" s="11"/>
      <c r="F3" s="11"/>
      <c r="G3" s="11"/>
      <c r="H3" s="84"/>
      <c r="I3" s="84"/>
      <c r="J3" s="74"/>
    </row>
    <row r="4" spans="1:10" ht="15.95" customHeight="1">
      <c r="B4" s="7"/>
      <c r="C4" s="7"/>
      <c r="D4" s="7"/>
      <c r="E4" s="7"/>
      <c r="F4" s="7"/>
      <c r="G4" s="7"/>
      <c r="H4" s="7"/>
      <c r="I4" s="7"/>
      <c r="J4" s="7"/>
    </row>
    <row r="5" spans="1:10" ht="15.95" customHeight="1">
      <c r="B5" s="7"/>
      <c r="C5" s="7"/>
      <c r="D5" s="7"/>
      <c r="E5" s="7"/>
      <c r="F5" s="7"/>
      <c r="G5" s="7"/>
      <c r="H5" s="7"/>
      <c r="I5" s="7"/>
      <c r="J5" s="7"/>
    </row>
    <row r="6" spans="1:10" ht="15.95" customHeight="1">
      <c r="B6" s="357" t="s">
        <v>37</v>
      </c>
      <c r="C6" s="360"/>
      <c r="D6" s="358"/>
      <c r="E6" s="357" t="s">
        <v>38</v>
      </c>
      <c r="F6" s="360"/>
      <c r="G6" s="358"/>
      <c r="H6" s="357" t="s">
        <v>17</v>
      </c>
      <c r="I6" s="360"/>
      <c r="J6" s="358"/>
    </row>
    <row r="7" spans="1:10" ht="15.95" customHeight="1">
      <c r="B7" s="344" t="s">
        <v>65</v>
      </c>
      <c r="C7" s="345"/>
      <c r="D7" s="346"/>
      <c r="E7" s="344" t="s">
        <v>66</v>
      </c>
      <c r="F7" s="345"/>
      <c r="G7" s="346"/>
      <c r="H7" s="344" t="s">
        <v>67</v>
      </c>
      <c r="I7" s="345"/>
      <c r="J7" s="346"/>
    </row>
    <row r="8" spans="1:10" ht="15.95" customHeight="1">
      <c r="A8" s="75"/>
      <c r="B8" s="155"/>
      <c r="C8" s="156"/>
      <c r="D8" s="157" t="s">
        <v>74</v>
      </c>
      <c r="E8" s="155"/>
      <c r="F8" s="157"/>
      <c r="G8" s="157" t="s">
        <v>74</v>
      </c>
      <c r="H8" s="155"/>
      <c r="I8" s="157"/>
      <c r="J8" s="157" t="s">
        <v>74</v>
      </c>
    </row>
    <row r="9" spans="1:10" ht="15.95" customHeight="1">
      <c r="A9" s="42" t="s">
        <v>94</v>
      </c>
      <c r="B9" s="87" t="s">
        <v>95</v>
      </c>
      <c r="C9" s="87" t="s">
        <v>96</v>
      </c>
      <c r="D9" s="87" t="s">
        <v>97</v>
      </c>
      <c r="E9" s="87" t="s">
        <v>95</v>
      </c>
      <c r="F9" s="87" t="s">
        <v>96</v>
      </c>
      <c r="G9" s="87" t="s">
        <v>97</v>
      </c>
      <c r="H9" s="87" t="s">
        <v>95</v>
      </c>
      <c r="I9" s="87" t="s">
        <v>96</v>
      </c>
      <c r="J9" s="87" t="s">
        <v>97</v>
      </c>
    </row>
    <row r="10" spans="1:10" ht="5.0999999999999996" customHeight="1">
      <c r="A10" s="5"/>
    </row>
    <row r="11" spans="1:10" ht="14.1" customHeight="1">
      <c r="A11" s="330" t="s">
        <v>236</v>
      </c>
      <c r="B11" s="331">
        <f>SUM('- 31 -'!D11,'- 31 -'!B11,'- 30 -'!F11,'- 30 -'!D11,'- 30 -'!B11)</f>
        <v>1139078</v>
      </c>
      <c r="C11" s="337">
        <f>B11/'- 3 -'!D11*100</f>
        <v>7.279891510840895</v>
      </c>
      <c r="D11" s="331">
        <f>B11/'- 7 -'!E11</f>
        <v>758.62670662670666</v>
      </c>
      <c r="E11" s="331">
        <f>SUM('- 33 -'!D11,'- 33 -'!B11,'- 32 -'!F11,'- 32 -'!D11,'- 32 -'!B11)</f>
        <v>1691533</v>
      </c>
      <c r="F11" s="337">
        <f>E11/'- 3 -'!D11*100</f>
        <v>10.810652762152575</v>
      </c>
      <c r="G11" s="331">
        <f>E11/'- 7 -'!E11</f>
        <v>1126.5621045621047</v>
      </c>
      <c r="H11" s="331">
        <f>SUM('- 34 -'!B11,'- 34 -'!D11,'- 34 -'!F11)</f>
        <v>271048</v>
      </c>
      <c r="I11" s="337">
        <f>H11/'- 3 -'!D11*100</f>
        <v>1.7322782410251123</v>
      </c>
      <c r="J11" s="331">
        <f>H11/'- 7 -'!E11</f>
        <v>180.51814851814851</v>
      </c>
    </row>
    <row r="12" spans="1:10" ht="14.1" customHeight="1">
      <c r="A12" s="26" t="s">
        <v>237</v>
      </c>
      <c r="B12" s="27">
        <f>SUM('- 31 -'!D12,'- 31 -'!B12,'- 30 -'!F12,'- 30 -'!D12,'- 30 -'!B12)</f>
        <v>2242729</v>
      </c>
      <c r="C12" s="79">
        <f>B12/'- 3 -'!D12*100</f>
        <v>7.5948318154420473</v>
      </c>
      <c r="D12" s="27">
        <f>B12/'- 7 -'!E12</f>
        <v>980.72809165646311</v>
      </c>
      <c r="E12" s="27">
        <f>SUM('- 33 -'!D12,'- 33 -'!B12,'- 32 -'!F12,'- 32 -'!D12,'- 32 -'!B12)</f>
        <v>3121152</v>
      </c>
      <c r="F12" s="79">
        <f>E12/'- 3 -'!D12*100</f>
        <v>10.56954474233426</v>
      </c>
      <c r="G12" s="27">
        <f>E12/'- 7 -'!E12</f>
        <v>1364.8556935455658</v>
      </c>
      <c r="H12" s="27">
        <f>SUM('- 34 -'!B12,'- 34 -'!D12,'- 34 -'!F12)</f>
        <v>464227</v>
      </c>
      <c r="I12" s="79">
        <f>H12/'- 3 -'!D12*100</f>
        <v>1.5720695586436055</v>
      </c>
      <c r="J12" s="27">
        <f>H12/'- 7 -'!E12</f>
        <v>203.00288612908867</v>
      </c>
    </row>
    <row r="13" spans="1:10" ht="14.1" customHeight="1">
      <c r="A13" s="330" t="s">
        <v>238</v>
      </c>
      <c r="B13" s="331">
        <f>SUM('- 31 -'!D13,'- 31 -'!B13,'- 30 -'!F13,'- 30 -'!D13,'- 30 -'!B13)</f>
        <v>1972082</v>
      </c>
      <c r="C13" s="337">
        <f>B13/'- 3 -'!D13*100</f>
        <v>2.4518262592280475</v>
      </c>
      <c r="D13" s="331">
        <f>B13/'- 7 -'!E13</f>
        <v>251.26865006052111</v>
      </c>
      <c r="E13" s="331">
        <f>SUM('- 33 -'!D13,'- 33 -'!B13,'- 32 -'!F13,'- 32 -'!D13,'- 32 -'!B13)</f>
        <v>6665537</v>
      </c>
      <c r="F13" s="337">
        <f>E13/'- 3 -'!D13*100</f>
        <v>8.2870482304773034</v>
      </c>
      <c r="G13" s="331">
        <f>E13/'- 7 -'!E13</f>
        <v>849.27527553035611</v>
      </c>
      <c r="H13" s="331">
        <f>SUM('- 34 -'!B13,'- 34 -'!D13,'- 34 -'!F13)</f>
        <v>1424654</v>
      </c>
      <c r="I13" s="337">
        <f>H13/'- 3 -'!D13*100</f>
        <v>1.7712265958080213</v>
      </c>
      <c r="J13" s="331">
        <f>H13/'- 7 -'!E13</f>
        <v>181.51927119831814</v>
      </c>
    </row>
    <row r="14" spans="1:10" ht="14.1" customHeight="1">
      <c r="A14" s="26" t="s">
        <v>656</v>
      </c>
      <c r="B14" s="27">
        <f>SUM('- 31 -'!D14,'- 31 -'!B14,'- 30 -'!F14,'- 30 -'!D14,'- 30 -'!B14)</f>
        <v>7456407</v>
      </c>
      <c r="C14" s="79">
        <f>B14/'- 3 -'!D14*100</f>
        <v>10.672686347728403</v>
      </c>
      <c r="D14" s="27">
        <f>B14/'- 7 -'!E14</f>
        <v>1463.7626619552414</v>
      </c>
      <c r="E14" s="27">
        <f>SUM('- 33 -'!D14,'- 33 -'!B14,'- 32 -'!F14,'- 32 -'!D14,'- 32 -'!B14)</f>
        <v>7299260</v>
      </c>
      <c r="F14" s="79">
        <f>E14/'- 3 -'!D14*100</f>
        <v>10.447754870478505</v>
      </c>
      <c r="G14" s="27">
        <f>E14/'- 7 -'!E14</f>
        <v>1432.9132312524539</v>
      </c>
      <c r="H14" s="27">
        <f>SUM('- 34 -'!B14,'- 34 -'!D14,'- 34 -'!F14)</f>
        <v>1032315</v>
      </c>
      <c r="I14" s="79">
        <f>H14/'- 3 -'!D14*100</f>
        <v>1.4775982865548039</v>
      </c>
      <c r="J14" s="27">
        <f>H14/'- 7 -'!E14</f>
        <v>202.65312131919904</v>
      </c>
    </row>
    <row r="15" spans="1:10" ht="14.1" customHeight="1">
      <c r="A15" s="330" t="s">
        <v>239</v>
      </c>
      <c r="B15" s="331">
        <f>SUM('- 31 -'!D15,'- 31 -'!B15,'- 30 -'!F15,'- 30 -'!D15,'- 30 -'!B15)</f>
        <v>1278698</v>
      </c>
      <c r="C15" s="337">
        <f>B15/'- 3 -'!D15*100</f>
        <v>6.8761078512239591</v>
      </c>
      <c r="D15" s="331">
        <f>B15/'- 7 -'!E15</f>
        <v>828.17227979274617</v>
      </c>
      <c r="E15" s="331">
        <f>SUM('- 33 -'!D15,'- 33 -'!B15,'- 32 -'!F15,'- 32 -'!D15,'- 32 -'!B15)</f>
        <v>2473396</v>
      </c>
      <c r="F15" s="337">
        <f>E15/'- 3 -'!D15*100</f>
        <v>13.30051165700262</v>
      </c>
      <c r="G15" s="331">
        <f>E15/'- 7 -'!E15</f>
        <v>1601.9404145077719</v>
      </c>
      <c r="H15" s="331">
        <f>SUM('- 34 -'!B15,'- 34 -'!D15,'- 34 -'!F15)</f>
        <v>298116</v>
      </c>
      <c r="I15" s="337">
        <f>H15/'- 3 -'!D15*100</f>
        <v>1.6030976572853652</v>
      </c>
      <c r="J15" s="331">
        <f>H15/'- 7 -'!E15</f>
        <v>193.08031088082902</v>
      </c>
    </row>
    <row r="16" spans="1:10" ht="14.1" customHeight="1">
      <c r="A16" s="26" t="s">
        <v>240</v>
      </c>
      <c r="B16" s="27">
        <f>SUM('- 31 -'!D16,'- 31 -'!B16,'- 30 -'!F16,'- 30 -'!D16,'- 30 -'!B16)</f>
        <v>421835</v>
      </c>
      <c r="C16" s="79">
        <f>B16/'- 3 -'!D16*100</f>
        <v>3.3013982037908147</v>
      </c>
      <c r="D16" s="27">
        <f>B16/'- 7 -'!E16</f>
        <v>425.02267002518892</v>
      </c>
      <c r="E16" s="27">
        <f>SUM('- 33 -'!D16,'- 33 -'!B16,'- 32 -'!F16,'- 32 -'!D16,'- 32 -'!B16)</f>
        <v>1871079</v>
      </c>
      <c r="F16" s="79">
        <f>E16/'- 3 -'!D16*100</f>
        <v>14.643585406025373</v>
      </c>
      <c r="G16" s="27">
        <f>E16/'- 7 -'!E16</f>
        <v>1885.2181360201512</v>
      </c>
      <c r="H16" s="27">
        <f>SUM('- 34 -'!B16,'- 34 -'!D16,'- 34 -'!F16)</f>
        <v>211802</v>
      </c>
      <c r="I16" s="79">
        <f>H16/'- 3 -'!D16*100</f>
        <v>1.6576214452553775</v>
      </c>
      <c r="J16" s="27">
        <f>H16/'- 7 -'!E16</f>
        <v>213.40251889168766</v>
      </c>
    </row>
    <row r="17" spans="1:10" ht="14.1" customHeight="1">
      <c r="A17" s="330" t="s">
        <v>241</v>
      </c>
      <c r="B17" s="331">
        <f>SUM('- 31 -'!D17,'- 31 -'!B17,'- 30 -'!F17,'- 30 -'!D17,'- 30 -'!B17)</f>
        <v>1313960</v>
      </c>
      <c r="C17" s="337">
        <f>B17/'- 3 -'!D17*100</f>
        <v>8.1637790923477649</v>
      </c>
      <c r="D17" s="331">
        <f>B17/'- 7 -'!E17</f>
        <v>1014.2716937022374</v>
      </c>
      <c r="E17" s="331">
        <f>SUM('- 33 -'!D17,'- 33 -'!B17,'- 32 -'!F17,'- 32 -'!D17,'- 32 -'!B17)</f>
        <v>1749884</v>
      </c>
      <c r="F17" s="337">
        <f>E17/'- 3 -'!D17*100</f>
        <v>10.872223213213397</v>
      </c>
      <c r="G17" s="331">
        <f>E17/'- 7 -'!E17</f>
        <v>1350.770045102169</v>
      </c>
      <c r="H17" s="331">
        <f>SUM('- 34 -'!B17,'- 34 -'!D17,'- 34 -'!F17)</f>
        <v>337327</v>
      </c>
      <c r="I17" s="337">
        <f>H17/'- 3 -'!D17*100</f>
        <v>2.0958500333985772</v>
      </c>
      <c r="J17" s="331">
        <f>H17/'- 7 -'!E17</f>
        <v>260.38937838404109</v>
      </c>
    </row>
    <row r="18" spans="1:10" ht="14.1" customHeight="1">
      <c r="A18" s="26" t="s">
        <v>242</v>
      </c>
      <c r="B18" s="27">
        <f>SUM('- 31 -'!D18,'- 31 -'!B18,'- 30 -'!F18,'- 30 -'!D18,'- 30 -'!B18)</f>
        <v>9730187</v>
      </c>
      <c r="C18" s="79">
        <f>B18/'- 3 -'!D18*100</f>
        <v>8.6372027959464006</v>
      </c>
      <c r="D18" s="27">
        <f>B18/'- 7 -'!E18</f>
        <v>1684.5891620498614</v>
      </c>
      <c r="E18" s="27">
        <f>SUM('- 33 -'!D18,'- 33 -'!B18,'- 32 -'!F18,'- 32 -'!D18,'- 32 -'!B18)</f>
        <v>18924885</v>
      </c>
      <c r="F18" s="79">
        <f>E18/'- 3 -'!D18*100</f>
        <v>16.799067647411515</v>
      </c>
      <c r="G18" s="27">
        <f>E18/'- 7 -'!E18</f>
        <v>3276.4690096952909</v>
      </c>
      <c r="H18" s="27">
        <f>SUM('- 34 -'!B18,'- 34 -'!D18,'- 34 -'!F18)</f>
        <v>1887295</v>
      </c>
      <c r="I18" s="79">
        <f>H18/'- 3 -'!D18*100</f>
        <v>1.6752966464853822</v>
      </c>
      <c r="J18" s="27">
        <f>H18/'- 7 -'!E18</f>
        <v>326.74774930747924</v>
      </c>
    </row>
    <row r="19" spans="1:10" ht="14.1" customHeight="1">
      <c r="A19" s="330" t="s">
        <v>243</v>
      </c>
      <c r="B19" s="331">
        <f>SUM('- 31 -'!D19,'- 31 -'!B19,'- 30 -'!F19,'- 30 -'!D19,'- 30 -'!B19)</f>
        <v>2068003</v>
      </c>
      <c r="C19" s="337">
        <f>B19/'- 3 -'!D19*100</f>
        <v>5.3077292745792173</v>
      </c>
      <c r="D19" s="331">
        <f>B19/'- 7 -'!E19</f>
        <v>493.63927147733511</v>
      </c>
      <c r="E19" s="331">
        <f>SUM('- 33 -'!D19,'- 33 -'!B19,'- 32 -'!F19,'- 32 -'!D19,'- 32 -'!B19)</f>
        <v>3583603</v>
      </c>
      <c r="F19" s="337">
        <f>E19/'- 3 -'!D19*100</f>
        <v>9.197662939352556</v>
      </c>
      <c r="G19" s="331">
        <f>E19/'- 7 -'!E19</f>
        <v>855.41808894087319</v>
      </c>
      <c r="H19" s="331">
        <f>SUM('- 34 -'!B19,'- 34 -'!D19,'- 34 -'!F19)</f>
        <v>659408</v>
      </c>
      <c r="I19" s="337">
        <f>H19/'- 3 -'!D19*100</f>
        <v>1.6924342689501573</v>
      </c>
      <c r="J19" s="331">
        <f>H19/'- 7 -'!E19</f>
        <v>157.40290740696537</v>
      </c>
    </row>
    <row r="20" spans="1:10" ht="14.1" customHeight="1">
      <c r="A20" s="26" t="s">
        <v>244</v>
      </c>
      <c r="B20" s="27">
        <f>SUM('- 31 -'!D20,'- 31 -'!B20,'- 30 -'!F20,'- 30 -'!D20,'- 30 -'!B20)</f>
        <v>3337253</v>
      </c>
      <c r="C20" s="79">
        <f>B20/'- 3 -'!D20*100</f>
        <v>4.9321239269416433</v>
      </c>
      <c r="D20" s="27">
        <f>B20/'- 7 -'!E20</f>
        <v>451.55984033556592</v>
      </c>
      <c r="E20" s="27">
        <f>SUM('- 33 -'!D20,'- 33 -'!B20,'- 32 -'!F20,'- 32 -'!D20,'- 32 -'!B20)</f>
        <v>6833394</v>
      </c>
      <c r="F20" s="79">
        <f>E20/'- 3 -'!D20*100</f>
        <v>10.099068320447826</v>
      </c>
      <c r="G20" s="27">
        <f>E20/'- 7 -'!E20</f>
        <v>924.61863202760298</v>
      </c>
      <c r="H20" s="27">
        <f>SUM('- 34 -'!B20,'- 34 -'!D20,'- 34 -'!F20)</f>
        <v>1220236</v>
      </c>
      <c r="I20" s="79">
        <f>H20/'- 3 -'!D20*100</f>
        <v>1.8033859500959513</v>
      </c>
      <c r="J20" s="27">
        <f>H20/'- 7 -'!E20</f>
        <v>165.1087206548948</v>
      </c>
    </row>
    <row r="21" spans="1:10" ht="14.1" customHeight="1">
      <c r="A21" s="330" t="s">
        <v>245</v>
      </c>
      <c r="B21" s="331">
        <f>SUM('- 31 -'!D21,'- 31 -'!B21,'- 30 -'!F21,'- 30 -'!D21,'- 30 -'!B21)</f>
        <v>2067553</v>
      </c>
      <c r="C21" s="337">
        <f>B21/'- 3 -'!D21*100</f>
        <v>6.3301981872246742</v>
      </c>
      <c r="D21" s="331">
        <f>B21/'- 7 -'!E21</f>
        <v>749.52075403298898</v>
      </c>
      <c r="E21" s="331">
        <f>SUM('- 33 -'!D21,'- 33 -'!B21,'- 32 -'!F21,'- 32 -'!D21,'- 32 -'!B21)</f>
        <v>3509286</v>
      </c>
      <c r="F21" s="337">
        <f>E21/'- 3 -'!D21*100</f>
        <v>10.74433200776615</v>
      </c>
      <c r="G21" s="331">
        <f>E21/'- 7 -'!E21</f>
        <v>1272.1718325176726</v>
      </c>
      <c r="H21" s="331">
        <f>SUM('- 34 -'!B21,'- 34 -'!D21,'- 34 -'!F21)</f>
        <v>561486</v>
      </c>
      <c r="I21" s="337">
        <f>H21/'- 3 -'!D21*100</f>
        <v>1.7190938560472373</v>
      </c>
      <c r="J21" s="331">
        <f>H21/'- 7 -'!E21</f>
        <v>203.54758020663405</v>
      </c>
    </row>
    <row r="22" spans="1:10" ht="14.1" customHeight="1">
      <c r="A22" s="26" t="s">
        <v>246</v>
      </c>
      <c r="B22" s="27">
        <f>SUM('- 31 -'!D22,'- 31 -'!B22,'- 30 -'!F22,'- 30 -'!D22,'- 30 -'!B22)</f>
        <v>564377</v>
      </c>
      <c r="C22" s="79">
        <f>B22/'- 3 -'!D22*100</f>
        <v>3.0384279898213897</v>
      </c>
      <c r="D22" s="27">
        <f>B22/'- 7 -'!E22</f>
        <v>353.73049200877466</v>
      </c>
      <c r="E22" s="27">
        <f>SUM('- 33 -'!D22,'- 33 -'!B22,'- 32 -'!F22,'- 32 -'!D22,'- 32 -'!B22)</f>
        <v>2112092</v>
      </c>
      <c r="F22" s="79">
        <f>E22/'- 3 -'!D22*100</f>
        <v>11.370838021177047</v>
      </c>
      <c r="G22" s="27">
        <f>E22/'- 7 -'!E22</f>
        <v>1323.7806330303979</v>
      </c>
      <c r="H22" s="27">
        <f>SUM('- 34 -'!B22,'- 34 -'!D22,'- 34 -'!F22)</f>
        <v>319458</v>
      </c>
      <c r="I22" s="79">
        <f>H22/'- 3 -'!D22*100</f>
        <v>1.7198612430562576</v>
      </c>
      <c r="J22" s="27">
        <f>H22/'- 7 -'!E22</f>
        <v>200.22438107176433</v>
      </c>
    </row>
    <row r="23" spans="1:10" ht="14.1" customHeight="1">
      <c r="A23" s="330" t="s">
        <v>247</v>
      </c>
      <c r="B23" s="331">
        <f>SUM('- 31 -'!D23,'- 31 -'!B23,'- 30 -'!F23,'- 30 -'!D23,'- 30 -'!B23)</f>
        <v>1561480</v>
      </c>
      <c r="C23" s="337">
        <f>B23/'- 3 -'!D23*100</f>
        <v>9.7148331755443387</v>
      </c>
      <c r="D23" s="331">
        <f>B23/'- 7 -'!E23</f>
        <v>1317.1488823281315</v>
      </c>
      <c r="E23" s="331">
        <f>SUM('- 33 -'!D23,'- 33 -'!B23,'- 32 -'!F23,'- 32 -'!D23,'- 32 -'!B23)</f>
        <v>1520524</v>
      </c>
      <c r="F23" s="337">
        <f>E23/'- 3 -'!D23*100</f>
        <v>9.4600231827569861</v>
      </c>
      <c r="G23" s="331">
        <f>E23/'- 7 -'!E23</f>
        <v>1282.6014339940953</v>
      </c>
      <c r="H23" s="331">
        <f>SUM('- 34 -'!B23,'- 34 -'!D23,'- 34 -'!F23)</f>
        <v>253739</v>
      </c>
      <c r="I23" s="337">
        <f>H23/'- 3 -'!D23*100</f>
        <v>1.5786510586939602</v>
      </c>
      <c r="J23" s="331">
        <f>H23/'- 7 -'!E23</f>
        <v>214.03542808941376</v>
      </c>
    </row>
    <row r="24" spans="1:10" ht="14.1" customHeight="1">
      <c r="A24" s="26" t="s">
        <v>248</v>
      </c>
      <c r="B24" s="27">
        <f>SUM('- 31 -'!D24,'- 31 -'!B24,'- 30 -'!F24,'- 30 -'!D24,'- 30 -'!B24)</f>
        <v>2392111</v>
      </c>
      <c r="C24" s="79">
        <f>B24/'- 3 -'!D24*100</f>
        <v>4.6841080893945612</v>
      </c>
      <c r="D24" s="27">
        <f>B24/'- 7 -'!E24</f>
        <v>563.6852275137262</v>
      </c>
      <c r="E24" s="27">
        <f>SUM('- 33 -'!D24,'- 33 -'!B24,'- 32 -'!F24,'- 32 -'!D24,'- 32 -'!B24)</f>
        <v>5262477</v>
      </c>
      <c r="F24" s="79">
        <f>E24/'- 3 -'!D24*100</f>
        <v>10.304710394272181</v>
      </c>
      <c r="G24" s="27">
        <f>E24/'- 7 -'!E24</f>
        <v>1240.0681009496429</v>
      </c>
      <c r="H24" s="27">
        <f>SUM('- 34 -'!B24,'- 34 -'!D24,'- 34 -'!F24)</f>
        <v>896804</v>
      </c>
      <c r="I24" s="79">
        <f>H24/'- 3 -'!D24*100</f>
        <v>1.7560752285330403</v>
      </c>
      <c r="J24" s="27">
        <f>H24/'- 7 -'!E24</f>
        <v>211.32596554893138</v>
      </c>
    </row>
    <row r="25" spans="1:10" ht="14.1" customHeight="1">
      <c r="A25" s="330" t="s">
        <v>249</v>
      </c>
      <c r="B25" s="331">
        <f>SUM('- 31 -'!D25,'- 31 -'!B25,'- 30 -'!F25,'- 30 -'!D25,'- 30 -'!B25)</f>
        <v>3266427</v>
      </c>
      <c r="C25" s="337">
        <f>B25/'- 3 -'!D25*100</f>
        <v>2.1805345958540308</v>
      </c>
      <c r="D25" s="331">
        <f>B25/'- 7 -'!E25</f>
        <v>238.32443199229525</v>
      </c>
      <c r="E25" s="331">
        <f>SUM('- 33 -'!D25,'- 33 -'!B25,'- 32 -'!F25,'- 32 -'!D25,'- 32 -'!B25)</f>
        <v>16744197</v>
      </c>
      <c r="F25" s="337">
        <f>E25/'- 3 -'!D25*100</f>
        <v>11.177748909831834</v>
      </c>
      <c r="G25" s="331">
        <f>E25/'- 7 -'!E25</f>
        <v>1221.6869500503437</v>
      </c>
      <c r="H25" s="331">
        <f>SUM('- 34 -'!B25,'- 34 -'!D25,'- 34 -'!F25)</f>
        <v>2615472</v>
      </c>
      <c r="I25" s="337">
        <f>H25/'- 3 -'!D25*100</f>
        <v>1.7459833574996573</v>
      </c>
      <c r="J25" s="331">
        <f>H25/'- 7 -'!E25</f>
        <v>190.82957580002628</v>
      </c>
    </row>
    <row r="26" spans="1:10" ht="14.1" customHeight="1">
      <c r="A26" s="26" t="s">
        <v>250</v>
      </c>
      <c r="B26" s="27">
        <f>SUM('- 31 -'!D26,'- 31 -'!B26,'- 30 -'!F26,'- 30 -'!D26,'- 30 -'!B26)</f>
        <v>2835910</v>
      </c>
      <c r="C26" s="79">
        <f>B26/'- 3 -'!D26*100</f>
        <v>7.6074899886305181</v>
      </c>
      <c r="D26" s="27">
        <f>B26/'- 7 -'!E26</f>
        <v>912.60176991150445</v>
      </c>
      <c r="E26" s="27">
        <f>SUM('- 33 -'!D26,'- 33 -'!B26,'- 32 -'!F26,'- 32 -'!D26,'- 32 -'!B26)</f>
        <v>4629316</v>
      </c>
      <c r="F26" s="79">
        <f>E26/'- 3 -'!D26*100</f>
        <v>12.418403660273803</v>
      </c>
      <c r="G26" s="27">
        <f>E26/'- 7 -'!E26</f>
        <v>1489.7235720032181</v>
      </c>
      <c r="H26" s="27">
        <f>SUM('- 34 -'!B26,'- 34 -'!D26,'- 34 -'!F26)</f>
        <v>689831</v>
      </c>
      <c r="I26" s="79">
        <f>H26/'- 3 -'!D26*100</f>
        <v>1.850510921131834</v>
      </c>
      <c r="J26" s="27">
        <f>H26/'- 7 -'!E26</f>
        <v>221.98905872888173</v>
      </c>
    </row>
    <row r="27" spans="1:10" ht="14.1" customHeight="1">
      <c r="A27" s="330" t="s">
        <v>251</v>
      </c>
      <c r="B27" s="331">
        <f>SUM('- 31 -'!D27,'- 31 -'!B27,'- 30 -'!F27,'- 30 -'!D27,'- 30 -'!B27)</f>
        <v>266747</v>
      </c>
      <c r="C27" s="337">
        <f>B27/'- 3 -'!D27*100</f>
        <v>0.73158432751299229</v>
      </c>
      <c r="D27" s="331">
        <f>B27/'- 7 -'!E27</f>
        <v>97.387040714995038</v>
      </c>
      <c r="E27" s="331">
        <f>SUM('- 33 -'!D27,'- 33 -'!B27,'- 32 -'!F27,'- 32 -'!D27,'- 32 -'!B27)</f>
        <v>4471040</v>
      </c>
      <c r="F27" s="337">
        <f>E27/'- 3 -'!D27*100</f>
        <v>12.262341438455501</v>
      </c>
      <c r="G27" s="331">
        <f>E27/'- 7 -'!E27</f>
        <v>1632.338337519715</v>
      </c>
      <c r="H27" s="331">
        <f>SUM('- 34 -'!B27,'- 34 -'!D27,'- 34 -'!F27)</f>
        <v>677011</v>
      </c>
      <c r="I27" s="337">
        <f>H27/'- 3 -'!D27*100</f>
        <v>1.856780534191194</v>
      </c>
      <c r="J27" s="331">
        <f>H27/'- 7 -'!E27</f>
        <v>247.17090659501139</v>
      </c>
    </row>
    <row r="28" spans="1:10" ht="14.1" customHeight="1">
      <c r="A28" s="26" t="s">
        <v>252</v>
      </c>
      <c r="B28" s="27">
        <f>SUM('- 31 -'!D28,'- 31 -'!B28,'- 30 -'!F28,'- 30 -'!D28,'- 30 -'!B28)</f>
        <v>2056084</v>
      </c>
      <c r="C28" s="79">
        <f>B28/'- 3 -'!D28*100</f>
        <v>8.0731742090369618</v>
      </c>
      <c r="D28" s="27">
        <f>B28/'- 7 -'!E28</f>
        <v>1036.0715545477451</v>
      </c>
      <c r="E28" s="27">
        <f>SUM('- 33 -'!D28,'- 33 -'!B28,'- 32 -'!F28,'- 32 -'!D28,'- 32 -'!B28)</f>
        <v>3065867</v>
      </c>
      <c r="F28" s="79">
        <f>E28/'- 3 -'!D28*100</f>
        <v>12.038067701872841</v>
      </c>
      <c r="G28" s="27">
        <f>E28/'- 7 -'!E28</f>
        <v>1544.9065255731923</v>
      </c>
      <c r="H28" s="27">
        <f>SUM('- 34 -'!B28,'- 34 -'!D28,'- 34 -'!F28)</f>
        <v>417471</v>
      </c>
      <c r="I28" s="79">
        <f>H28/'- 3 -'!D28*100</f>
        <v>1.6391918376004426</v>
      </c>
      <c r="J28" s="27">
        <f>H28/'- 7 -'!E28</f>
        <v>210.36583522297809</v>
      </c>
    </row>
    <row r="29" spans="1:10" ht="14.1" customHeight="1">
      <c r="A29" s="330" t="s">
        <v>253</v>
      </c>
      <c r="B29" s="331">
        <f>SUM('- 31 -'!D29,'- 31 -'!B29,'- 30 -'!F29,'- 30 -'!D29,'- 30 -'!B29)</f>
        <v>2361085</v>
      </c>
      <c r="C29" s="337">
        <f>B29/'- 3 -'!D29*100</f>
        <v>1.7099929680609871</v>
      </c>
      <c r="D29" s="331">
        <f>B29/'- 7 -'!E29</f>
        <v>193.97037560382503</v>
      </c>
      <c r="E29" s="331">
        <f>SUM('- 33 -'!D29,'- 33 -'!B29,'- 32 -'!F29,'- 32 -'!D29,'- 32 -'!B29)</f>
        <v>16052674</v>
      </c>
      <c r="F29" s="337">
        <f>E29/'- 3 -'!D29*100</f>
        <v>11.62599383697556</v>
      </c>
      <c r="G29" s="331">
        <f>E29/'- 7 -'!E29</f>
        <v>1318.7764122112319</v>
      </c>
      <c r="H29" s="331">
        <f>SUM('- 34 -'!B29,'- 34 -'!D29,'- 34 -'!F29)</f>
        <v>2437716</v>
      </c>
      <c r="I29" s="337">
        <f>H29/'- 3 -'!D29*100</f>
        <v>1.7654922284160701</v>
      </c>
      <c r="J29" s="331">
        <f>H29/'- 7 -'!E29</f>
        <v>200.26584732673916</v>
      </c>
    </row>
    <row r="30" spans="1:10" ht="14.1" customHeight="1">
      <c r="A30" s="26" t="s">
        <v>254</v>
      </c>
      <c r="B30" s="27">
        <f>SUM('- 31 -'!D30,'- 31 -'!B30,'- 30 -'!F30,'- 30 -'!D30,'- 30 -'!B30)</f>
        <v>1127155</v>
      </c>
      <c r="C30" s="79">
        <f>B30/'- 3 -'!D30*100</f>
        <v>8.4656831351256425</v>
      </c>
      <c r="D30" s="27">
        <f>B30/'- 7 -'!E30</f>
        <v>1045.7923547968085</v>
      </c>
      <c r="E30" s="27">
        <f>SUM('- 33 -'!D30,'- 33 -'!B30,'- 32 -'!F30,'- 32 -'!D30,'- 32 -'!B30)</f>
        <v>1545206</v>
      </c>
      <c r="F30" s="79">
        <f>E30/'- 3 -'!D30*100</f>
        <v>11.605523973628253</v>
      </c>
      <c r="G30" s="27">
        <f>E30/'- 7 -'!E30</f>
        <v>1433.6667285210615</v>
      </c>
      <c r="H30" s="27">
        <f>SUM('- 34 -'!B30,'- 34 -'!D30,'- 34 -'!F30)</f>
        <v>212633</v>
      </c>
      <c r="I30" s="79">
        <f>H30/'- 3 -'!D30*100</f>
        <v>1.5970151417251142</v>
      </c>
      <c r="J30" s="27">
        <f>H30/'- 7 -'!E30</f>
        <v>197.28428279829282</v>
      </c>
    </row>
    <row r="31" spans="1:10" ht="14.1" customHeight="1">
      <c r="A31" s="330" t="s">
        <v>255</v>
      </c>
      <c r="B31" s="331">
        <f>SUM('- 31 -'!D31,'- 31 -'!B31,'- 30 -'!F31,'- 30 -'!D31,'- 30 -'!B31)</f>
        <v>1082604</v>
      </c>
      <c r="C31" s="337">
        <f>B31/'- 3 -'!D31*100</f>
        <v>3.3169414040537184</v>
      </c>
      <c r="D31" s="331">
        <f>B31/'- 7 -'!E31</f>
        <v>340.33448601068847</v>
      </c>
      <c r="E31" s="331">
        <f>SUM('- 33 -'!D31,'- 33 -'!B31,'- 32 -'!F31,'- 32 -'!D31,'- 32 -'!B31)</f>
        <v>3660834</v>
      </c>
      <c r="F31" s="337">
        <f>E31/'- 3 -'!D31*100</f>
        <v>11.216263627298247</v>
      </c>
      <c r="G31" s="331">
        <f>E31/'- 7 -'!E31</f>
        <v>1150.8437598239548</v>
      </c>
      <c r="H31" s="331">
        <f>SUM('- 34 -'!B31,'- 34 -'!D31,'- 34 -'!F31)</f>
        <v>594221</v>
      </c>
      <c r="I31" s="337">
        <f>H31/'- 3 -'!D31*100</f>
        <v>1.8206068313605019</v>
      </c>
      <c r="J31" s="331">
        <f>H31/'- 7 -'!E31</f>
        <v>186.80320653882427</v>
      </c>
    </row>
    <row r="32" spans="1:10" ht="14.1" customHeight="1">
      <c r="A32" s="26" t="s">
        <v>256</v>
      </c>
      <c r="B32" s="27">
        <f>SUM('- 31 -'!D32,'- 31 -'!B32,'- 30 -'!F32,'- 30 -'!D32,'- 30 -'!B32)</f>
        <v>1794227</v>
      </c>
      <c r="C32" s="79">
        <f>B32/'- 3 -'!D32*100</f>
        <v>7.2694884244396833</v>
      </c>
      <c r="D32" s="27">
        <f>B32/'- 7 -'!E32</f>
        <v>869.9282424242424</v>
      </c>
      <c r="E32" s="27">
        <f>SUM('- 33 -'!D32,'- 33 -'!B32,'- 32 -'!F32,'- 32 -'!D32,'- 32 -'!B32)</f>
        <v>2793230</v>
      </c>
      <c r="F32" s="79">
        <f>E32/'- 3 -'!D32*100</f>
        <v>11.317048038959204</v>
      </c>
      <c r="G32" s="27">
        <f>E32/'- 7 -'!E32</f>
        <v>1354.2933333333333</v>
      </c>
      <c r="H32" s="27">
        <f>SUM('- 34 -'!B32,'- 34 -'!D32,'- 34 -'!F32)</f>
        <v>415342</v>
      </c>
      <c r="I32" s="79">
        <f>H32/'- 3 -'!D32*100</f>
        <v>1.6827992562722704</v>
      </c>
      <c r="J32" s="27">
        <f>H32/'- 7 -'!E32</f>
        <v>201.37793939393939</v>
      </c>
    </row>
    <row r="33" spans="1:10" ht="14.1" customHeight="1">
      <c r="A33" s="330" t="s">
        <v>257</v>
      </c>
      <c r="B33" s="331">
        <f>SUM('- 31 -'!D33,'- 31 -'!B33,'- 30 -'!F33,'- 30 -'!D33,'- 30 -'!B33)</f>
        <v>2388507</v>
      </c>
      <c r="C33" s="337">
        <f>B33/'- 3 -'!D33*100</f>
        <v>9.4610557192161764</v>
      </c>
      <c r="D33" s="331">
        <f>B33/'- 7 -'!E33</f>
        <v>1180.0923913043478</v>
      </c>
      <c r="E33" s="331">
        <f>SUM('- 33 -'!D33,'- 33 -'!B33,'- 32 -'!F33,'- 32 -'!D33,'- 32 -'!B33)</f>
        <v>3261217</v>
      </c>
      <c r="F33" s="337">
        <f>E33/'- 3 -'!D33*100</f>
        <v>12.917925611880152</v>
      </c>
      <c r="G33" s="331">
        <f>E33/'- 7 -'!E33</f>
        <v>1611.2732213438735</v>
      </c>
      <c r="H33" s="331">
        <f>SUM('- 34 -'!B33,'- 34 -'!D33,'- 34 -'!F33)</f>
        <v>424491</v>
      </c>
      <c r="I33" s="337">
        <f>H33/'- 3 -'!D33*100</f>
        <v>1.681440750772677</v>
      </c>
      <c r="J33" s="331">
        <f>H33/'- 7 -'!E33</f>
        <v>209.72875494071147</v>
      </c>
    </row>
    <row r="34" spans="1:10" ht="14.1" customHeight="1">
      <c r="A34" s="26" t="s">
        <v>258</v>
      </c>
      <c r="B34" s="27">
        <f>SUM('- 31 -'!D34,'- 31 -'!B34,'- 30 -'!F34,'- 30 -'!D34,'- 30 -'!B34)</f>
        <v>2401723</v>
      </c>
      <c r="C34" s="79">
        <f>B34/'- 3 -'!D34*100</f>
        <v>9.9165165873900705</v>
      </c>
      <c r="D34" s="27">
        <f>B34/'- 7 -'!E34</f>
        <v>1177.9676977933857</v>
      </c>
      <c r="E34" s="27">
        <f>SUM('- 33 -'!D34,'- 33 -'!B34,'- 32 -'!F34,'- 32 -'!D34,'- 32 -'!B34)</f>
        <v>2553705</v>
      </c>
      <c r="F34" s="79">
        <f>E34/'- 3 -'!D34*100</f>
        <v>10.544037756144634</v>
      </c>
      <c r="G34" s="27">
        <f>E34/'- 7 -'!E34</f>
        <v>1252.5099687572038</v>
      </c>
      <c r="H34" s="27">
        <f>SUM('- 34 -'!B34,'- 34 -'!D34,'- 34 -'!F34)</f>
        <v>460599</v>
      </c>
      <c r="I34" s="79">
        <f>H34/'- 3 -'!D34*100</f>
        <v>1.9017753602872933</v>
      </c>
      <c r="J34" s="27">
        <f>H34/'- 7 -'!E34</f>
        <v>225.90895937455554</v>
      </c>
    </row>
    <row r="35" spans="1:10" ht="14.1" customHeight="1">
      <c r="A35" s="330" t="s">
        <v>259</v>
      </c>
      <c r="B35" s="331">
        <f>SUM('- 31 -'!D35,'- 31 -'!B35,'- 30 -'!F35,'- 30 -'!D35,'- 30 -'!B35)</f>
        <v>3569896</v>
      </c>
      <c r="C35" s="337">
        <f>B35/'- 3 -'!D35*100</f>
        <v>2.1501181933925282</v>
      </c>
      <c r="D35" s="331">
        <f>B35/'- 7 -'!E35</f>
        <v>226.17181956411557</v>
      </c>
      <c r="E35" s="331">
        <f>SUM('- 33 -'!D35,'- 33 -'!B35,'- 32 -'!F35,'- 32 -'!D35,'- 32 -'!B35)</f>
        <v>19411179</v>
      </c>
      <c r="F35" s="337">
        <f>E35/'- 3 -'!D35*100</f>
        <v>11.691189077524662</v>
      </c>
      <c r="G35" s="331">
        <f>E35/'- 7 -'!E35</f>
        <v>1229.8010010136848</v>
      </c>
      <c r="H35" s="331">
        <f>SUM('- 34 -'!B35,'- 34 -'!D35,'- 34 -'!F35)</f>
        <v>2868692</v>
      </c>
      <c r="I35" s="337">
        <f>H35/'- 3 -'!D35*100</f>
        <v>1.7277889497171901</v>
      </c>
      <c r="J35" s="331">
        <f>H35/'- 7 -'!E35</f>
        <v>181.74683223517485</v>
      </c>
    </row>
    <row r="36" spans="1:10" ht="14.1" customHeight="1">
      <c r="A36" s="26" t="s">
        <v>260</v>
      </c>
      <c r="B36" s="27">
        <f>SUM('- 31 -'!D36,'- 31 -'!B36,'- 30 -'!F36,'- 30 -'!D36,'- 30 -'!B36)</f>
        <v>1537568</v>
      </c>
      <c r="C36" s="79">
        <f>B36/'- 3 -'!D36*100</f>
        <v>7.4820310244084931</v>
      </c>
      <c r="D36" s="27">
        <f>B36/'- 7 -'!E36</f>
        <v>932.14186117005158</v>
      </c>
      <c r="E36" s="27">
        <f>SUM('- 33 -'!D36,'- 33 -'!B36,'- 32 -'!F36,'- 32 -'!D36,'- 32 -'!B36)</f>
        <v>2364177</v>
      </c>
      <c r="F36" s="79">
        <f>E36/'- 3 -'!D36*100</f>
        <v>11.504431453563678</v>
      </c>
      <c r="G36" s="27">
        <f>E36/'- 7 -'!E36</f>
        <v>1433.2688693543498</v>
      </c>
      <c r="H36" s="27">
        <f>SUM('- 34 -'!B36,'- 34 -'!D36,'- 34 -'!F36)</f>
        <v>339381</v>
      </c>
      <c r="I36" s="79">
        <f>H36/'- 3 -'!D36*100</f>
        <v>1.6514776394245838</v>
      </c>
      <c r="J36" s="27">
        <f>H36/'- 7 -'!E36</f>
        <v>205.74780236435282</v>
      </c>
    </row>
    <row r="37" spans="1:10" ht="14.1" customHeight="1">
      <c r="A37" s="330" t="s">
        <v>261</v>
      </c>
      <c r="B37" s="331">
        <f>SUM('- 31 -'!D37,'- 31 -'!B37,'- 30 -'!F37,'- 30 -'!D37,'- 30 -'!B37)</f>
        <v>2542792</v>
      </c>
      <c r="C37" s="337">
        <f>B37/'- 3 -'!D37*100</f>
        <v>6.4215050486426488</v>
      </c>
      <c r="D37" s="331">
        <f>B37/'- 7 -'!E37</f>
        <v>681.98793080327209</v>
      </c>
      <c r="E37" s="331">
        <f>SUM('- 33 -'!D37,'- 33 -'!B37,'- 32 -'!F37,'- 32 -'!D37,'- 32 -'!B37)</f>
        <v>4026811</v>
      </c>
      <c r="F37" s="337">
        <f>E37/'- 3 -'!D37*100</f>
        <v>10.169210523876808</v>
      </c>
      <c r="G37" s="331">
        <f>E37/'- 7 -'!E37</f>
        <v>1080.0083143355237</v>
      </c>
      <c r="H37" s="331">
        <f>SUM('- 34 -'!B37,'- 34 -'!D37,'- 34 -'!F37)</f>
        <v>689552</v>
      </c>
      <c r="I37" s="337">
        <f>H37/'- 3 -'!D37*100</f>
        <v>1.7413778434498914</v>
      </c>
      <c r="J37" s="331">
        <f>H37/'- 7 -'!E37</f>
        <v>184.94086093603326</v>
      </c>
    </row>
    <row r="38" spans="1:10" ht="14.1" customHeight="1">
      <c r="A38" s="26" t="s">
        <v>262</v>
      </c>
      <c r="B38" s="27">
        <f>SUM('- 31 -'!D38,'- 31 -'!B38,'- 30 -'!F38,'- 30 -'!D38,'- 30 -'!B38)</f>
        <v>3373874</v>
      </c>
      <c r="C38" s="79">
        <f>B38/'- 3 -'!D38*100</f>
        <v>3.0662919264735722</v>
      </c>
      <c r="D38" s="27">
        <f>B38/'- 7 -'!E38</f>
        <v>325.9277792804977</v>
      </c>
      <c r="E38" s="27">
        <f>SUM('- 33 -'!D38,'- 33 -'!B38,'- 32 -'!F38,'- 32 -'!D38,'- 32 -'!B38)</f>
        <v>10745025</v>
      </c>
      <c r="F38" s="79">
        <f>E38/'- 3 -'!D38*100</f>
        <v>9.7654457182623577</v>
      </c>
      <c r="G38" s="27">
        <f>E38/'- 7 -'!E38</f>
        <v>1038.0062019397967</v>
      </c>
      <c r="H38" s="27">
        <f>SUM('- 34 -'!B38,'- 34 -'!D38,'- 34 -'!F38)</f>
        <v>1976658</v>
      </c>
      <c r="I38" s="79">
        <f>H38/'- 3 -'!D38*100</f>
        <v>1.7964543035096741</v>
      </c>
      <c r="J38" s="27">
        <f>H38/'- 7 -'!E38</f>
        <v>190.95193013640403</v>
      </c>
    </row>
    <row r="39" spans="1:10" ht="14.1" customHeight="1">
      <c r="A39" s="330" t="s">
        <v>263</v>
      </c>
      <c r="B39" s="331">
        <f>SUM('- 31 -'!D39,'- 31 -'!B39,'- 30 -'!F39,'- 30 -'!D39,'- 30 -'!B39)</f>
        <v>1893338</v>
      </c>
      <c r="C39" s="337">
        <f>B39/'- 3 -'!D39*100</f>
        <v>9.6934711816627974</v>
      </c>
      <c r="D39" s="331">
        <f>B39/'- 7 -'!E39</f>
        <v>1193.7818411097101</v>
      </c>
      <c r="E39" s="331">
        <f>SUM('- 33 -'!D39,'- 33 -'!B39,'- 32 -'!F39,'- 32 -'!D39,'- 32 -'!B39)</f>
        <v>2098679</v>
      </c>
      <c r="F39" s="337">
        <f>E39/'- 3 -'!D39*100</f>
        <v>10.74477161820071</v>
      </c>
      <c r="G39" s="331">
        <f>E39/'- 7 -'!E39</f>
        <v>1323.2528373266077</v>
      </c>
      <c r="H39" s="331">
        <f>SUM('- 34 -'!B39,'- 34 -'!D39,'- 34 -'!F39)</f>
        <v>425855</v>
      </c>
      <c r="I39" s="337">
        <f>H39/'- 3 -'!D39*100</f>
        <v>2.1802832722245107</v>
      </c>
      <c r="J39" s="331">
        <f>H39/'- 7 -'!E39</f>
        <v>268.50882723833541</v>
      </c>
    </row>
    <row r="40" spans="1:10" ht="14.1" customHeight="1">
      <c r="A40" s="26" t="s">
        <v>264</v>
      </c>
      <c r="B40" s="27">
        <f>SUM('- 31 -'!D40,'- 31 -'!B40,'- 30 -'!F40,'- 30 -'!D40,'- 30 -'!B40)</f>
        <v>1755399</v>
      </c>
      <c r="C40" s="79">
        <f>B40/'- 3 -'!D40*100</f>
        <v>1.8918927016657028</v>
      </c>
      <c r="D40" s="27">
        <f>B40/'- 7 -'!E40</f>
        <v>218.45004168896301</v>
      </c>
      <c r="E40" s="27">
        <f>SUM('- 33 -'!D40,'- 33 -'!B40,'- 32 -'!F40,'- 32 -'!D40,'- 32 -'!B40)</f>
        <v>9946679</v>
      </c>
      <c r="F40" s="79">
        <f>E40/'- 3 -'!D40*100</f>
        <v>10.720098055149577</v>
      </c>
      <c r="G40" s="27">
        <f>E40/'- 7 -'!E40</f>
        <v>1237.8111427753649</v>
      </c>
      <c r="H40" s="27">
        <f>SUM('- 34 -'!B40,'- 34 -'!D40,'- 34 -'!F40)</f>
        <v>1603657</v>
      </c>
      <c r="I40" s="79">
        <f>H40/'- 3 -'!D40*100</f>
        <v>1.7283517731724332</v>
      </c>
      <c r="J40" s="27">
        <f>H40/'- 7 -'!E40</f>
        <v>199.56655922943864</v>
      </c>
    </row>
    <row r="41" spans="1:10" ht="14.1" customHeight="1">
      <c r="A41" s="330" t="s">
        <v>265</v>
      </c>
      <c r="B41" s="331">
        <f>SUM('- 31 -'!D41,'- 31 -'!B41,'- 30 -'!F41,'- 30 -'!D41,'- 30 -'!B41)</f>
        <v>4457006</v>
      </c>
      <c r="C41" s="337">
        <f>B41/'- 3 -'!D41*100</f>
        <v>7.6974828712239098</v>
      </c>
      <c r="D41" s="331">
        <f>B41/'- 7 -'!E41</f>
        <v>996.20160929816723</v>
      </c>
      <c r="E41" s="331">
        <f>SUM('- 33 -'!D41,'- 33 -'!B41,'- 32 -'!F41,'- 32 -'!D41,'- 32 -'!B41)</f>
        <v>6025873</v>
      </c>
      <c r="F41" s="337">
        <f>E41/'- 3 -'!D41*100</f>
        <v>10.406998375517249</v>
      </c>
      <c r="G41" s="331">
        <f>E41/'- 7 -'!E41</f>
        <v>1346.8647742512294</v>
      </c>
      <c r="H41" s="331">
        <f>SUM('- 34 -'!B41,'- 34 -'!D41,'- 34 -'!F41)</f>
        <v>1052005</v>
      </c>
      <c r="I41" s="337">
        <f>H41/'- 3 -'!D41*100</f>
        <v>1.8168677511185556</v>
      </c>
      <c r="J41" s="331">
        <f>H41/'- 7 -'!E41</f>
        <v>235.137460885114</v>
      </c>
    </row>
    <row r="42" spans="1:10" ht="14.1" customHeight="1">
      <c r="A42" s="26" t="s">
        <v>266</v>
      </c>
      <c r="B42" s="27">
        <f>SUM('- 31 -'!D42,'- 31 -'!B42,'- 30 -'!F42,'- 30 -'!D42,'- 30 -'!B42)</f>
        <v>1545029</v>
      </c>
      <c r="C42" s="79">
        <f>B42/'- 3 -'!D42*100</f>
        <v>7.8512362466835501</v>
      </c>
      <c r="D42" s="27">
        <f>B42/'- 7 -'!E42</f>
        <v>1081.422971932526</v>
      </c>
      <c r="E42" s="27">
        <f>SUM('- 33 -'!D42,'- 33 -'!B42,'- 32 -'!F42,'- 32 -'!D42,'- 32 -'!B42)</f>
        <v>2058147</v>
      </c>
      <c r="F42" s="79">
        <f>E42/'- 3 -'!D42*100</f>
        <v>10.458702281577246</v>
      </c>
      <c r="G42" s="27">
        <f>E42/'- 7 -'!E42</f>
        <v>1440.5732484076432</v>
      </c>
      <c r="H42" s="27">
        <f>SUM('- 34 -'!B42,'- 34 -'!D42,'- 34 -'!F42)</f>
        <v>317451</v>
      </c>
      <c r="I42" s="79">
        <f>H42/'- 3 -'!D42*100</f>
        <v>1.613162469925121</v>
      </c>
      <c r="J42" s="27">
        <f>H42/'- 7 -'!E42</f>
        <v>222.19570238678517</v>
      </c>
    </row>
    <row r="43" spans="1:10" ht="14.1" customHeight="1">
      <c r="A43" s="330" t="s">
        <v>267</v>
      </c>
      <c r="B43" s="331">
        <f>SUM('- 31 -'!D43,'- 31 -'!B43,'- 30 -'!F43,'- 30 -'!D43,'- 30 -'!B43)</f>
        <v>1009013</v>
      </c>
      <c r="C43" s="337">
        <f>B43/'- 3 -'!D43*100</f>
        <v>8.6644665445127149</v>
      </c>
      <c r="D43" s="331">
        <f>B43/'- 7 -'!E43</f>
        <v>1034.3546899026142</v>
      </c>
      <c r="E43" s="331">
        <f>SUM('- 33 -'!D43,'- 33 -'!B43,'- 32 -'!F43,'- 32 -'!D43,'- 32 -'!B43)</f>
        <v>877677</v>
      </c>
      <c r="F43" s="337">
        <f>E43/'- 3 -'!D43*100</f>
        <v>7.5366749520455008</v>
      </c>
      <c r="G43" s="331">
        <f>E43/'- 7 -'!E43</f>
        <v>899.72014351614553</v>
      </c>
      <c r="H43" s="331">
        <f>SUM('- 34 -'!B43,'- 34 -'!D43,'- 34 -'!F43)</f>
        <v>207847</v>
      </c>
      <c r="I43" s="337">
        <f>H43/'- 3 -'!D43*100</f>
        <v>1.7847970024938573</v>
      </c>
      <c r="J43" s="331">
        <f>H43/'- 7 -'!E43</f>
        <v>213.06714505381856</v>
      </c>
    </row>
    <row r="44" spans="1:10" ht="14.1" customHeight="1">
      <c r="A44" s="26" t="s">
        <v>268</v>
      </c>
      <c r="B44" s="27">
        <f>SUM('- 31 -'!D44,'- 31 -'!B44,'- 30 -'!F44,'- 30 -'!D44,'- 30 -'!B44)</f>
        <v>998785</v>
      </c>
      <c r="C44" s="79">
        <f>B44/'- 3 -'!D44*100</f>
        <v>10.239742546779503</v>
      </c>
      <c r="D44" s="27">
        <f>B44/'- 7 -'!E44</f>
        <v>1395.9259259259259</v>
      </c>
      <c r="E44" s="27">
        <f>SUM('- 33 -'!D44,'- 33 -'!B44,'- 32 -'!F44,'- 32 -'!D44,'- 32 -'!B44)</f>
        <v>1060335</v>
      </c>
      <c r="F44" s="79">
        <f>E44/'- 3 -'!D44*100</f>
        <v>10.870765393292293</v>
      </c>
      <c r="G44" s="27">
        <f>E44/'- 7 -'!E44</f>
        <v>1481.9496855345913</v>
      </c>
      <c r="H44" s="27">
        <f>SUM('- 34 -'!B44,'- 34 -'!D44,'- 34 -'!F44)</f>
        <v>151033</v>
      </c>
      <c r="I44" s="79">
        <f>H44/'- 3 -'!D44*100</f>
        <v>1.5484203668134269</v>
      </c>
      <c r="J44" s="27">
        <f>H44/'- 7 -'!E44</f>
        <v>211.08735150244584</v>
      </c>
    </row>
    <row r="45" spans="1:10" ht="14.1" customHeight="1">
      <c r="A45" s="330" t="s">
        <v>269</v>
      </c>
      <c r="B45" s="331">
        <f>SUM('- 31 -'!D45,'- 31 -'!B45,'- 30 -'!F45,'- 30 -'!D45,'- 30 -'!B45)</f>
        <v>632048</v>
      </c>
      <c r="C45" s="337">
        <f>B45/'- 3 -'!D45*100</f>
        <v>3.8788544108921741</v>
      </c>
      <c r="D45" s="331">
        <f>B45/'- 7 -'!E45</f>
        <v>392.57639751552796</v>
      </c>
      <c r="E45" s="331">
        <f>SUM('- 33 -'!D45,'- 33 -'!B45,'- 32 -'!F45,'- 32 -'!D45,'- 32 -'!B45)</f>
        <v>1623603</v>
      </c>
      <c r="F45" s="337">
        <f>E45/'- 3 -'!D45*100</f>
        <v>9.9639895357437513</v>
      </c>
      <c r="G45" s="331">
        <f>E45/'- 7 -'!E45</f>
        <v>1008.4490683229814</v>
      </c>
      <c r="H45" s="331">
        <f>SUM('- 34 -'!B45,'- 34 -'!D45,'- 34 -'!F45)</f>
        <v>291136</v>
      </c>
      <c r="I45" s="337">
        <f>H45/'- 3 -'!D45*100</f>
        <v>1.7866905009896465</v>
      </c>
      <c r="J45" s="331">
        <f>H45/'- 7 -'!E45</f>
        <v>180.82981366459629</v>
      </c>
    </row>
    <row r="46" spans="1:10" ht="14.1" customHeight="1">
      <c r="A46" s="26" t="s">
        <v>270</v>
      </c>
      <c r="B46" s="27">
        <f>SUM('- 31 -'!D46,'- 31 -'!B46,'- 30 -'!F46,'- 30 -'!D46,'- 30 -'!B46)</f>
        <v>5040513</v>
      </c>
      <c r="C46" s="79">
        <f>B46/'- 3 -'!D46*100</f>
        <v>1.4511816510859927</v>
      </c>
      <c r="D46" s="27">
        <f>B46/'- 7 -'!E46</f>
        <v>167.30882597006007</v>
      </c>
      <c r="E46" s="27">
        <f>SUM('- 33 -'!D46,'- 33 -'!B46,'- 32 -'!F46,'- 32 -'!D46,'- 32 -'!B46)</f>
        <v>42924614</v>
      </c>
      <c r="F46" s="79">
        <f>E46/'- 3 -'!D46*100</f>
        <v>12.358149302808846</v>
      </c>
      <c r="G46" s="27">
        <f>E46/'- 7 -'!E46</f>
        <v>1424.7888604905897</v>
      </c>
      <c r="H46" s="27">
        <f>SUM('- 34 -'!B46,'- 34 -'!D46,'- 34 -'!F46)</f>
        <v>5910100</v>
      </c>
      <c r="I46" s="79">
        <f>H46/'- 3 -'!D46*100</f>
        <v>1.7015388465585399</v>
      </c>
      <c r="J46" s="27">
        <f>H46/'- 7 -'!E46</f>
        <v>196.1728681913234</v>
      </c>
    </row>
    <row r="47" spans="1:10" ht="5.0999999999999996" customHeight="1">
      <c r="A47" s="28"/>
      <c r="B47" s="29"/>
      <c r="C47"/>
      <c r="D47"/>
      <c r="E47"/>
      <c r="F47"/>
      <c r="G47"/>
      <c r="H47"/>
      <c r="I47"/>
      <c r="J47"/>
    </row>
    <row r="48" spans="1:10" ht="14.1" customHeight="1">
      <c r="A48" s="332" t="s">
        <v>271</v>
      </c>
      <c r="B48" s="333">
        <f>SUM(B11:B46)</f>
        <v>85481483</v>
      </c>
      <c r="C48" s="340">
        <f>B48/'- 3 -'!D48*100</f>
        <v>4.2763698892404491</v>
      </c>
      <c r="D48" s="333">
        <f>B48/'- 7 -'!E48</f>
        <v>496.23183987882453</v>
      </c>
      <c r="E48" s="333">
        <f>SUM(E11:E46)</f>
        <v>228558187</v>
      </c>
      <c r="F48" s="340">
        <f>E48/'- 3 -'!D48*100</f>
        <v>11.434047638436361</v>
      </c>
      <c r="G48" s="333">
        <f>E48/'- 7 -'!E48</f>
        <v>1326.8119091286521</v>
      </c>
      <c r="H48" s="333">
        <f>SUM(H11:H46)</f>
        <v>34616069</v>
      </c>
      <c r="I48" s="340">
        <f>H48/'- 3 -'!D48*100</f>
        <v>1.7317331188026974</v>
      </c>
      <c r="J48" s="333">
        <f>H48/'- 7 -'!E48</f>
        <v>200.95107158169378</v>
      </c>
    </row>
    <row r="49" spans="1:10" ht="5.0999999999999996" customHeight="1">
      <c r="A49" s="28" t="s">
        <v>17</v>
      </c>
      <c r="B49" s="29"/>
      <c r="C49"/>
      <c r="D49"/>
      <c r="E49"/>
      <c r="F49"/>
      <c r="G49"/>
      <c r="H49"/>
      <c r="I49"/>
      <c r="J49"/>
    </row>
    <row r="50" spans="1:10" ht="14.1" customHeight="1">
      <c r="A50" s="330" t="s">
        <v>272</v>
      </c>
      <c r="B50" s="331">
        <f>SUM('- 31 -'!D50,'- 31 -'!B50,'- 30 -'!F50,'- 30 -'!D50,'- 30 -'!B50)</f>
        <v>36693</v>
      </c>
      <c r="C50" s="337">
        <f>B50/'- 3 -'!D50*100</f>
        <v>1.1569483905732654</v>
      </c>
      <c r="D50" s="331">
        <f>B50/'- 7 -'!E50</f>
        <v>219.71856287425149</v>
      </c>
      <c r="E50" s="331">
        <f>SUM('- 33 -'!D50,'- 33 -'!B50,'- 32 -'!F50,'- 32 -'!D50,'- 32 -'!B50)</f>
        <v>533377</v>
      </c>
      <c r="F50" s="337">
        <f>E50/'- 3 -'!D50*100</f>
        <v>16.817639923658369</v>
      </c>
      <c r="G50" s="331">
        <f>E50/'- 7 -'!E50</f>
        <v>3193.8742514970058</v>
      </c>
      <c r="H50" s="331">
        <f>SUM('- 34 -'!B50,'- 34 -'!D50,'- 34 -'!F50)</f>
        <v>42881</v>
      </c>
      <c r="I50" s="337">
        <f>H50/'- 3 -'!D50*100</f>
        <v>1.3520590830995609</v>
      </c>
      <c r="J50" s="331">
        <f>H50/'- 7 -'!E50</f>
        <v>256.77245508982037</v>
      </c>
    </row>
    <row r="51" spans="1:10" ht="14.1" customHeight="1">
      <c r="A51" s="26" t="s">
        <v>273</v>
      </c>
      <c r="B51" s="27">
        <f>SUM('- 31 -'!D51,'- 31 -'!B51,'- 30 -'!F51,'- 30 -'!D51,'- 30 -'!B51)</f>
        <v>0</v>
      </c>
      <c r="C51" s="79">
        <f>B51/'- 3 -'!D51*100</f>
        <v>0</v>
      </c>
      <c r="D51" s="27">
        <f>B51/'- 7 -'!E51</f>
        <v>0</v>
      </c>
      <c r="E51" s="27">
        <f>SUM('- 33 -'!D51,'- 33 -'!B51,'- 32 -'!F51,'- 32 -'!D51,'- 32 -'!B51)</f>
        <v>1943545</v>
      </c>
      <c r="F51" s="79">
        <f>E51/'- 3 -'!D51*100</f>
        <v>10.746359551097328</v>
      </c>
      <c r="G51" s="27">
        <f>E51/'- 7 -'!E51</f>
        <v>2688.6136011509516</v>
      </c>
      <c r="H51" s="27">
        <f>SUM('- 34 -'!B51,'- 34 -'!D51,'- 34 -'!F51)</f>
        <v>158587</v>
      </c>
      <c r="I51" s="79">
        <f>H51/'- 3 -'!D51*100</f>
        <v>0.8768682598704286</v>
      </c>
      <c r="J51" s="27">
        <f>H51/'- 7 -'!E51</f>
        <v>219.38219344842852</v>
      </c>
    </row>
    <row r="52" spans="1:10"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15.xml><?xml version="1.0" encoding="utf-8"?>
<worksheet xmlns="http://schemas.openxmlformats.org/spreadsheetml/2006/main" xmlns:r="http://schemas.openxmlformats.org/officeDocument/2006/relationships">
  <sheetPr codeName="Sheet13">
    <pageSetUpPr fitToPage="1"/>
  </sheetPr>
  <dimension ref="A1:G52"/>
  <sheetViews>
    <sheetView showGridLines="0" showZeros="0" workbookViewId="0"/>
  </sheetViews>
  <sheetFormatPr defaultColWidth="15.83203125" defaultRowHeight="12"/>
  <cols>
    <col min="1" max="1" width="33.83203125" style="1" customWidth="1"/>
    <col min="2" max="2" width="21.83203125" style="1" customWidth="1"/>
    <col min="3" max="3" width="12.83203125" style="1" customWidth="1"/>
    <col min="4" max="4" width="15.33203125" style="1" customWidth="1"/>
    <col min="5" max="5" width="20.83203125" style="1" customWidth="1"/>
    <col min="6" max="6" width="12.83203125" style="1" customWidth="1"/>
    <col min="7" max="7" width="15.33203125" style="1" customWidth="1"/>
    <col min="8" max="16384" width="15.83203125" style="1"/>
  </cols>
  <sheetData>
    <row r="1" spans="1:7" ht="6.95" customHeight="1">
      <c r="A1" s="6"/>
      <c r="B1" s="100"/>
      <c r="C1" s="100"/>
      <c r="D1" s="100"/>
      <c r="E1" s="100"/>
      <c r="F1" s="100"/>
      <c r="G1" s="100"/>
    </row>
    <row r="2" spans="1:7" ht="15.95" customHeight="1">
      <c r="A2" s="152"/>
      <c r="B2" s="101" t="s">
        <v>492</v>
      </c>
      <c r="C2" s="230"/>
      <c r="D2" s="102"/>
      <c r="E2" s="102"/>
      <c r="F2" s="102"/>
      <c r="G2" s="153" t="s">
        <v>451</v>
      </c>
    </row>
    <row r="3" spans="1:7" ht="15.95" customHeight="1">
      <c r="A3" s="154"/>
      <c r="B3" s="231" t="str">
        <f>OPYEAR</f>
        <v>OPERATING FUND 2012/2013 ACTUAL</v>
      </c>
      <c r="C3" s="105"/>
      <c r="D3" s="232"/>
      <c r="E3" s="105"/>
      <c r="F3" s="105"/>
      <c r="G3" s="107"/>
    </row>
    <row r="4" spans="1:7" ht="15.95" customHeight="1">
      <c r="B4" s="100"/>
      <c r="C4" s="100"/>
      <c r="D4" s="100"/>
      <c r="E4" s="100"/>
      <c r="F4" s="100"/>
      <c r="G4" s="100"/>
    </row>
    <row r="5" spans="1:7" ht="15.95" customHeight="1">
      <c r="B5" s="211" t="s">
        <v>23</v>
      </c>
      <c r="C5" s="196"/>
      <c r="D5" s="197"/>
      <c r="E5" s="197"/>
      <c r="F5" s="197"/>
      <c r="G5" s="198"/>
    </row>
    <row r="6" spans="1:7" ht="15.95" customHeight="1">
      <c r="B6" s="357"/>
      <c r="C6" s="360"/>
      <c r="D6" s="358"/>
      <c r="E6" s="357" t="s">
        <v>197</v>
      </c>
      <c r="F6" s="360"/>
      <c r="G6" s="358"/>
    </row>
    <row r="7" spans="1:7" ht="15.95" customHeight="1">
      <c r="B7" s="344" t="s">
        <v>44</v>
      </c>
      <c r="C7" s="345"/>
      <c r="D7" s="346"/>
      <c r="E7" s="344" t="s">
        <v>232</v>
      </c>
      <c r="F7" s="345"/>
      <c r="G7" s="346"/>
    </row>
    <row r="8" spans="1:7" ht="15.95" customHeight="1">
      <c r="A8" s="75"/>
      <c r="B8" s="155"/>
      <c r="C8" s="156"/>
      <c r="D8" s="157" t="s">
        <v>74</v>
      </c>
      <c r="E8" s="155"/>
      <c r="F8" s="157"/>
      <c r="G8" s="157" t="s">
        <v>74</v>
      </c>
    </row>
    <row r="9" spans="1:7" ht="15.95" customHeight="1">
      <c r="A9" s="42" t="s">
        <v>94</v>
      </c>
      <c r="B9" s="87" t="s">
        <v>95</v>
      </c>
      <c r="C9" s="87" t="s">
        <v>96</v>
      </c>
      <c r="D9" s="87" t="s">
        <v>97</v>
      </c>
      <c r="E9" s="87" t="s">
        <v>95</v>
      </c>
      <c r="F9" s="87" t="s">
        <v>96</v>
      </c>
      <c r="G9" s="87" t="s">
        <v>97</v>
      </c>
    </row>
    <row r="10" spans="1:7" ht="5.0999999999999996" customHeight="1">
      <c r="A10" s="5"/>
    </row>
    <row r="11" spans="1:7" ht="14.1" customHeight="1">
      <c r="A11" s="330" t="s">
        <v>236</v>
      </c>
      <c r="B11" s="331">
        <v>1028832</v>
      </c>
      <c r="C11" s="337">
        <f>B11/'- 3 -'!D11*100</f>
        <v>6.5753050650451161</v>
      </c>
      <c r="D11" s="331">
        <f>B11/'- 7 -'!C11</f>
        <v>685.20279720279723</v>
      </c>
      <c r="E11" s="331">
        <v>0</v>
      </c>
      <c r="F11" s="337">
        <f>E11/'- 3 -'!D11*100</f>
        <v>0</v>
      </c>
      <c r="G11" s="331" t="str">
        <f>IF('- 7 -'!B11=0,"",E11/'- 7 -'!B11)</f>
        <v/>
      </c>
    </row>
    <row r="12" spans="1:7" ht="14.1" customHeight="1">
      <c r="A12" s="26" t="s">
        <v>237</v>
      </c>
      <c r="B12" s="27">
        <v>2429157</v>
      </c>
      <c r="C12" s="79">
        <f>B12/'- 3 -'!D12*100</f>
        <v>8.2261561108380725</v>
      </c>
      <c r="D12" s="27">
        <f>B12/'- 7 -'!C12</f>
        <v>1062.2516179814588</v>
      </c>
      <c r="E12" s="27">
        <v>1292371</v>
      </c>
      <c r="F12" s="79">
        <f>E12/'- 3 -'!D12*100</f>
        <v>4.3765164619330523</v>
      </c>
      <c r="G12" s="27">
        <f>IF('- 7 -'!B12=0,"",E12/'- 7 -'!B12)</f>
        <v>8457.9253926701567</v>
      </c>
    </row>
    <row r="13" spans="1:7" ht="14.1" customHeight="1">
      <c r="A13" s="330" t="s">
        <v>238</v>
      </c>
      <c r="B13" s="331">
        <v>5431079</v>
      </c>
      <c r="C13" s="337">
        <f>B13/'- 3 -'!D13*100</f>
        <v>6.7522862173794014</v>
      </c>
      <c r="D13" s="331">
        <f>B13/'- 7 -'!C13</f>
        <v>691.98942473084026</v>
      </c>
      <c r="E13" s="331">
        <v>3160313</v>
      </c>
      <c r="F13" s="337">
        <f>E13/'- 3 -'!D13*100</f>
        <v>3.9291157268205721</v>
      </c>
      <c r="G13" s="331">
        <f>IF('- 7 -'!B13=0,"",E13/'- 7 -'!B13)</f>
        <v>8323.184092704767</v>
      </c>
    </row>
    <row r="14" spans="1:7" ht="14.1" customHeight="1">
      <c r="A14" s="26" t="s">
        <v>656</v>
      </c>
      <c r="B14" s="27">
        <v>5122330</v>
      </c>
      <c r="C14" s="79">
        <f>B14/'- 3 -'!D14*100</f>
        <v>7.3318183220899318</v>
      </c>
      <c r="D14" s="27">
        <f>B14/'- 7 -'!C14</f>
        <v>1005.5614448370632</v>
      </c>
      <c r="E14" s="27">
        <v>0</v>
      </c>
      <c r="F14" s="79">
        <f>E14/'- 3 -'!D14*100</f>
        <v>0</v>
      </c>
      <c r="G14" s="27" t="str">
        <f>IF('- 7 -'!B14=0,"",E14/'- 7 -'!B14)</f>
        <v/>
      </c>
    </row>
    <row r="15" spans="1:7" ht="14.1" customHeight="1">
      <c r="A15" s="330" t="s">
        <v>239</v>
      </c>
      <c r="B15" s="331">
        <v>1458782</v>
      </c>
      <c r="C15" s="337">
        <f>B15/'- 3 -'!D15*100</f>
        <v>7.8444967955093299</v>
      </c>
      <c r="D15" s="331">
        <f>B15/'- 7 -'!C15</f>
        <v>944.80699481865281</v>
      </c>
      <c r="E15" s="331">
        <v>127005</v>
      </c>
      <c r="F15" s="337">
        <f>E15/'- 3 -'!D15*100</f>
        <v>0.6829603844259543</v>
      </c>
      <c r="G15" s="331">
        <f>IF('- 7 -'!B15=0,"",E15/'- 7 -'!B15)</f>
        <v>6350.25</v>
      </c>
    </row>
    <row r="16" spans="1:7" ht="14.1" customHeight="1">
      <c r="A16" s="26" t="s">
        <v>240</v>
      </c>
      <c r="B16" s="27">
        <v>1098428</v>
      </c>
      <c r="C16" s="79">
        <f>B16/'- 3 -'!D16*100</f>
        <v>8.5966034733806751</v>
      </c>
      <c r="D16" s="27">
        <f>B16/'- 7 -'!C16</f>
        <v>1106.7284634760706</v>
      </c>
      <c r="E16" s="27">
        <v>69640</v>
      </c>
      <c r="F16" s="79">
        <f>E16/'- 3 -'!D16*100</f>
        <v>0.54502203684377148</v>
      </c>
      <c r="G16" s="27">
        <f>IF('- 7 -'!B16=0,"",E16/'- 7 -'!B16)</f>
        <v>11606.666666666666</v>
      </c>
    </row>
    <row r="17" spans="1:7" ht="14.1" customHeight="1">
      <c r="A17" s="330" t="s">
        <v>241</v>
      </c>
      <c r="B17" s="331">
        <v>1002424</v>
      </c>
      <c r="C17" s="337">
        <f>B17/'- 3 -'!D17*100</f>
        <v>6.2281714000940793</v>
      </c>
      <c r="D17" s="331">
        <f>B17/'- 7 -'!C17</f>
        <v>773.79089796323444</v>
      </c>
      <c r="E17" s="331">
        <v>184787</v>
      </c>
      <c r="F17" s="337">
        <f>E17/'- 3 -'!D17*100</f>
        <v>1.1481021089969758</v>
      </c>
      <c r="G17" s="331">
        <f>IF('- 7 -'!B17=0,"",E17/'- 7 -'!B17)</f>
        <v>5852.9819004524888</v>
      </c>
    </row>
    <row r="18" spans="1:7" ht="14.1" customHeight="1">
      <c r="A18" s="26" t="s">
        <v>242</v>
      </c>
      <c r="B18" s="27">
        <v>6419478</v>
      </c>
      <c r="C18" s="79">
        <f>B18/'- 3 -'!D18*100</f>
        <v>5.6983831174176212</v>
      </c>
      <c r="D18" s="27">
        <f>B18/'- 7 -'!C18</f>
        <v>1111.4054709141274</v>
      </c>
      <c r="E18" s="27">
        <v>0</v>
      </c>
      <c r="F18" s="79">
        <f>E18/'- 3 -'!D18*100</f>
        <v>0</v>
      </c>
      <c r="G18" s="27" t="str">
        <f>IF('- 7 -'!B18=0,"",E18/'- 7 -'!B18)</f>
        <v/>
      </c>
    </row>
    <row r="19" spans="1:7" ht="14.1" customHeight="1">
      <c r="A19" s="330" t="s">
        <v>243</v>
      </c>
      <c r="B19" s="331">
        <v>2584879</v>
      </c>
      <c r="C19" s="337">
        <f>B19/'- 3 -'!D19*100</f>
        <v>6.6343414103098741</v>
      </c>
      <c r="D19" s="331">
        <f>B19/'- 7 -'!C19</f>
        <v>617.01931110209341</v>
      </c>
      <c r="E19" s="331">
        <v>1304926</v>
      </c>
      <c r="F19" s="337">
        <f>E19/'- 3 -'!D19*100</f>
        <v>3.3492185124294109</v>
      </c>
      <c r="G19" s="331">
        <f>IF('- 7 -'!B19=0,"",E19/'- 7 -'!B19)</f>
        <v>13221.134751773052</v>
      </c>
    </row>
    <row r="20" spans="1:7" ht="14.1" customHeight="1">
      <c r="A20" s="26" t="s">
        <v>244</v>
      </c>
      <c r="B20" s="27">
        <v>4798652</v>
      </c>
      <c r="C20" s="79">
        <f>B20/'- 3 -'!D20*100</f>
        <v>7.0919245098487806</v>
      </c>
      <c r="D20" s="27">
        <f>B20/'- 7 -'!C20</f>
        <v>649.30004735809484</v>
      </c>
      <c r="E20" s="27">
        <v>2477625</v>
      </c>
      <c r="F20" s="79">
        <f>E20/'- 3 -'!D20*100</f>
        <v>3.661680293489523</v>
      </c>
      <c r="G20" s="27">
        <f>IF('- 7 -'!B20=0,"",E20/'- 7 -'!B20)</f>
        <v>5941.5467625899282</v>
      </c>
    </row>
    <row r="21" spans="1:7" ht="14.1" customHeight="1">
      <c r="A21" s="330" t="s">
        <v>245</v>
      </c>
      <c r="B21" s="331">
        <v>2609124</v>
      </c>
      <c r="C21" s="337">
        <f>B21/'- 3 -'!D21*100</f>
        <v>7.9883185654947617</v>
      </c>
      <c r="D21" s="331">
        <f>B21/'- 7 -'!C21</f>
        <v>945.84883088635127</v>
      </c>
      <c r="E21" s="331">
        <v>0</v>
      </c>
      <c r="F21" s="337">
        <f>E21/'- 3 -'!D21*100</f>
        <v>0</v>
      </c>
      <c r="G21" s="331" t="str">
        <f>IF('- 7 -'!B21=0,"",E21/'- 7 -'!B21)</f>
        <v/>
      </c>
    </row>
    <row r="22" spans="1:7" ht="14.1" customHeight="1">
      <c r="A22" s="26" t="s">
        <v>246</v>
      </c>
      <c r="B22" s="27">
        <v>1264905</v>
      </c>
      <c r="C22" s="79">
        <f>B22/'- 3 -'!D22*100</f>
        <v>6.8098500762168275</v>
      </c>
      <c r="D22" s="27">
        <f>B22/'- 7 -'!C22</f>
        <v>792.79536195549986</v>
      </c>
      <c r="E22" s="27">
        <v>0</v>
      </c>
      <c r="F22" s="79">
        <f>E22/'- 3 -'!D22*100</f>
        <v>0</v>
      </c>
      <c r="G22" s="27" t="str">
        <f>IF('- 7 -'!B22=0,"",E22/'- 7 -'!B22)</f>
        <v/>
      </c>
    </row>
    <row r="23" spans="1:7" ht="14.1" customHeight="1">
      <c r="A23" s="330" t="s">
        <v>247</v>
      </c>
      <c r="B23" s="331">
        <v>939637</v>
      </c>
      <c r="C23" s="337">
        <f>B23/'- 3 -'!D23*100</f>
        <v>5.8460029590958289</v>
      </c>
      <c r="D23" s="331">
        <f>B23/'- 7 -'!C23</f>
        <v>792.60818220160274</v>
      </c>
      <c r="E23" s="331">
        <v>235000</v>
      </c>
      <c r="F23" s="337">
        <f>E23/'- 3 -'!D23*100</f>
        <v>1.4620653458596455</v>
      </c>
      <c r="G23" s="331">
        <f>IF('- 7 -'!B23=0,"",E23/'- 7 -'!B23)</f>
        <v>9038.461538461539</v>
      </c>
    </row>
    <row r="24" spans="1:7" ht="14.1" customHeight="1">
      <c r="A24" s="26" t="s">
        <v>248</v>
      </c>
      <c r="B24" s="27">
        <v>3773461</v>
      </c>
      <c r="C24" s="79">
        <f>B24/'- 3 -'!D24*100</f>
        <v>7.3889962443694666</v>
      </c>
      <c r="D24" s="27">
        <f>B24/'- 7 -'!C24</f>
        <v>889.19127176756137</v>
      </c>
      <c r="E24" s="27">
        <v>1851931</v>
      </c>
      <c r="F24" s="79">
        <f>E24/'- 3 -'!D24*100</f>
        <v>3.6263555403994876</v>
      </c>
      <c r="G24" s="27">
        <f>IF('- 7 -'!B24=0,"",E24/'- 7 -'!B24)</f>
        <v>5399.2157434402334</v>
      </c>
    </row>
    <row r="25" spans="1:7" ht="14.1" customHeight="1">
      <c r="A25" s="330" t="s">
        <v>249</v>
      </c>
      <c r="B25" s="331">
        <v>12921150</v>
      </c>
      <c r="C25" s="337">
        <f>B25/'- 3 -'!D25*100</f>
        <v>8.6256373074369357</v>
      </c>
      <c r="D25" s="331">
        <f>B25/'- 7 -'!C25</f>
        <v>942.7505143807731</v>
      </c>
      <c r="E25" s="331">
        <v>2105006</v>
      </c>
      <c r="F25" s="337">
        <f>E25/'- 3 -'!D25*100</f>
        <v>1.4052168952437354</v>
      </c>
      <c r="G25" s="331">
        <f>IF('- 7 -'!B25=0,"",E25/'- 7 -'!B25)</f>
        <v>13668.870129870131</v>
      </c>
    </row>
    <row r="26" spans="1:7" ht="14.1" customHeight="1">
      <c r="A26" s="26" t="s">
        <v>250</v>
      </c>
      <c r="B26" s="27">
        <v>2966940</v>
      </c>
      <c r="C26" s="79">
        <f>B26/'- 3 -'!D26*100</f>
        <v>7.9589854215639537</v>
      </c>
      <c r="D26" s="27">
        <f>B26/'- 7 -'!C26</f>
        <v>954.76749798873698</v>
      </c>
      <c r="E26" s="27">
        <v>895924</v>
      </c>
      <c r="F26" s="79">
        <f>E26/'- 3 -'!D26*100</f>
        <v>2.4033671239827106</v>
      </c>
      <c r="G26" s="27">
        <f>IF('- 7 -'!B26=0,"",E26/'- 7 -'!B26)</f>
        <v>5769.3605512267377</v>
      </c>
    </row>
    <row r="27" spans="1:7" ht="14.1" customHeight="1">
      <c r="A27" s="330" t="s">
        <v>251</v>
      </c>
      <c r="B27" s="331">
        <v>2554577</v>
      </c>
      <c r="C27" s="337">
        <f>B27/'- 3 -'!D27*100</f>
        <v>7.0062212381963338</v>
      </c>
      <c r="D27" s="331">
        <f>B27/'- 7 -'!C27</f>
        <v>932.65414159705597</v>
      </c>
      <c r="E27" s="331">
        <v>813269</v>
      </c>
      <c r="F27" s="337">
        <f>E27/'- 3 -'!D27*100</f>
        <v>2.2304837709596126</v>
      </c>
      <c r="G27" s="331">
        <f>IF('- 7 -'!B27=0,"",E27/'- 7 -'!B27)</f>
        <v>4125.3373237293299</v>
      </c>
    </row>
    <row r="28" spans="1:7" ht="14.1" customHeight="1">
      <c r="A28" s="26" t="s">
        <v>252</v>
      </c>
      <c r="B28" s="27">
        <v>1619615</v>
      </c>
      <c r="C28" s="79">
        <f>B28/'- 3 -'!D28*100</f>
        <v>6.3593870904930903</v>
      </c>
      <c r="D28" s="27">
        <f>B28/'- 7 -'!C28</f>
        <v>816.13252708490802</v>
      </c>
      <c r="E28" s="27">
        <v>0</v>
      </c>
      <c r="F28" s="79">
        <f>E28/'- 3 -'!D28*100</f>
        <v>0</v>
      </c>
      <c r="G28" s="27" t="str">
        <f>IF('- 7 -'!B28=0,"",E28/'- 7 -'!B28)</f>
        <v/>
      </c>
    </row>
    <row r="29" spans="1:7" ht="14.1" customHeight="1">
      <c r="A29" s="330" t="s">
        <v>253</v>
      </c>
      <c r="B29" s="331">
        <v>10689156</v>
      </c>
      <c r="C29" s="337">
        <f>B29/'- 3 -'!D29*100</f>
        <v>7.741517816811724</v>
      </c>
      <c r="D29" s="331">
        <f>B29/'- 7 -'!C29</f>
        <v>878.14695540731475</v>
      </c>
      <c r="E29" s="331">
        <v>0</v>
      </c>
      <c r="F29" s="337">
        <f>E29/'- 3 -'!D29*100</f>
        <v>0</v>
      </c>
      <c r="G29" s="331" t="str">
        <f>IF('- 7 -'!B29=0,"",E29/'- 7 -'!B29)</f>
        <v/>
      </c>
    </row>
    <row r="30" spans="1:7" ht="14.1" customHeight="1">
      <c r="A30" s="26" t="s">
        <v>254</v>
      </c>
      <c r="B30" s="27">
        <v>812630</v>
      </c>
      <c r="C30" s="79">
        <f>B30/'- 3 -'!D30*100</f>
        <v>6.1033913579739707</v>
      </c>
      <c r="D30" s="27">
        <f>B30/'- 7 -'!C30</f>
        <v>753.97105214325484</v>
      </c>
      <c r="E30" s="27">
        <v>0</v>
      </c>
      <c r="F30" s="79">
        <f>E30/'- 3 -'!D30*100</f>
        <v>0</v>
      </c>
      <c r="G30" s="27" t="str">
        <f>IF('- 7 -'!B30=0,"",E30/'- 7 -'!B30)</f>
        <v/>
      </c>
    </row>
    <row r="31" spans="1:7" ht="14.1" customHeight="1">
      <c r="A31" s="330" t="s">
        <v>255</v>
      </c>
      <c r="B31" s="331">
        <v>2562275</v>
      </c>
      <c r="C31" s="337">
        <f>B31/'- 3 -'!D31*100</f>
        <v>7.8504384207630329</v>
      </c>
      <c r="D31" s="331">
        <f>B31/'- 7 -'!C31</f>
        <v>805.49355548569633</v>
      </c>
      <c r="E31" s="331">
        <v>766126</v>
      </c>
      <c r="F31" s="337">
        <f>E31/'- 3 -'!D31*100</f>
        <v>2.3472987815693083</v>
      </c>
      <c r="G31" s="331">
        <f>IF('- 7 -'!B31=0,"",E31/'- 7 -'!B31)</f>
        <v>7817.6122448979595</v>
      </c>
    </row>
    <row r="32" spans="1:7" ht="14.1" customHeight="1">
      <c r="A32" s="26" t="s">
        <v>256</v>
      </c>
      <c r="B32" s="27">
        <v>1818152</v>
      </c>
      <c r="C32" s="79">
        <f>B32/'- 3 -'!D32*100</f>
        <v>7.3664229319210213</v>
      </c>
      <c r="D32" s="27">
        <f>B32/'- 7 -'!C32</f>
        <v>881.52824242424242</v>
      </c>
      <c r="E32" s="27">
        <v>397120</v>
      </c>
      <c r="F32" s="79">
        <f>E32/'- 3 -'!D32*100</f>
        <v>1.6089710182231609</v>
      </c>
      <c r="G32" s="27">
        <f>IF('- 7 -'!B32=0,"",E32/'- 7 -'!B32)</f>
        <v>6137.8670788253476</v>
      </c>
    </row>
    <row r="33" spans="1:7" ht="14.1" customHeight="1">
      <c r="A33" s="330" t="s">
        <v>257</v>
      </c>
      <c r="B33" s="331">
        <v>1900228</v>
      </c>
      <c r="C33" s="337">
        <f>B33/'- 3 -'!D33*100</f>
        <v>7.5269459068843929</v>
      </c>
      <c r="D33" s="331">
        <f>B33/'- 7 -'!C33</f>
        <v>938.8478260869565</v>
      </c>
      <c r="E33" s="331">
        <v>184130</v>
      </c>
      <c r="F33" s="337">
        <f>E33/'- 3 -'!D33*100</f>
        <v>0.72935276705459717</v>
      </c>
      <c r="G33" s="331">
        <f>IF('- 7 -'!B33=0,"",E33/'- 7 -'!B33)</f>
        <v>3063.727121464226</v>
      </c>
    </row>
    <row r="34" spans="1:7" ht="14.1" customHeight="1">
      <c r="A34" s="26" t="s">
        <v>258</v>
      </c>
      <c r="B34" s="27">
        <v>2110626</v>
      </c>
      <c r="C34" s="79">
        <f>B34/'- 3 -'!D34*100</f>
        <v>8.7146010338314426</v>
      </c>
      <c r="D34" s="27">
        <f>B34/'- 7 -'!C34</f>
        <v>1035.1940045221129</v>
      </c>
      <c r="E34" s="27">
        <v>351836</v>
      </c>
      <c r="F34" s="79">
        <f>E34/'- 3 -'!D34*100</f>
        <v>1.452701885288592</v>
      </c>
      <c r="G34" s="27">
        <f>IF('- 7 -'!B34=0,"",E34/'- 7 -'!B34)</f>
        <v>16117.086578103528</v>
      </c>
    </row>
    <row r="35" spans="1:7" ht="14.1" customHeight="1">
      <c r="A35" s="330" t="s">
        <v>259</v>
      </c>
      <c r="B35" s="331">
        <v>11582428</v>
      </c>
      <c r="C35" s="337">
        <f>B35/'- 3 -'!D35*100</f>
        <v>6.9759985070878914</v>
      </c>
      <c r="D35" s="331">
        <f>B35/'- 7 -'!C35</f>
        <v>733.80816016218955</v>
      </c>
      <c r="E35" s="331">
        <v>3728952</v>
      </c>
      <c r="F35" s="337">
        <f>E35/'- 3 -'!D35*100</f>
        <v>2.2459162780897413</v>
      </c>
      <c r="G35" s="331">
        <f>IF('- 7 -'!B35=0,"",E35/'- 7 -'!B35)</f>
        <v>7226.6511627906975</v>
      </c>
    </row>
    <row r="36" spans="1:7" ht="14.1" customHeight="1">
      <c r="A36" s="26" t="s">
        <v>260</v>
      </c>
      <c r="B36" s="27">
        <v>1511798</v>
      </c>
      <c r="C36" s="79">
        <f>B36/'- 3 -'!D36*100</f>
        <v>7.3566304310695276</v>
      </c>
      <c r="D36" s="27">
        <f>B36/'- 7 -'!C36</f>
        <v>916.51894513488935</v>
      </c>
      <c r="E36" s="27">
        <v>119243</v>
      </c>
      <c r="F36" s="79">
        <f>E36/'- 3 -'!D36*100</f>
        <v>0.58025389800226201</v>
      </c>
      <c r="G36" s="27">
        <f>IF('- 7 -'!B36=0,"",E36/'- 7 -'!B36)</f>
        <v>9389.2125984251979</v>
      </c>
    </row>
    <row r="37" spans="1:7" ht="14.1" customHeight="1">
      <c r="A37" s="330" t="s">
        <v>261</v>
      </c>
      <c r="B37" s="331">
        <v>3442748</v>
      </c>
      <c r="C37" s="337">
        <f>B37/'- 3 -'!D37*100</f>
        <v>8.694232034395414</v>
      </c>
      <c r="D37" s="331">
        <f>B37/'- 7 -'!C37</f>
        <v>923.36006436904927</v>
      </c>
      <c r="E37" s="331">
        <v>0</v>
      </c>
      <c r="F37" s="337">
        <f>E37/'- 3 -'!D37*100</f>
        <v>0</v>
      </c>
      <c r="G37" s="331" t="str">
        <f>IF('- 7 -'!B37=0,"",E37/'- 7 -'!B37)</f>
        <v/>
      </c>
    </row>
    <row r="38" spans="1:7" ht="14.1" customHeight="1">
      <c r="A38" s="26" t="s">
        <v>262</v>
      </c>
      <c r="B38" s="27">
        <v>8276663</v>
      </c>
      <c r="C38" s="79">
        <f>B38/'- 3 -'!D38*100</f>
        <v>7.5221140253140844</v>
      </c>
      <c r="D38" s="27">
        <f>B38/'- 7 -'!C38</f>
        <v>799.55398199312185</v>
      </c>
      <c r="E38" s="27">
        <v>573691</v>
      </c>
      <c r="F38" s="79">
        <f>E38/'- 3 -'!D38*100</f>
        <v>0.52138997531933606</v>
      </c>
      <c r="G38" s="27">
        <f>IF('- 7 -'!B38=0,"",E38/'- 7 -'!B38)</f>
        <v>5122.2410714285716</v>
      </c>
    </row>
    <row r="39" spans="1:7" ht="14.1" customHeight="1">
      <c r="A39" s="330" t="s">
        <v>263</v>
      </c>
      <c r="B39" s="331">
        <v>1305166</v>
      </c>
      <c r="C39" s="337">
        <f>B39/'- 3 -'!D39*100</f>
        <v>6.6821608229941543</v>
      </c>
      <c r="D39" s="331">
        <f>B39/'- 7 -'!C39</f>
        <v>822.92938209331658</v>
      </c>
      <c r="E39" s="331">
        <v>113724</v>
      </c>
      <c r="F39" s="337">
        <f>E39/'- 3 -'!D39*100</f>
        <v>0.58224168989552838</v>
      </c>
      <c r="G39" s="331">
        <f>IF('- 7 -'!B39=0,"",E39/'- 7 -'!B39)</f>
        <v>2472.2608695652175</v>
      </c>
    </row>
    <row r="40" spans="1:7" ht="14.1" customHeight="1">
      <c r="A40" s="26" t="s">
        <v>264</v>
      </c>
      <c r="B40" s="27">
        <v>7608495</v>
      </c>
      <c r="C40" s="79">
        <f>B40/'- 3 -'!D40*100</f>
        <v>8.2001050252164855</v>
      </c>
      <c r="D40" s="27">
        <f>B40/'- 7 -'!C40</f>
        <v>946.83661659842949</v>
      </c>
      <c r="E40" s="27">
        <v>1790650</v>
      </c>
      <c r="F40" s="79">
        <f>E40/'- 3 -'!D40*100</f>
        <v>1.929884696435221</v>
      </c>
      <c r="G40" s="27">
        <f>IF('- 7 -'!B40=0,"",E40/'- 7 -'!B40)</f>
        <v>6018.9915966386552</v>
      </c>
    </row>
    <row r="41" spans="1:7" ht="14.1" customHeight="1">
      <c r="A41" s="330" t="s">
        <v>265</v>
      </c>
      <c r="B41" s="331">
        <v>3655421</v>
      </c>
      <c r="C41" s="337">
        <f>B41/'- 3 -'!D41*100</f>
        <v>6.3131035799844515</v>
      </c>
      <c r="D41" s="331">
        <f>B41/'- 7 -'!C41</f>
        <v>817.03643272239606</v>
      </c>
      <c r="E41" s="331">
        <v>0</v>
      </c>
      <c r="F41" s="337">
        <f>E41/'- 3 -'!D41*100</f>
        <v>0</v>
      </c>
      <c r="G41" s="331" t="str">
        <f>IF('- 7 -'!B41=0,"",E41/'- 7 -'!B41)</f>
        <v/>
      </c>
    </row>
    <row r="42" spans="1:7" ht="14.1" customHeight="1">
      <c r="A42" s="26" t="s">
        <v>266</v>
      </c>
      <c r="B42" s="27">
        <v>1400246</v>
      </c>
      <c r="C42" s="79">
        <f>B42/'- 3 -'!D42*100</f>
        <v>7.1155053720503982</v>
      </c>
      <c r="D42" s="27">
        <f>B42/'- 7 -'!C42</f>
        <v>980.08399244068028</v>
      </c>
      <c r="E42" s="27">
        <v>962270</v>
      </c>
      <c r="F42" s="79">
        <f>E42/'- 3 -'!D42*100</f>
        <v>4.8898817453239909</v>
      </c>
      <c r="G42" s="27">
        <f>IF('- 7 -'!B42=0,"",E42/'- 7 -'!B42)</f>
        <v>6014.1875</v>
      </c>
    </row>
    <row r="43" spans="1:7" ht="14.1" customHeight="1">
      <c r="A43" s="330" t="s">
        <v>267</v>
      </c>
      <c r="B43" s="331">
        <v>667409</v>
      </c>
      <c r="C43" s="337">
        <f>B43/'- 3 -'!D43*100</f>
        <v>5.7310886500041995</v>
      </c>
      <c r="D43" s="331">
        <f>B43/'- 7 -'!C43</f>
        <v>684.17119425935414</v>
      </c>
      <c r="E43" s="331">
        <v>72479</v>
      </c>
      <c r="F43" s="337">
        <f>E43/'- 3 -'!D43*100</f>
        <v>0.62238233866138204</v>
      </c>
      <c r="G43" s="331">
        <f>IF('- 7 -'!B43=0,"",E43/'- 7 -'!B43)</f>
        <v>3294.5</v>
      </c>
    </row>
    <row r="44" spans="1:7" ht="14.1" customHeight="1">
      <c r="A44" s="26" t="s">
        <v>268</v>
      </c>
      <c r="B44" s="27">
        <v>520472</v>
      </c>
      <c r="C44" s="79">
        <f>B44/'- 3 -'!D44*100</f>
        <v>5.335982501546801</v>
      </c>
      <c r="D44" s="27">
        <f>B44/'- 7 -'!C44</f>
        <v>727.42417889587705</v>
      </c>
      <c r="E44" s="27">
        <v>0</v>
      </c>
      <c r="F44" s="79">
        <f>E44/'- 3 -'!D44*100</f>
        <v>0</v>
      </c>
      <c r="G44" s="27" t="str">
        <f>IF('- 7 -'!B44=0,"",E44/'- 7 -'!B44)</f>
        <v/>
      </c>
    </row>
    <row r="45" spans="1:7" ht="14.1" customHeight="1">
      <c r="A45" s="330" t="s">
        <v>269</v>
      </c>
      <c r="B45" s="331">
        <v>1146930</v>
      </c>
      <c r="C45" s="337">
        <f>B45/'- 3 -'!D45*100</f>
        <v>7.0386655593951115</v>
      </c>
      <c r="D45" s="331">
        <f>B45/'- 7 -'!C45</f>
        <v>712.37888198757764</v>
      </c>
      <c r="E45" s="331">
        <v>324423</v>
      </c>
      <c r="F45" s="337">
        <f>E45/'- 3 -'!D45*100</f>
        <v>1.9909715473268992</v>
      </c>
      <c r="G45" s="331">
        <f>IF('- 7 -'!B45=0,"",E45/'- 7 -'!B45)</f>
        <v>10465.258064516129</v>
      </c>
    </row>
    <row r="46" spans="1:7" ht="14.1" customHeight="1">
      <c r="A46" s="26" t="s">
        <v>270</v>
      </c>
      <c r="B46" s="27">
        <v>26995076</v>
      </c>
      <c r="C46" s="79">
        <f>B46/'- 3 -'!D46*100</f>
        <v>7.7719785587046122</v>
      </c>
      <c r="D46" s="27">
        <f>B46/'- 7 -'!C46</f>
        <v>896.04261957712356</v>
      </c>
      <c r="E46" s="27">
        <v>4905261</v>
      </c>
      <c r="F46" s="79">
        <f>E46/'- 3 -'!D46*100</f>
        <v>1.4122421184089256</v>
      </c>
      <c r="G46" s="27">
        <f>IF('- 7 -'!B46=0,"",E46/'- 7 -'!B46)</f>
        <v>7878.6716993254095</v>
      </c>
    </row>
    <row r="47" spans="1:7" ht="5.0999999999999996" customHeight="1">
      <c r="A47" s="28"/>
      <c r="B47" s="29"/>
      <c r="C47"/>
      <c r="D47" s="29"/>
      <c r="E47" s="29"/>
      <c r="F47"/>
      <c r="G47" s="29"/>
    </row>
    <row r="48" spans="1:7" ht="14.1" customHeight="1">
      <c r="A48" s="332" t="s">
        <v>271</v>
      </c>
      <c r="B48" s="333">
        <f>SUM(B11:B46)</f>
        <v>148029369</v>
      </c>
      <c r="C48" s="340">
        <f>B48/'- 3 -'!D48*100</f>
        <v>7.4054440107790791</v>
      </c>
      <c r="D48" s="333">
        <f>B48/'- 7 -'!C48</f>
        <v>859.33097504837895</v>
      </c>
      <c r="E48" s="333">
        <f>SUM(E11:E46)</f>
        <v>28807702</v>
      </c>
      <c r="F48" s="340">
        <f>E48/'- 3 -'!D48*100</f>
        <v>1.4411587760007847</v>
      </c>
      <c r="G48" s="333">
        <f>E48/'- 7 -'!B48</f>
        <v>7120.6936441494927</v>
      </c>
    </row>
    <row r="49" spans="1:7" ht="5.0999999999999996" customHeight="1">
      <c r="A49" s="28" t="s">
        <v>17</v>
      </c>
      <c r="B49" s="29"/>
      <c r="C49"/>
      <c r="D49" s="29"/>
      <c r="E49" s="29"/>
      <c r="F49"/>
    </row>
    <row r="50" spans="1:7" ht="14.1" customHeight="1">
      <c r="A50" s="26" t="s">
        <v>272</v>
      </c>
      <c r="B50" s="27">
        <v>188027</v>
      </c>
      <c r="C50" s="79">
        <f>B50/'- 3 -'!D50*100</f>
        <v>5.9285840632905282</v>
      </c>
      <c r="D50" s="27">
        <f>B50/'- 7 -'!C50</f>
        <v>1125.9101796407185</v>
      </c>
      <c r="E50" s="27">
        <v>0</v>
      </c>
      <c r="F50" s="79">
        <f>E50/'- 3 -'!D50*100</f>
        <v>0</v>
      </c>
      <c r="G50" s="27" t="str">
        <f>IF('- 7 -'!B50=0,"",E50/'- 7 -'!B50)</f>
        <v/>
      </c>
    </row>
    <row r="51" spans="1:7" ht="14.1" customHeight="1">
      <c r="A51" s="330" t="s">
        <v>273</v>
      </c>
      <c r="B51" s="331">
        <v>478370</v>
      </c>
      <c r="C51" s="337">
        <f>B51/'- 3 -'!D51*100</f>
        <v>2.6450306107954424</v>
      </c>
      <c r="D51" s="331">
        <f>B51/'- 7 -'!C51</f>
        <v>661.7557547587428</v>
      </c>
      <c r="E51" s="331">
        <v>4152909</v>
      </c>
      <c r="F51" s="337">
        <f>E51/'- 3 -'!D51*100</f>
        <v>22.962500635173384</v>
      </c>
      <c r="G51" s="331">
        <f>IF('- 7 -'!B51=0,"",E51/'- 7 -'!B51)</f>
        <v>6350.0137614678897</v>
      </c>
    </row>
    <row r="52" spans="1:7" ht="50.1" customHeight="1">
      <c r="B52" s="96"/>
      <c r="C52" s="96"/>
      <c r="D52" s="96"/>
      <c r="E52" s="96"/>
      <c r="F52" s="96"/>
      <c r="G52" s="96"/>
    </row>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16.xml><?xml version="1.0" encoding="utf-8"?>
<worksheet xmlns="http://schemas.openxmlformats.org/spreadsheetml/2006/main" xmlns:r="http://schemas.openxmlformats.org/officeDocument/2006/relationships">
  <sheetPr codeName="Sheet14">
    <pageSetUpPr fitToPage="1"/>
  </sheetPr>
  <dimension ref="A1:J53"/>
  <sheetViews>
    <sheetView showGridLines="0" showZeros="0" workbookViewId="0"/>
  </sheetViews>
  <sheetFormatPr defaultColWidth="15.83203125" defaultRowHeight="12"/>
  <cols>
    <col min="1" max="1" width="32.83203125" style="1" customWidth="1"/>
    <col min="2" max="2" width="16.83203125" style="1" customWidth="1"/>
    <col min="3" max="3" width="7.83203125" style="1" customWidth="1"/>
    <col min="4" max="4" width="9.83203125" style="1" customWidth="1"/>
    <col min="5" max="5" width="14.83203125" style="1" customWidth="1"/>
    <col min="6" max="6" width="7.83203125" style="1" customWidth="1"/>
    <col min="7" max="7" width="9.83203125" style="1" customWidth="1"/>
    <col min="8" max="8" width="14.83203125" style="1" customWidth="1"/>
    <col min="9" max="9" width="7.83203125" style="1" customWidth="1"/>
    <col min="10" max="10" width="9.83203125" style="1" customWidth="1"/>
    <col min="11" max="16384" width="15.83203125" style="1"/>
  </cols>
  <sheetData>
    <row r="1" spans="1:10" ht="6.95" customHeight="1">
      <c r="A1" s="6"/>
      <c r="B1" s="6"/>
      <c r="C1" s="6"/>
      <c r="D1" s="6"/>
      <c r="E1" s="6"/>
      <c r="F1" s="6"/>
      <c r="G1" s="6"/>
      <c r="H1" s="100"/>
      <c r="I1" s="100"/>
      <c r="J1" s="100"/>
    </row>
    <row r="2" spans="1:10" ht="15.95" customHeight="1">
      <c r="A2" s="152"/>
      <c r="B2" s="101" t="s">
        <v>492</v>
      </c>
      <c r="C2" s="102"/>
      <c r="D2" s="102"/>
      <c r="E2" s="190"/>
      <c r="F2" s="190"/>
      <c r="G2" s="190"/>
      <c r="H2" s="190"/>
      <c r="I2" s="71"/>
      <c r="J2" s="153" t="s">
        <v>465</v>
      </c>
    </row>
    <row r="3" spans="1:10" ht="15.95" customHeight="1">
      <c r="A3" s="154"/>
      <c r="B3" s="83" t="str">
        <f>OPYEAR</f>
        <v>OPERATING FUND 2012/2013 ACTUAL</v>
      </c>
      <c r="C3" s="105"/>
      <c r="D3" s="105"/>
      <c r="E3" s="36"/>
      <c r="F3" s="36"/>
      <c r="G3" s="36"/>
      <c r="H3" s="36"/>
      <c r="I3" s="73"/>
      <c r="J3" s="209"/>
    </row>
    <row r="4" spans="1:10" ht="15.95" customHeight="1">
      <c r="H4" s="100"/>
      <c r="I4" s="100"/>
      <c r="J4" s="100"/>
    </row>
    <row r="5" spans="1:10" ht="15.95" customHeight="1">
      <c r="B5" s="211" t="s">
        <v>23</v>
      </c>
      <c r="C5" s="46"/>
      <c r="D5" s="46"/>
      <c r="E5" s="46"/>
      <c r="F5" s="46"/>
      <c r="G5" s="46"/>
      <c r="H5" s="46"/>
      <c r="I5" s="227"/>
      <c r="J5" s="228"/>
    </row>
    <row r="6" spans="1:10" ht="15.95" customHeight="1">
      <c r="B6" s="379" t="s">
        <v>404</v>
      </c>
      <c r="C6" s="380"/>
      <c r="D6" s="380"/>
      <c r="E6" s="380"/>
      <c r="F6" s="380"/>
      <c r="G6" s="381"/>
      <c r="H6" s="382"/>
      <c r="I6" s="380"/>
      <c r="J6" s="381"/>
    </row>
    <row r="7" spans="1:10" ht="15.95" customHeight="1">
      <c r="B7" s="343" t="s">
        <v>45</v>
      </c>
      <c r="C7" s="335"/>
      <c r="D7" s="336"/>
      <c r="E7" s="343" t="s">
        <v>46</v>
      </c>
      <c r="F7" s="335"/>
      <c r="G7" s="336"/>
      <c r="H7" s="343" t="s">
        <v>47</v>
      </c>
      <c r="I7" s="335"/>
      <c r="J7" s="336"/>
    </row>
    <row r="8" spans="1:10" ht="15.95" customHeight="1">
      <c r="A8" s="75"/>
      <c r="B8" s="229"/>
      <c r="C8" s="214"/>
      <c r="D8" s="200" t="s">
        <v>74</v>
      </c>
      <c r="E8" s="229"/>
      <c r="F8" s="214"/>
      <c r="G8" s="200" t="s">
        <v>74</v>
      </c>
      <c r="H8" s="201"/>
      <c r="I8" s="199"/>
      <c r="J8" s="200" t="s">
        <v>74</v>
      </c>
    </row>
    <row r="9" spans="1:10" ht="15.95" customHeight="1">
      <c r="A9" s="42" t="s">
        <v>94</v>
      </c>
      <c r="B9" s="112" t="s">
        <v>95</v>
      </c>
      <c r="C9" s="112" t="s">
        <v>96</v>
      </c>
      <c r="D9" s="112" t="s">
        <v>97</v>
      </c>
      <c r="E9" s="112" t="s">
        <v>95</v>
      </c>
      <c r="F9" s="112" t="s">
        <v>96</v>
      </c>
      <c r="G9" s="112" t="s">
        <v>97</v>
      </c>
      <c r="H9" s="202" t="s">
        <v>95</v>
      </c>
      <c r="I9" s="112" t="s">
        <v>96</v>
      </c>
      <c r="J9" s="112" t="s">
        <v>97</v>
      </c>
    </row>
    <row r="10" spans="1:10" ht="5.0999999999999996" customHeight="1">
      <c r="A10" s="5"/>
      <c r="B10" s="96"/>
      <c r="C10" s="96"/>
      <c r="D10" s="96"/>
      <c r="E10" s="96"/>
      <c r="F10" s="96"/>
      <c r="G10" s="96"/>
      <c r="H10" s="96"/>
      <c r="I10" s="96"/>
      <c r="J10" s="96"/>
    </row>
    <row r="11" spans="1:10" ht="14.1" customHeight="1">
      <c r="A11" s="330" t="s">
        <v>236</v>
      </c>
      <c r="B11" s="331">
        <v>8407278</v>
      </c>
      <c r="C11" s="337">
        <f>B11/'- 3 -'!D11*100</f>
        <v>53.731238546859316</v>
      </c>
      <c r="D11" s="331">
        <f>B11/'- 6 -'!B11</f>
        <v>5599.2527472527472</v>
      </c>
      <c r="E11" s="331">
        <v>0</v>
      </c>
      <c r="F11" s="337">
        <f>E11/'- 3 -'!D11*100</f>
        <v>0</v>
      </c>
      <c r="G11" s="331" t="str">
        <f>IF('- 6 -'!C11=0,"",E11/'- 6 -'!C11)</f>
        <v/>
      </c>
      <c r="H11" s="331">
        <v>0</v>
      </c>
      <c r="I11" s="337">
        <f>H11/'- 3 -'!D11*100</f>
        <v>0</v>
      </c>
      <c r="J11" s="331" t="str">
        <f>IF('- 6 -'!D11=0,"",H11/'- 6 -'!D11)</f>
        <v/>
      </c>
    </row>
    <row r="12" spans="1:10" ht="14.1" customHeight="1">
      <c r="A12" s="26" t="s">
        <v>237</v>
      </c>
      <c r="B12" s="27">
        <v>13327548</v>
      </c>
      <c r="C12" s="79">
        <f>B12/'- 3 -'!D12*100</f>
        <v>45.132731405457825</v>
      </c>
      <c r="D12" s="27">
        <f>B12/'- 6 -'!B12</f>
        <v>6245.3364573570761</v>
      </c>
      <c r="E12" s="27">
        <v>0</v>
      </c>
      <c r="F12" s="79">
        <f>E12/'- 3 -'!D12*100</f>
        <v>0</v>
      </c>
      <c r="G12" s="27" t="str">
        <f>IF('- 6 -'!C12=0,"",E12/'- 6 -'!C12)</f>
        <v/>
      </c>
      <c r="H12" s="27">
        <v>0</v>
      </c>
      <c r="I12" s="79">
        <f>H12/'- 3 -'!D12*100</f>
        <v>0</v>
      </c>
      <c r="J12" s="27" t="str">
        <f>IF('- 6 -'!D12=0,"",H12/'- 6 -'!D12)</f>
        <v/>
      </c>
    </row>
    <row r="13" spans="1:10" ht="14.1" customHeight="1">
      <c r="A13" s="330" t="s">
        <v>238</v>
      </c>
      <c r="B13" s="331">
        <v>31152374</v>
      </c>
      <c r="C13" s="337">
        <f>B13/'- 3 -'!D13*100</f>
        <v>38.730746799825297</v>
      </c>
      <c r="D13" s="331">
        <f>B13/'- 6 -'!B13</f>
        <v>5524.6460239767321</v>
      </c>
      <c r="E13" s="331">
        <v>0</v>
      </c>
      <c r="F13" s="337">
        <f>E13/'- 3 -'!D13*100</f>
        <v>0</v>
      </c>
      <c r="G13" s="331" t="str">
        <f>IF('- 6 -'!C13=0,"",E13/'- 6 -'!C13)</f>
        <v/>
      </c>
      <c r="H13" s="331">
        <v>1474254</v>
      </c>
      <c r="I13" s="337">
        <f>H13/'- 3 -'!D13*100</f>
        <v>1.8328926839614104</v>
      </c>
      <c r="J13" s="331">
        <f>IF('- 6 -'!D13=0,"",H13/'- 6 -'!D13)</f>
        <v>4578.4285714285716</v>
      </c>
    </row>
    <row r="14" spans="1:10" ht="14.1" customHeight="1">
      <c r="A14" s="26" t="s">
        <v>656</v>
      </c>
      <c r="B14" s="27">
        <v>0</v>
      </c>
      <c r="C14" s="79">
        <f>B14/'- 3 -'!D14*100</f>
        <v>0</v>
      </c>
      <c r="D14" s="27"/>
      <c r="E14" s="27">
        <v>33803672</v>
      </c>
      <c r="F14" s="79">
        <f>E14/'- 3 -'!D14*100</f>
        <v>48.384696363474909</v>
      </c>
      <c r="G14" s="27">
        <f>IF('- 6 -'!C14=0,"",E14/'- 6 -'!C14)</f>
        <v>6635.9780133490385</v>
      </c>
      <c r="H14" s="27">
        <v>0</v>
      </c>
      <c r="I14" s="79">
        <f>H14/'- 3 -'!D14*100</f>
        <v>0</v>
      </c>
      <c r="J14" s="27" t="str">
        <f>IF('- 6 -'!D14=0,"",H14/'- 6 -'!D14)</f>
        <v/>
      </c>
    </row>
    <row r="15" spans="1:10" ht="14.1" customHeight="1">
      <c r="A15" s="330" t="s">
        <v>239</v>
      </c>
      <c r="B15" s="331">
        <v>8301496</v>
      </c>
      <c r="C15" s="337">
        <f>B15/'- 3 -'!D15*100</f>
        <v>44.640706267237682</v>
      </c>
      <c r="D15" s="331">
        <f>B15/'- 6 -'!B15</f>
        <v>5447.1758530183724</v>
      </c>
      <c r="E15" s="331">
        <v>0</v>
      </c>
      <c r="F15" s="337">
        <f>E15/'- 3 -'!D15*100</f>
        <v>0</v>
      </c>
      <c r="G15" s="331" t="str">
        <f>IF('- 6 -'!C15=0,"",E15/'- 6 -'!C15)</f>
        <v/>
      </c>
      <c r="H15" s="331">
        <v>0</v>
      </c>
      <c r="I15" s="337">
        <f>H15/'- 3 -'!D15*100</f>
        <v>0</v>
      </c>
      <c r="J15" s="331" t="str">
        <f>IF('- 6 -'!D15=0,"",H15/'- 6 -'!D15)</f>
        <v/>
      </c>
    </row>
    <row r="16" spans="1:10" ht="14.1" customHeight="1">
      <c r="A16" s="26" t="s">
        <v>240</v>
      </c>
      <c r="B16" s="27">
        <v>3718125</v>
      </c>
      <c r="C16" s="79">
        <f>B16/'- 3 -'!D16*100</f>
        <v>29.09908186013423</v>
      </c>
      <c r="D16" s="27">
        <f>B16/'- 6 -'!B16</f>
        <v>6270.0252951096118</v>
      </c>
      <c r="E16" s="27">
        <v>0</v>
      </c>
      <c r="F16" s="79">
        <f>E16/'- 3 -'!D16*100</f>
        <v>0</v>
      </c>
      <c r="G16" s="27" t="str">
        <f>IF('- 6 -'!C16=0,"",E16/'- 6 -'!C16)</f>
        <v/>
      </c>
      <c r="H16" s="27">
        <v>0</v>
      </c>
      <c r="I16" s="79">
        <f>H16/'- 3 -'!D16*100</f>
        <v>0</v>
      </c>
      <c r="J16" s="27" t="str">
        <f>IF('- 6 -'!D16=0,"",H16/'- 6 -'!D16)</f>
        <v/>
      </c>
    </row>
    <row r="17" spans="1:10" ht="14.1" customHeight="1">
      <c r="A17" s="330" t="s">
        <v>241</v>
      </c>
      <c r="B17" s="331">
        <v>8089110</v>
      </c>
      <c r="C17" s="337">
        <f>B17/'- 3 -'!D17*100</f>
        <v>50.258536860864275</v>
      </c>
      <c r="D17" s="331">
        <f>B17/'- 6 -'!B17</f>
        <v>6400.1186802753382</v>
      </c>
      <c r="E17" s="331">
        <v>0</v>
      </c>
      <c r="F17" s="337">
        <f>E17/'- 3 -'!D17*100</f>
        <v>0</v>
      </c>
      <c r="G17" s="331" t="str">
        <f>IF('- 6 -'!C17=0,"",E17/'- 6 -'!C17)</f>
        <v/>
      </c>
      <c r="H17" s="331">
        <v>0</v>
      </c>
      <c r="I17" s="337">
        <f>H17/'- 3 -'!D17*100</f>
        <v>0</v>
      </c>
      <c r="J17" s="331" t="str">
        <f>IF('- 6 -'!D17=0,"",H17/'- 6 -'!D17)</f>
        <v/>
      </c>
    </row>
    <row r="18" spans="1:10" ht="14.1" customHeight="1">
      <c r="A18" s="26" t="s">
        <v>242</v>
      </c>
      <c r="B18" s="27">
        <v>41940721</v>
      </c>
      <c r="C18" s="79">
        <f>B18/'- 3 -'!D18*100</f>
        <v>37.229553007070464</v>
      </c>
      <c r="D18" s="27">
        <f>B18/'- 6 -'!B18</f>
        <v>7261.2051592797779</v>
      </c>
      <c r="E18" s="27">
        <v>0</v>
      </c>
      <c r="F18" s="79">
        <f>E18/'- 3 -'!D18*100</f>
        <v>0</v>
      </c>
      <c r="G18" s="27" t="str">
        <f>IF('- 6 -'!C18=0,"",E18/'- 6 -'!C18)</f>
        <v/>
      </c>
      <c r="H18" s="27">
        <v>0</v>
      </c>
      <c r="I18" s="79">
        <f>H18/'- 3 -'!D18*100</f>
        <v>0</v>
      </c>
      <c r="J18" s="27" t="str">
        <f>IF('- 6 -'!D18=0,"",H18/'- 6 -'!D18)</f>
        <v/>
      </c>
    </row>
    <row r="19" spans="1:10" ht="14.1" customHeight="1">
      <c r="A19" s="330" t="s">
        <v>243</v>
      </c>
      <c r="B19" s="331">
        <v>19663956</v>
      </c>
      <c r="C19" s="337">
        <f>B19/'- 3 -'!D19*100</f>
        <v>50.469440767367182</v>
      </c>
      <c r="D19" s="331">
        <f>B19/'- 6 -'!B19</f>
        <v>4807.1080037158363</v>
      </c>
      <c r="E19" s="331">
        <v>0</v>
      </c>
      <c r="F19" s="337">
        <f>E19/'- 3 -'!D19*100</f>
        <v>0</v>
      </c>
      <c r="G19" s="331" t="str">
        <f>IF('- 6 -'!C19=0,"",E19/'- 6 -'!C19)</f>
        <v/>
      </c>
      <c r="H19" s="331">
        <v>0</v>
      </c>
      <c r="I19" s="337">
        <f>H19/'- 3 -'!D19*100</f>
        <v>0</v>
      </c>
      <c r="J19" s="331" t="str">
        <f>IF('- 6 -'!D19=0,"",H19/'- 6 -'!D19)</f>
        <v/>
      </c>
    </row>
    <row r="20" spans="1:10" ht="14.1" customHeight="1">
      <c r="A20" s="26" t="s">
        <v>244</v>
      </c>
      <c r="B20" s="27">
        <v>34823213</v>
      </c>
      <c r="C20" s="79">
        <f>B20/'- 3 -'!D20*100</f>
        <v>51.465202683250354</v>
      </c>
      <c r="D20" s="27">
        <f>B20/'- 6 -'!B20</f>
        <v>4993.6492435649243</v>
      </c>
      <c r="E20" s="27">
        <v>0</v>
      </c>
      <c r="F20" s="79">
        <f>E20/'- 3 -'!D20*100</f>
        <v>0</v>
      </c>
      <c r="G20" s="27" t="str">
        <f>IF('- 6 -'!C20=0,"",E20/'- 6 -'!C20)</f>
        <v/>
      </c>
      <c r="H20" s="27">
        <v>0</v>
      </c>
      <c r="I20" s="79">
        <f>H20/'- 3 -'!D20*100</f>
        <v>0</v>
      </c>
      <c r="J20" s="27" t="str">
        <f>IF('- 6 -'!D20=0,"",H20/'- 6 -'!D20)</f>
        <v/>
      </c>
    </row>
    <row r="21" spans="1:10" ht="14.1" customHeight="1">
      <c r="A21" s="330" t="s">
        <v>245</v>
      </c>
      <c r="B21" s="331">
        <v>13313540</v>
      </c>
      <c r="C21" s="337">
        <f>B21/'- 3 -'!D21*100</f>
        <v>40.761879755219425</v>
      </c>
      <c r="D21" s="331">
        <f>B21/'- 6 -'!B21</f>
        <v>5476.5693130399013</v>
      </c>
      <c r="E21" s="331">
        <v>0</v>
      </c>
      <c r="F21" s="337">
        <f>E21/'- 3 -'!D21*100</f>
        <v>0</v>
      </c>
      <c r="G21" s="331" t="str">
        <f>IF('- 6 -'!C21=0,"",E21/'- 6 -'!C21)</f>
        <v/>
      </c>
      <c r="H21" s="331">
        <v>0</v>
      </c>
      <c r="I21" s="337">
        <f>H21/'- 3 -'!D21*100</f>
        <v>0</v>
      </c>
      <c r="J21" s="331" t="str">
        <f>IF('- 6 -'!D21=0,"",H21/'- 6 -'!D21)</f>
        <v/>
      </c>
    </row>
    <row r="22" spans="1:10" ht="14.1" customHeight="1">
      <c r="A22" s="26" t="s">
        <v>246</v>
      </c>
      <c r="B22" s="27">
        <v>4216580</v>
      </c>
      <c r="C22" s="79">
        <f>B22/'- 3 -'!D22*100</f>
        <v>22.700738501606331</v>
      </c>
      <c r="D22" s="27">
        <f>B22/'- 6 -'!B22</f>
        <v>4692.9104062326096</v>
      </c>
      <c r="E22" s="27">
        <v>0</v>
      </c>
      <c r="F22" s="79">
        <f>E22/'- 3 -'!D22*100</f>
        <v>0</v>
      </c>
      <c r="G22" s="27" t="str">
        <f>IF('- 6 -'!C22=0,"",E22/'- 6 -'!C22)</f>
        <v/>
      </c>
      <c r="H22" s="27">
        <v>0</v>
      </c>
      <c r="I22" s="79">
        <f>H22/'- 3 -'!D22*100</f>
        <v>0</v>
      </c>
      <c r="J22" s="27" t="str">
        <f>IF('- 6 -'!D22=0,"",H22/'- 6 -'!D22)</f>
        <v/>
      </c>
    </row>
    <row r="23" spans="1:10" ht="14.1" customHeight="1">
      <c r="A23" s="330" t="s">
        <v>247</v>
      </c>
      <c r="B23" s="331">
        <v>7101447</v>
      </c>
      <c r="C23" s="337">
        <f>B23/'- 3 -'!D23*100</f>
        <v>44.18204069854869</v>
      </c>
      <c r="D23" s="331">
        <f>B23/'- 6 -'!B23</f>
        <v>6124.5769728331179</v>
      </c>
      <c r="E23" s="331">
        <v>0</v>
      </c>
      <c r="F23" s="337">
        <f>E23/'- 3 -'!D23*100</f>
        <v>0</v>
      </c>
      <c r="G23" s="331" t="str">
        <f>IF('- 6 -'!C23=0,"",E23/'- 6 -'!C23)</f>
        <v/>
      </c>
      <c r="H23" s="331">
        <v>0</v>
      </c>
      <c r="I23" s="337">
        <f>H23/'- 3 -'!D23*100</f>
        <v>0</v>
      </c>
      <c r="J23" s="331" t="str">
        <f>IF('- 6 -'!D23=0,"",H23/'- 6 -'!D23)</f>
        <v/>
      </c>
    </row>
    <row r="24" spans="1:10" ht="14.1" customHeight="1">
      <c r="A24" s="26" t="s">
        <v>248</v>
      </c>
      <c r="B24" s="27">
        <v>18693177</v>
      </c>
      <c r="C24" s="79">
        <f>B24/'- 3 -'!D24*100</f>
        <v>36.604012774567884</v>
      </c>
      <c r="D24" s="27">
        <f>B24/'- 6 -'!B24</f>
        <v>6301.0001011224595</v>
      </c>
      <c r="E24" s="27">
        <v>0</v>
      </c>
      <c r="F24" s="79">
        <f>E24/'- 3 -'!D24*100</f>
        <v>0</v>
      </c>
      <c r="G24" s="27" t="str">
        <f>IF('- 6 -'!C24=0,"",E24/'- 6 -'!C24)</f>
        <v/>
      </c>
      <c r="H24" s="27">
        <v>1357528</v>
      </c>
      <c r="I24" s="79">
        <f>H24/'- 3 -'!D24*100</f>
        <v>2.6582411461590283</v>
      </c>
      <c r="J24" s="27">
        <f>IF('- 6 -'!D24=0,"",H24/'- 6 -'!D24)</f>
        <v>5065.4029850746265</v>
      </c>
    </row>
    <row r="25" spans="1:10" ht="14.1" customHeight="1">
      <c r="A25" s="330" t="s">
        <v>249</v>
      </c>
      <c r="B25" s="331">
        <v>48527368</v>
      </c>
      <c r="C25" s="337">
        <f>B25/'- 3 -'!D25*100</f>
        <v>32.394908800882376</v>
      </c>
      <c r="D25" s="331">
        <f>B25/'- 6 -'!B25</f>
        <v>5066.4921017738379</v>
      </c>
      <c r="E25" s="331">
        <v>0</v>
      </c>
      <c r="F25" s="337">
        <f>E25/'- 3 -'!D25*100</f>
        <v>0</v>
      </c>
      <c r="G25" s="331" t="str">
        <f>IF('- 6 -'!C25=0,"",E25/'- 6 -'!C25)</f>
        <v/>
      </c>
      <c r="H25" s="331">
        <v>17260268</v>
      </c>
      <c r="I25" s="337">
        <f>H25/'- 3 -'!D25*100</f>
        <v>11.522257043464389</v>
      </c>
      <c r="J25" s="331">
        <f>IF('- 6 -'!D25=0,"",H25/'- 6 -'!D25)</f>
        <v>4505.7738794476209</v>
      </c>
    </row>
    <row r="26" spans="1:10" ht="14.1" customHeight="1">
      <c r="A26" s="26" t="s">
        <v>250</v>
      </c>
      <c r="B26" s="27">
        <v>14698423</v>
      </c>
      <c r="C26" s="79">
        <f>B26/'- 3 -'!D26*100</f>
        <v>39.429356298738874</v>
      </c>
      <c r="D26" s="27">
        <f>B26/'- 6 -'!B26</f>
        <v>6075.7119059527695</v>
      </c>
      <c r="E26" s="27">
        <v>0</v>
      </c>
      <c r="F26" s="79">
        <f>E26/'- 3 -'!D26*100</f>
        <v>0</v>
      </c>
      <c r="G26" s="27" t="str">
        <f>IF('- 6 -'!C26=0,"",E26/'- 6 -'!C26)</f>
        <v/>
      </c>
      <c r="H26" s="27">
        <v>884705</v>
      </c>
      <c r="I26" s="79">
        <f>H26/'- 3 -'!D26*100</f>
        <v>2.3732715179224173</v>
      </c>
      <c r="J26" s="27">
        <f>IF('- 6 -'!D26=0,"",H26/'- 6 -'!D26)</f>
        <v>4560.3350515463917</v>
      </c>
    </row>
    <row r="27" spans="1:10" ht="14.1" customHeight="1">
      <c r="A27" s="330" t="s">
        <v>251</v>
      </c>
      <c r="B27" s="331">
        <v>15136817</v>
      </c>
      <c r="C27" s="337">
        <f>B27/'- 3 -'!D27*100</f>
        <v>41.514461589567006</v>
      </c>
      <c r="D27" s="331">
        <f>B27/'- 6 -'!B27</f>
        <v>6865.0809560524285</v>
      </c>
      <c r="E27" s="331">
        <v>0</v>
      </c>
      <c r="F27" s="337">
        <f>E27/'- 3 -'!D27*100</f>
        <v>0</v>
      </c>
      <c r="G27" s="331" t="str">
        <f>IF('- 6 -'!C27=0,"",E27/'- 6 -'!C27)</f>
        <v/>
      </c>
      <c r="H27" s="331">
        <v>0</v>
      </c>
      <c r="I27" s="337">
        <f>H27/'- 3 -'!D27*100</f>
        <v>0</v>
      </c>
      <c r="J27" s="331" t="str">
        <f>IF('- 6 -'!D27=0,"",H27/'- 6 -'!D27)</f>
        <v/>
      </c>
    </row>
    <row r="28" spans="1:10" ht="14.1" customHeight="1">
      <c r="A28" s="26" t="s">
        <v>252</v>
      </c>
      <c r="B28" s="27">
        <v>13021790</v>
      </c>
      <c r="C28" s="79">
        <f>B28/'- 3 -'!D28*100</f>
        <v>51.129807529018954</v>
      </c>
      <c r="D28" s="27">
        <f>B28/'- 6 -'!B28</f>
        <v>6561.7485512723606</v>
      </c>
      <c r="E28" s="27">
        <v>0</v>
      </c>
      <c r="F28" s="79">
        <f>E28/'- 3 -'!D28*100</f>
        <v>0</v>
      </c>
      <c r="G28" s="27" t="str">
        <f>IF('- 6 -'!C28=0,"",E28/'- 6 -'!C28)</f>
        <v/>
      </c>
      <c r="H28" s="27">
        <v>0</v>
      </c>
      <c r="I28" s="79">
        <f>H28/'- 3 -'!D28*100</f>
        <v>0</v>
      </c>
      <c r="J28" s="27" t="str">
        <f>IF('- 6 -'!D28=0,"",H28/'- 6 -'!D28)</f>
        <v/>
      </c>
    </row>
    <row r="29" spans="1:10" ht="14.1" customHeight="1">
      <c r="A29" s="330" t="s">
        <v>253</v>
      </c>
      <c r="B29" s="331">
        <v>41579955</v>
      </c>
      <c r="C29" s="337">
        <f>B29/'- 3 -'!D29*100</f>
        <v>30.113880128115795</v>
      </c>
      <c r="D29" s="331">
        <f>B29/'- 6 -'!B29</f>
        <v>5614.5880875541816</v>
      </c>
      <c r="E29" s="331">
        <v>0</v>
      </c>
      <c r="F29" s="337">
        <f>E29/'- 3 -'!D29*100</f>
        <v>0</v>
      </c>
      <c r="G29" s="331" t="str">
        <f>IF('- 6 -'!C29=0,"",E29/'- 6 -'!C29)</f>
        <v/>
      </c>
      <c r="H29" s="331">
        <v>6599056</v>
      </c>
      <c r="I29" s="337">
        <f>H29/'- 3 -'!D29*100</f>
        <v>4.7793024629950489</v>
      </c>
      <c r="J29" s="331">
        <f>IF('- 6 -'!D29=0,"",H29/'- 6 -'!D29)</f>
        <v>5204.302839116719</v>
      </c>
    </row>
    <row r="30" spans="1:10" ht="14.1" customHeight="1">
      <c r="A30" s="26" t="s">
        <v>254</v>
      </c>
      <c r="B30" s="27">
        <v>7121309</v>
      </c>
      <c r="C30" s="79">
        <f>B30/'- 3 -'!D30*100</f>
        <v>53.485763272414587</v>
      </c>
      <c r="D30" s="27">
        <f>B30/'- 6 -'!B30</f>
        <v>6607.2638708480245</v>
      </c>
      <c r="E30" s="27">
        <v>0</v>
      </c>
      <c r="F30" s="79">
        <f>E30/'- 3 -'!D30*100</f>
        <v>0</v>
      </c>
      <c r="G30" s="27" t="str">
        <f>IF('- 6 -'!C30=0,"",E30/'- 6 -'!C30)</f>
        <v/>
      </c>
      <c r="H30" s="27">
        <v>0</v>
      </c>
      <c r="I30" s="79">
        <f>H30/'- 3 -'!D30*100</f>
        <v>0</v>
      </c>
      <c r="J30" s="27" t="str">
        <f>IF('- 6 -'!D30=0,"",H30/'- 6 -'!D30)</f>
        <v/>
      </c>
    </row>
    <row r="31" spans="1:10" ht="14.1" customHeight="1">
      <c r="A31" s="330" t="s">
        <v>255</v>
      </c>
      <c r="B31" s="331">
        <v>12588428</v>
      </c>
      <c r="C31" s="337">
        <f>B31/'- 3 -'!D31*100</f>
        <v>38.569114879632025</v>
      </c>
      <c r="D31" s="331">
        <f>B31/'- 6 -'!B31</f>
        <v>5295.9310054690786</v>
      </c>
      <c r="E31" s="331">
        <v>0</v>
      </c>
      <c r="F31" s="337">
        <f>E31/'- 3 -'!D31*100</f>
        <v>0</v>
      </c>
      <c r="G31" s="331" t="str">
        <f>IF('- 6 -'!C31=0,"",E31/'- 6 -'!C31)</f>
        <v/>
      </c>
      <c r="H31" s="331">
        <v>0</v>
      </c>
      <c r="I31" s="337">
        <f>H31/'- 3 -'!D31*100</f>
        <v>0</v>
      </c>
      <c r="J31" s="331" t="str">
        <f>IF('- 6 -'!D31=0,"",H31/'- 6 -'!D31)</f>
        <v/>
      </c>
    </row>
    <row r="32" spans="1:10" ht="14.1" customHeight="1">
      <c r="A32" s="26" t="s">
        <v>256</v>
      </c>
      <c r="B32" s="27">
        <v>10445006</v>
      </c>
      <c r="C32" s="79">
        <f>B32/'- 3 -'!D32*100</f>
        <v>42.318976478563215</v>
      </c>
      <c r="D32" s="27">
        <f>B32/'- 6 -'!B32</f>
        <v>6012.2062971277273</v>
      </c>
      <c r="E32" s="27">
        <v>0</v>
      </c>
      <c r="F32" s="79">
        <f>E32/'- 3 -'!D32*100</f>
        <v>0</v>
      </c>
      <c r="G32" s="27" t="str">
        <f>IF('- 6 -'!C32=0,"",E32/'- 6 -'!C32)</f>
        <v/>
      </c>
      <c r="H32" s="27">
        <v>534061</v>
      </c>
      <c r="I32" s="79">
        <f>H32/'- 3 -'!D32*100</f>
        <v>2.1638010449317067</v>
      </c>
      <c r="J32" s="27">
        <f>IF('- 6 -'!D32=0,"",H32/'- 6 -'!D32)</f>
        <v>5534.3108808290153</v>
      </c>
    </row>
    <row r="33" spans="1:10" ht="14.1" customHeight="1">
      <c r="A33" s="330" t="s">
        <v>257</v>
      </c>
      <c r="B33" s="331">
        <v>10269665</v>
      </c>
      <c r="C33" s="337">
        <f>B33/'- 3 -'!D33*100</f>
        <v>40.678914812761363</v>
      </c>
      <c r="D33" s="331">
        <f>B33/'- 6 -'!B33</f>
        <v>6133.3403010033444</v>
      </c>
      <c r="E33" s="331">
        <v>0</v>
      </c>
      <c r="F33" s="337">
        <f>E33/'- 3 -'!D33*100</f>
        <v>0</v>
      </c>
      <c r="G33" s="331" t="str">
        <f>IF('- 6 -'!C33=0,"",E33/'- 6 -'!C33)</f>
        <v/>
      </c>
      <c r="H33" s="331">
        <v>0</v>
      </c>
      <c r="I33" s="337">
        <f>H33/'- 3 -'!D33*100</f>
        <v>0</v>
      </c>
      <c r="J33" s="331" t="str">
        <f>IF('- 6 -'!D33=0,"",H33/'- 6 -'!D33)</f>
        <v/>
      </c>
    </row>
    <row r="34" spans="1:10" ht="14.1" customHeight="1">
      <c r="A34" s="26" t="s">
        <v>258</v>
      </c>
      <c r="B34" s="27">
        <v>9168142</v>
      </c>
      <c r="C34" s="79">
        <f>B34/'- 3 -'!D34*100</f>
        <v>37.854503711938293</v>
      </c>
      <c r="D34" s="27">
        <f>B34/'- 6 -'!B34</f>
        <v>5453.786301500244</v>
      </c>
      <c r="E34" s="27">
        <v>0</v>
      </c>
      <c r="F34" s="79">
        <f>E34/'- 3 -'!D34*100</f>
        <v>0</v>
      </c>
      <c r="G34" s="27" t="str">
        <f>IF('- 6 -'!C34=0,"",E34/'- 6 -'!C34)</f>
        <v/>
      </c>
      <c r="H34" s="27">
        <v>1353537</v>
      </c>
      <c r="I34" s="79">
        <f>H34/'- 3 -'!D34*100</f>
        <v>5.5886428668694075</v>
      </c>
      <c r="J34" s="27">
        <f>IF('- 6 -'!D34=0,"",H34/'- 6 -'!D34)</f>
        <v>7068.8165865886776</v>
      </c>
    </row>
    <row r="35" spans="1:10" ht="14.1" customHeight="1">
      <c r="A35" s="330" t="s">
        <v>259</v>
      </c>
      <c r="B35" s="331">
        <v>48942042</v>
      </c>
      <c r="C35" s="337">
        <f>B35/'- 3 -'!D35*100</f>
        <v>29.477378311855929</v>
      </c>
      <c r="D35" s="331">
        <f>B35/'- 6 -'!B35</f>
        <v>5211.5900330103286</v>
      </c>
      <c r="E35" s="331">
        <v>0</v>
      </c>
      <c r="F35" s="337">
        <f>E35/'- 3 -'!D35*100</f>
        <v>0</v>
      </c>
      <c r="G35" s="331" t="str">
        <f>IF('- 6 -'!C35=0,"",E35/'- 6 -'!C35)</f>
        <v/>
      </c>
      <c r="H35" s="331">
        <v>5483720</v>
      </c>
      <c r="I35" s="337">
        <f>H35/'- 3 -'!D35*100</f>
        <v>3.3027982158221065</v>
      </c>
      <c r="J35" s="331">
        <f>IF('- 6 -'!D35=0,"",H35/'- 6 -'!D35)</f>
        <v>4891.8108831400532</v>
      </c>
    </row>
    <row r="36" spans="1:10" ht="14.1" customHeight="1">
      <c r="A36" s="26" t="s">
        <v>260</v>
      </c>
      <c r="B36" s="27">
        <v>10170305</v>
      </c>
      <c r="C36" s="79">
        <f>B36/'- 3 -'!D36*100</f>
        <v>49.490193303773765</v>
      </c>
      <c r="D36" s="27">
        <f>B36/'- 6 -'!B36</f>
        <v>6213.5294477028347</v>
      </c>
      <c r="E36" s="27">
        <v>0</v>
      </c>
      <c r="F36" s="79">
        <f>E36/'- 3 -'!D36*100</f>
        <v>0</v>
      </c>
      <c r="G36" s="27" t="str">
        <f>IF('- 6 -'!C36=0,"",E36/'- 6 -'!C36)</f>
        <v/>
      </c>
      <c r="H36" s="27">
        <v>0</v>
      </c>
      <c r="I36" s="79">
        <f>H36/'- 3 -'!D36*100</f>
        <v>0</v>
      </c>
      <c r="J36" s="27" t="str">
        <f>IF('- 6 -'!D36=0,"",H36/'- 6 -'!D36)</f>
        <v/>
      </c>
    </row>
    <row r="37" spans="1:10" ht="14.1" customHeight="1">
      <c r="A37" s="330" t="s">
        <v>261</v>
      </c>
      <c r="B37" s="331">
        <v>9231070</v>
      </c>
      <c r="C37" s="337">
        <f>B37/'- 3 -'!D37*100</f>
        <v>23.31191957870471</v>
      </c>
      <c r="D37" s="331">
        <f>B37/'- 6 -'!B37</f>
        <v>4868.7078059071728</v>
      </c>
      <c r="E37" s="331">
        <v>0</v>
      </c>
      <c r="F37" s="337">
        <f>E37/'- 3 -'!D37*100</f>
        <v>0</v>
      </c>
      <c r="G37" s="331" t="str">
        <f>IF('- 6 -'!C37=0,"",E37/'- 6 -'!C37)</f>
        <v/>
      </c>
      <c r="H37" s="331">
        <v>3224725</v>
      </c>
      <c r="I37" s="337">
        <f>H37/'- 3 -'!D37*100</f>
        <v>8.1436420548688879</v>
      </c>
      <c r="J37" s="331">
        <f>IF('- 6 -'!D37=0,"",H37/'- 6 -'!D37)</f>
        <v>4867.5094339622638</v>
      </c>
    </row>
    <row r="38" spans="1:10" ht="14.1" customHeight="1">
      <c r="A38" s="26" t="s">
        <v>262</v>
      </c>
      <c r="B38" s="27">
        <v>32098890</v>
      </c>
      <c r="C38" s="79">
        <f>B38/'- 3 -'!D38*100</f>
        <v>29.172567575363889</v>
      </c>
      <c r="D38" s="27">
        <f>B38/'- 6 -'!B38</f>
        <v>5665.4764636320315</v>
      </c>
      <c r="E38" s="27">
        <v>0</v>
      </c>
      <c r="F38" s="79">
        <f>E38/'- 3 -'!D38*100</f>
        <v>0</v>
      </c>
      <c r="G38" s="27" t="str">
        <f>IF('- 6 -'!C38=0,"",E38/'- 6 -'!C38)</f>
        <v/>
      </c>
      <c r="H38" s="27">
        <v>1369726</v>
      </c>
      <c r="I38" s="79">
        <f>H38/'- 3 -'!D38*100</f>
        <v>1.2448537720380013</v>
      </c>
      <c r="J38" s="27">
        <f>IF('- 6 -'!D38=0,"",H38/'- 6 -'!D38)</f>
        <v>5026.5174311926603</v>
      </c>
    </row>
    <row r="39" spans="1:10" ht="14.1" customHeight="1">
      <c r="A39" s="330" t="s">
        <v>263</v>
      </c>
      <c r="B39" s="331">
        <v>9253424</v>
      </c>
      <c r="C39" s="337">
        <f>B39/'- 3 -'!D39*100</f>
        <v>47.375481227180188</v>
      </c>
      <c r="D39" s="331">
        <f>B39/'- 6 -'!B39</f>
        <v>6008.7168831168829</v>
      </c>
      <c r="E39" s="331">
        <v>0</v>
      </c>
      <c r="F39" s="337">
        <f>E39/'- 3 -'!D39*100</f>
        <v>0</v>
      </c>
      <c r="G39" s="331" t="str">
        <f>IF('- 6 -'!C39=0,"",E39/'- 6 -'!C39)</f>
        <v/>
      </c>
      <c r="H39" s="331">
        <v>0</v>
      </c>
      <c r="I39" s="337">
        <f>H39/'- 3 -'!D39*100</f>
        <v>0</v>
      </c>
      <c r="J39" s="331" t="str">
        <f>IF('- 6 -'!D39=0,"",H39/'- 6 -'!D39)</f>
        <v/>
      </c>
    </row>
    <row r="40" spans="1:10" ht="14.1" customHeight="1">
      <c r="A40" s="26" t="s">
        <v>264</v>
      </c>
      <c r="B40" s="27">
        <v>32111269</v>
      </c>
      <c r="C40" s="79">
        <f>B40/'- 3 -'!D40*100</f>
        <v>34.608129241456858</v>
      </c>
      <c r="D40" s="27">
        <f>B40/'- 6 -'!B40</f>
        <v>5841.3863421378155</v>
      </c>
      <c r="E40" s="27">
        <v>0</v>
      </c>
      <c r="F40" s="79">
        <f>E40/'- 3 -'!D40*100</f>
        <v>0</v>
      </c>
      <c r="G40" s="27" t="str">
        <f>IF('- 6 -'!C40=0,"",E40/'- 6 -'!C40)</f>
        <v/>
      </c>
      <c r="H40" s="27">
        <v>3351826</v>
      </c>
      <c r="I40" s="79">
        <f>H40/'- 3 -'!D40*100</f>
        <v>3.6124522952635534</v>
      </c>
      <c r="J40" s="27">
        <f>IF('- 6 -'!D40=0,"",H40/'- 6 -'!D40)</f>
        <v>4812.3847810480975</v>
      </c>
    </row>
    <row r="41" spans="1:10" ht="14.1" customHeight="1">
      <c r="A41" s="330" t="s">
        <v>265</v>
      </c>
      <c r="B41" s="331">
        <v>13467369</v>
      </c>
      <c r="C41" s="337">
        <f>B41/'- 3 -'!D41*100</f>
        <v>23.258851838645018</v>
      </c>
      <c r="D41" s="331">
        <f>B41/'- 6 -'!B41</f>
        <v>6349.5374823196607</v>
      </c>
      <c r="E41" s="331">
        <v>0</v>
      </c>
      <c r="F41" s="337">
        <f>E41/'- 3 -'!D41*100</f>
        <v>0</v>
      </c>
      <c r="G41" s="331" t="str">
        <f>IF('- 6 -'!C41=0,"",E41/'- 6 -'!C41)</f>
        <v/>
      </c>
      <c r="H41" s="331">
        <v>0</v>
      </c>
      <c r="I41" s="337">
        <f>H41/'- 3 -'!D41*100</f>
        <v>0</v>
      </c>
      <c r="J41" s="331" t="str">
        <f>IF('- 6 -'!D41=0,"",H41/'- 6 -'!D41)</f>
        <v/>
      </c>
    </row>
    <row r="42" spans="1:10" ht="14.1" customHeight="1">
      <c r="A42" s="26" t="s">
        <v>266</v>
      </c>
      <c r="B42" s="27">
        <v>7347330</v>
      </c>
      <c r="C42" s="79">
        <f>B42/'- 3 -'!D42*100</f>
        <v>37.336272401583045</v>
      </c>
      <c r="D42" s="27">
        <f>B42/'- 6 -'!B42</f>
        <v>7063.3820419150161</v>
      </c>
      <c r="E42" s="27">
        <v>0</v>
      </c>
      <c r="F42" s="79">
        <f>E42/'- 3 -'!D42*100</f>
        <v>0</v>
      </c>
      <c r="G42" s="27" t="str">
        <f>IF('- 6 -'!C42=0,"",E42/'- 6 -'!C42)</f>
        <v/>
      </c>
      <c r="H42" s="27">
        <v>0</v>
      </c>
      <c r="I42" s="79">
        <f>H42/'- 3 -'!D42*100</f>
        <v>0</v>
      </c>
      <c r="J42" s="27" t="str">
        <f>IF('- 6 -'!D42=0,"",H42/'- 6 -'!D42)</f>
        <v/>
      </c>
    </row>
    <row r="43" spans="1:10" ht="14.1" customHeight="1">
      <c r="A43" s="330" t="s">
        <v>267</v>
      </c>
      <c r="B43" s="331">
        <v>5694482</v>
      </c>
      <c r="C43" s="337">
        <f>B43/'- 3 -'!D43*100</f>
        <v>48.898922786257323</v>
      </c>
      <c r="D43" s="331">
        <f>B43/'- 6 -'!B43</f>
        <v>5972.1887781856321</v>
      </c>
      <c r="E43" s="331">
        <v>0</v>
      </c>
      <c r="F43" s="337">
        <f>E43/'- 3 -'!D43*100</f>
        <v>0</v>
      </c>
      <c r="G43" s="331" t="str">
        <f>IF('- 6 -'!C43=0,"",E43/'- 6 -'!C43)</f>
        <v/>
      </c>
      <c r="H43" s="331">
        <v>0</v>
      </c>
      <c r="I43" s="337">
        <f>H43/'- 3 -'!D43*100</f>
        <v>0</v>
      </c>
      <c r="J43" s="331" t="str">
        <f>IF('- 6 -'!D43=0,"",H43/'- 6 -'!D43)</f>
        <v/>
      </c>
    </row>
    <row r="44" spans="1:10" ht="14.1" customHeight="1">
      <c r="A44" s="26" t="s">
        <v>268</v>
      </c>
      <c r="B44" s="27">
        <v>4601416</v>
      </c>
      <c r="C44" s="79">
        <f>B44/'- 3 -'!D44*100</f>
        <v>47.174632368960239</v>
      </c>
      <c r="D44" s="27">
        <f>B44/'- 6 -'!B44</f>
        <v>6821.9659006671609</v>
      </c>
      <c r="E44" s="27">
        <v>377187</v>
      </c>
      <c r="F44" s="79">
        <f>E44/'- 3 -'!D44*100</f>
        <v>3.8669961723415152</v>
      </c>
      <c r="G44" s="27">
        <f>IF('- 6 -'!C44=0,"",E44/'- 6 -'!C44)</f>
        <v>9199.6829268292677</v>
      </c>
      <c r="H44" s="27">
        <v>0</v>
      </c>
      <c r="I44" s="79">
        <f>H44/'- 3 -'!D44*100</f>
        <v>0</v>
      </c>
      <c r="J44" s="27" t="str">
        <f>IF('- 6 -'!D44=0,"",H44/'- 6 -'!D44)</f>
        <v/>
      </c>
    </row>
    <row r="45" spans="1:10" ht="14.1" customHeight="1">
      <c r="A45" s="330" t="s">
        <v>269</v>
      </c>
      <c r="B45" s="331">
        <v>4263408</v>
      </c>
      <c r="C45" s="337">
        <f>B45/'- 3 -'!D45*100</f>
        <v>26.16437189300968</v>
      </c>
      <c r="D45" s="331">
        <f>B45/'- 6 -'!B45</f>
        <v>5954.480446927374</v>
      </c>
      <c r="E45" s="331">
        <v>0</v>
      </c>
      <c r="F45" s="337">
        <f>E45/'- 3 -'!D45*100</f>
        <v>0</v>
      </c>
      <c r="G45" s="331" t="str">
        <f>IF('- 6 -'!C45=0,"",E45/'- 6 -'!C45)</f>
        <v/>
      </c>
      <c r="H45" s="331">
        <v>0</v>
      </c>
      <c r="I45" s="337">
        <f>H45/'- 3 -'!D45*100</f>
        <v>0</v>
      </c>
      <c r="J45" s="331" t="str">
        <f>IF('- 6 -'!D45=0,"",H45/'- 6 -'!D45)</f>
        <v/>
      </c>
    </row>
    <row r="46" spans="1:10" ht="14.1" customHeight="1">
      <c r="A46" s="26" t="s">
        <v>270</v>
      </c>
      <c r="B46" s="27">
        <v>119674245</v>
      </c>
      <c r="C46" s="79">
        <f>B46/'- 3 -'!D46*100</f>
        <v>34.454641511998801</v>
      </c>
      <c r="D46" s="27">
        <f>B46/'- 6 -'!B46</f>
        <v>5266.2165730102215</v>
      </c>
      <c r="E46" s="27">
        <v>0</v>
      </c>
      <c r="F46" s="79">
        <f>E46/'- 3 -'!D46*100</f>
        <v>0</v>
      </c>
      <c r="G46" s="27" t="str">
        <f>IF('- 6 -'!C46=0,"",E46/'- 6 -'!C46)</f>
        <v/>
      </c>
      <c r="H46" s="27">
        <v>5505013</v>
      </c>
      <c r="I46" s="79">
        <f>H46/'- 3 -'!D46*100</f>
        <v>1.5849128560108574</v>
      </c>
      <c r="J46" s="27">
        <f>IF('- 6 -'!D46=0,"",H46/'- 6 -'!D46)</f>
        <v>4917.3854399285392</v>
      </c>
    </row>
    <row r="47" spans="1:10" ht="5.0999999999999996" customHeight="1">
      <c r="A47" s="28"/>
      <c r="B47" s="29"/>
      <c r="C47"/>
      <c r="D47" s="29"/>
      <c r="E47" s="29"/>
      <c r="F47"/>
      <c r="G47" s="29"/>
      <c r="H47" s="29"/>
      <c r="I47"/>
      <c r="J47"/>
    </row>
    <row r="48" spans="1:10" ht="14.1" customHeight="1">
      <c r="A48" s="332" t="s">
        <v>271</v>
      </c>
      <c r="B48" s="333">
        <f>SUM(B11:B46)</f>
        <v>692160718</v>
      </c>
      <c r="C48" s="340">
        <f>B48/'- 3 -'!D48*100</f>
        <v>34.626624961224053</v>
      </c>
      <c r="D48" s="333">
        <f>B48/'- 6 -'!B48</f>
        <v>5629.7134791464705</v>
      </c>
      <c r="E48" s="333">
        <f>SUM(E11:E46)</f>
        <v>34180859</v>
      </c>
      <c r="F48" s="340">
        <f>E48/'- 3 -'!D48*100</f>
        <v>1.7099609305558423</v>
      </c>
      <c r="G48" s="333">
        <f>E48/'- 6 -'!C48</f>
        <v>6656.4477117818888</v>
      </c>
      <c r="H48" s="333">
        <f>SUM(H11:H46)</f>
        <v>48398419</v>
      </c>
      <c r="I48" s="340">
        <f>H48/'- 3 -'!D48*100</f>
        <v>2.42122076541937</v>
      </c>
      <c r="J48" s="333">
        <f>H48/'- 6 -'!D48</f>
        <v>4819.2732418039805</v>
      </c>
    </row>
    <row r="49" spans="1:10" ht="5.0999999999999996" customHeight="1">
      <c r="A49" s="28" t="s">
        <v>17</v>
      </c>
      <c r="B49" s="29"/>
      <c r="C49"/>
      <c r="D49" s="29"/>
      <c r="E49" s="29"/>
      <c r="F49"/>
      <c r="I49"/>
      <c r="J49"/>
    </row>
    <row r="50" spans="1:10" ht="14.1" customHeight="1">
      <c r="A50" s="26" t="s">
        <v>272</v>
      </c>
      <c r="B50" s="27">
        <v>1632226</v>
      </c>
      <c r="C50" s="79">
        <f>B50/'- 3 -'!D50*100</f>
        <v>51.464890953365448</v>
      </c>
      <c r="D50" s="27">
        <f>B50/'- 6 -'!B50</f>
        <v>9773.8083832335324</v>
      </c>
      <c r="E50" s="27">
        <v>0</v>
      </c>
      <c r="F50" s="79">
        <f>E50/'- 3 -'!D50*100</f>
        <v>0</v>
      </c>
      <c r="G50" s="27" t="str">
        <f>IF('- 6 -'!C50=0,"",E50/'- 6 -'!C50)</f>
        <v/>
      </c>
      <c r="H50" s="27">
        <v>0</v>
      </c>
      <c r="I50" s="79">
        <f>H50/'- 3 -'!D50*100</f>
        <v>0</v>
      </c>
      <c r="J50" s="27" t="str">
        <f>IF('- 6 -'!D50=0,"",H50/'- 6 -'!D50)</f>
        <v/>
      </c>
    </row>
    <row r="51" spans="1:10" ht="14.1" customHeight="1">
      <c r="A51" s="330" t="s">
        <v>273</v>
      </c>
      <c r="B51" s="331">
        <v>106906</v>
      </c>
      <c r="C51" s="337">
        <f>B51/'- 3 -'!D51*100</f>
        <v>0.59111073536738845</v>
      </c>
      <c r="D51" s="331">
        <f>B51/'- 6 -'!B51</f>
        <v>1552.0615563298491</v>
      </c>
      <c r="E51" s="331">
        <v>0</v>
      </c>
      <c r="F51" s="337">
        <f>E51/'- 3 -'!D51*100</f>
        <v>0</v>
      </c>
      <c r="G51" s="331" t="str">
        <f>IF('- 6 -'!C51=0,"",E51/'- 6 -'!C51)</f>
        <v/>
      </c>
      <c r="H51" s="331">
        <v>0</v>
      </c>
      <c r="I51" s="337">
        <f>H51/'- 3 -'!D51*100</f>
        <v>0</v>
      </c>
      <c r="J51" s="331" t="str">
        <f>IF('- 6 -'!D51=0,"",H51/'- 6 -'!D51)</f>
        <v/>
      </c>
    </row>
    <row r="52" spans="1:10" ht="50.1" customHeight="1">
      <c r="A52" s="30"/>
      <c r="B52" s="30"/>
      <c r="C52" s="30"/>
      <c r="D52" s="30"/>
      <c r="E52" s="30"/>
      <c r="F52" s="30"/>
      <c r="G52" s="30"/>
      <c r="H52" s="126"/>
      <c r="I52" s="126"/>
      <c r="J52" s="126"/>
    </row>
    <row r="53" spans="1:10" ht="15" customHeight="1">
      <c r="A53" s="96" t="s">
        <v>630</v>
      </c>
      <c r="B53" s="96"/>
      <c r="C53" s="96"/>
      <c r="D53" s="96"/>
      <c r="E53" s="96"/>
      <c r="F53" s="96"/>
      <c r="G53" s="96"/>
      <c r="I53" s="96"/>
      <c r="J53" s="96"/>
    </row>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17.xml><?xml version="1.0" encoding="utf-8"?>
<worksheet xmlns="http://schemas.openxmlformats.org/spreadsheetml/2006/main" xmlns:r="http://schemas.openxmlformats.org/officeDocument/2006/relationships">
  <sheetPr codeName="Sheet15">
    <pageSetUpPr fitToPage="1"/>
  </sheetPr>
  <dimension ref="A1:J53"/>
  <sheetViews>
    <sheetView showGridLines="0" showZeros="0" workbookViewId="0"/>
  </sheetViews>
  <sheetFormatPr defaultColWidth="15.83203125" defaultRowHeight="12"/>
  <cols>
    <col min="1" max="1" width="31.83203125" style="1" customWidth="1"/>
    <col min="2" max="2" width="14.83203125" style="1" customWidth="1"/>
    <col min="3" max="3" width="7.83203125" style="1" customWidth="1"/>
    <col min="4" max="4" width="9.83203125" style="1" customWidth="1"/>
    <col min="5" max="5" width="10.83203125" style="1" customWidth="1"/>
    <col min="6" max="7" width="13.83203125" style="1" customWidth="1"/>
    <col min="8" max="8" width="15.83203125" style="1" customWidth="1"/>
    <col min="9" max="9" width="13.83203125" style="1" customWidth="1"/>
    <col min="10" max="16384" width="15.83203125" style="1"/>
  </cols>
  <sheetData>
    <row r="1" spans="1:9" ht="6.95" customHeight="1">
      <c r="A1" s="6"/>
      <c r="B1" s="100"/>
      <c r="C1" s="100"/>
      <c r="D1" s="100"/>
      <c r="E1" s="100"/>
      <c r="F1" s="100"/>
      <c r="G1" s="100"/>
      <c r="H1" s="100"/>
      <c r="I1" s="100"/>
    </row>
    <row r="2" spans="1:9" ht="15.95" customHeight="1">
      <c r="A2" s="152"/>
      <c r="B2" s="101" t="s">
        <v>492</v>
      </c>
      <c r="C2" s="102"/>
      <c r="D2" s="102"/>
      <c r="E2" s="102"/>
      <c r="F2" s="102"/>
      <c r="G2" s="102"/>
      <c r="H2" s="208"/>
      <c r="I2" s="153" t="s">
        <v>464</v>
      </c>
    </row>
    <row r="3" spans="1:9" ht="15.95" customHeight="1">
      <c r="A3" s="154"/>
      <c r="B3" s="83" t="str">
        <f>OPYEAR</f>
        <v>OPERATING FUND 2012/2013 ACTUAL</v>
      </c>
      <c r="C3" s="105"/>
      <c r="D3" s="105"/>
      <c r="E3" s="105"/>
      <c r="F3" s="105"/>
      <c r="G3" s="105"/>
      <c r="H3" s="209"/>
      <c r="I3" s="210"/>
    </row>
    <row r="4" spans="1:9" ht="15.95" customHeight="1">
      <c r="B4" s="100"/>
      <c r="C4" s="100"/>
      <c r="D4" s="100"/>
      <c r="E4" s="100"/>
      <c r="F4" s="100"/>
      <c r="G4" s="100"/>
      <c r="H4" s="100"/>
      <c r="I4" s="100"/>
    </row>
    <row r="5" spans="1:9" ht="15.95" customHeight="1">
      <c r="B5" s="211" t="s">
        <v>23</v>
      </c>
      <c r="C5" s="212"/>
      <c r="D5" s="212"/>
      <c r="E5" s="212"/>
      <c r="F5" s="212"/>
      <c r="G5" s="212"/>
      <c r="H5" s="212"/>
      <c r="I5" s="213"/>
    </row>
    <row r="6" spans="1:9" ht="15.95" customHeight="1">
      <c r="B6" s="383" t="s">
        <v>405</v>
      </c>
      <c r="C6" s="384"/>
      <c r="D6" s="384"/>
      <c r="E6" s="384"/>
      <c r="F6" s="384"/>
      <c r="G6" s="384"/>
      <c r="H6" s="384"/>
      <c r="I6" s="385"/>
    </row>
    <row r="7" spans="1:9" ht="15.95" customHeight="1">
      <c r="B7" s="201"/>
      <c r="C7" s="214"/>
      <c r="D7" s="214"/>
      <c r="E7" s="215" t="s">
        <v>179</v>
      </c>
      <c r="F7" s="216" t="s">
        <v>180</v>
      </c>
      <c r="G7" s="216"/>
      <c r="H7" s="216"/>
      <c r="I7" s="217"/>
    </row>
    <row r="8" spans="1:9" ht="15.95" customHeight="1">
      <c r="A8" s="75"/>
      <c r="B8" s="218"/>
      <c r="C8" s="218"/>
      <c r="D8" s="200" t="s">
        <v>74</v>
      </c>
      <c r="E8" s="219" t="s">
        <v>181</v>
      </c>
      <c r="F8" s="218"/>
      <c r="G8" s="220"/>
      <c r="H8" s="221" t="s">
        <v>83</v>
      </c>
      <c r="I8" s="218"/>
    </row>
    <row r="9" spans="1:9" ht="15.95" customHeight="1">
      <c r="A9" s="42" t="s">
        <v>94</v>
      </c>
      <c r="B9" s="112" t="s">
        <v>95</v>
      </c>
      <c r="C9" s="112" t="s">
        <v>96</v>
      </c>
      <c r="D9" s="112" t="s">
        <v>97</v>
      </c>
      <c r="E9" s="222" t="s">
        <v>101</v>
      </c>
      <c r="F9" s="112" t="s">
        <v>82</v>
      </c>
      <c r="G9" s="223" t="s">
        <v>46</v>
      </c>
      <c r="H9" s="112" t="s">
        <v>99</v>
      </c>
      <c r="I9" s="112" t="s">
        <v>58</v>
      </c>
    </row>
    <row r="10" spans="1:9" ht="5.0999999999999996" customHeight="1">
      <c r="A10" s="5"/>
      <c r="B10" s="96"/>
      <c r="C10" s="96"/>
      <c r="D10" s="96"/>
      <c r="E10" s="96"/>
      <c r="F10" s="96"/>
      <c r="G10" s="96"/>
      <c r="H10" s="96"/>
      <c r="I10" s="96"/>
    </row>
    <row r="11" spans="1:9" ht="14.1" customHeight="1">
      <c r="A11" s="386" t="s">
        <v>236</v>
      </c>
      <c r="B11" s="331">
        <v>0</v>
      </c>
      <c r="C11" s="337">
        <f>B11/'- 3 -'!D11*100</f>
        <v>0</v>
      </c>
      <c r="D11" s="387" t="str">
        <f>IF(E11=0,"",B11/E11)</f>
        <v/>
      </c>
      <c r="E11" s="388">
        <f>SUM('- 6 -'!E11:H11)</f>
        <v>0</v>
      </c>
      <c r="F11" s="337" t="str">
        <f>IF(E11=0,"",'- 6 -'!E11/E11*100)</f>
        <v/>
      </c>
      <c r="G11" s="337" t="str">
        <f>IF(E11=0,"",'- 6 -'!F11/E11*100)</f>
        <v/>
      </c>
      <c r="H11" s="337" t="str">
        <f>IF(E11=0,"",'- 6 -'!G11/E11*100)</f>
        <v/>
      </c>
      <c r="I11" s="337" t="str">
        <f>IF(E11=0,"",'- 6 -'!H11/E11*100)</f>
        <v/>
      </c>
    </row>
    <row r="12" spans="1:9" ht="14.1" customHeight="1">
      <c r="A12" s="26" t="s">
        <v>237</v>
      </c>
      <c r="B12" s="27">
        <v>0</v>
      </c>
      <c r="C12" s="79">
        <f>B12/'- 3 -'!D12*100</f>
        <v>0</v>
      </c>
      <c r="D12" s="224" t="str">
        <f t="shared" ref="D12:D46" si="0">IF(E12=0,"",B12/E12)</f>
        <v/>
      </c>
      <c r="E12" s="225">
        <f>SUM('- 6 -'!E12:H12)</f>
        <v>0</v>
      </c>
      <c r="F12" s="79" t="str">
        <f>IF(E12=0,"",'- 6 -'!E12/E12*100)</f>
        <v/>
      </c>
      <c r="G12" s="79" t="str">
        <f>IF(E12=0,"",'- 6 -'!F12/E12*100)</f>
        <v/>
      </c>
      <c r="H12" s="79" t="str">
        <f>IF(E12=0,"",'- 6 -'!G12/E12*100)</f>
        <v/>
      </c>
      <c r="I12" s="79" t="str">
        <f>IF(E12=0,"",'- 6 -'!H12/E12*100)</f>
        <v/>
      </c>
    </row>
    <row r="13" spans="1:9" ht="14.1" customHeight="1">
      <c r="A13" s="386" t="s">
        <v>238</v>
      </c>
      <c r="B13" s="331">
        <v>6326300</v>
      </c>
      <c r="C13" s="337">
        <f>B13/'- 3 -'!D13*100</f>
        <v>7.8652857557415938</v>
      </c>
      <c r="D13" s="387">
        <f t="shared" si="0"/>
        <v>4195.159151193634</v>
      </c>
      <c r="E13" s="388">
        <f>SUM('- 6 -'!E13:H13)</f>
        <v>1508</v>
      </c>
      <c r="F13" s="337">
        <f>IF(E13=0,"",'- 6 -'!E13/E13*100)</f>
        <v>75.9946949602122</v>
      </c>
      <c r="G13" s="337">
        <f>IF(E13=0,"",'- 6 -'!F13/E13*100)</f>
        <v>0</v>
      </c>
      <c r="H13" s="337">
        <f>IF(E13=0,"",'- 6 -'!G13/E13*100)</f>
        <v>24.005305039787796</v>
      </c>
      <c r="I13" s="337">
        <f>IF(E13=0,"",'- 6 -'!H13/E13*100)</f>
        <v>0</v>
      </c>
    </row>
    <row r="14" spans="1:9" ht="14.1" customHeight="1">
      <c r="A14" s="26" t="s">
        <v>656</v>
      </c>
      <c r="B14" s="27">
        <v>0</v>
      </c>
      <c r="C14" s="79">
        <f>B14/'- 3 -'!D14*100</f>
        <v>0</v>
      </c>
      <c r="D14" s="224" t="str">
        <f t="shared" si="0"/>
        <v/>
      </c>
      <c r="E14" s="225">
        <f>SUM('- 6 -'!E14:H14)</f>
        <v>0</v>
      </c>
      <c r="F14" s="79" t="str">
        <f>IF(E14=0,"",'- 6 -'!E14/E14*100)</f>
        <v/>
      </c>
      <c r="G14" s="79" t="str">
        <f>IF(E14=0,"",'- 6 -'!F14/E14*100)</f>
        <v/>
      </c>
      <c r="H14" s="79" t="str">
        <f>IF(E14=0,"",'- 6 -'!G14/E14*100)</f>
        <v/>
      </c>
      <c r="I14" s="79" t="str">
        <f>IF(E14=0,"",'- 6 -'!H14/E14*100)</f>
        <v/>
      </c>
    </row>
    <row r="15" spans="1:9" ht="14.1" customHeight="1">
      <c r="A15" s="386" t="s">
        <v>239</v>
      </c>
      <c r="B15" s="331">
        <v>0</v>
      </c>
      <c r="C15" s="337">
        <f>B15/'- 3 -'!D15*100</f>
        <v>0</v>
      </c>
      <c r="D15" s="387" t="str">
        <f t="shared" si="0"/>
        <v/>
      </c>
      <c r="E15" s="388">
        <f>SUM('- 6 -'!E15:H15)</f>
        <v>0</v>
      </c>
      <c r="F15" s="337" t="str">
        <f>IF(E15=0,"",'- 6 -'!E15/E15*100)</f>
        <v/>
      </c>
      <c r="G15" s="337" t="str">
        <f>IF(E15=0,"",'- 6 -'!F15/E15*100)</f>
        <v/>
      </c>
      <c r="H15" s="337" t="str">
        <f>IF(E15=0,"",'- 6 -'!G15/E15*100)</f>
        <v/>
      </c>
      <c r="I15" s="337" t="str">
        <f>IF(E15=0,"",'- 6 -'!H15/E15*100)</f>
        <v/>
      </c>
    </row>
    <row r="16" spans="1:9" ht="14.1" customHeight="1">
      <c r="A16" s="26" t="s">
        <v>240</v>
      </c>
      <c r="B16" s="27">
        <v>2204156</v>
      </c>
      <c r="C16" s="79">
        <f>B16/'- 3 -'!D16*100</f>
        <v>17.250338780031875</v>
      </c>
      <c r="D16" s="224">
        <f t="shared" si="0"/>
        <v>5601.4129606099114</v>
      </c>
      <c r="E16" s="225">
        <f>SUM('- 6 -'!E16:H16)</f>
        <v>393.5</v>
      </c>
      <c r="F16" s="79">
        <f>IF(E16=0,"",'- 6 -'!E16/E16*100)</f>
        <v>76.493011435832273</v>
      </c>
      <c r="G16" s="79">
        <f>IF(E16=0,"",'- 6 -'!F16/E16*100)</f>
        <v>0</v>
      </c>
      <c r="H16" s="79">
        <f>IF(E16=0,"",'- 6 -'!G16/E16*100)</f>
        <v>23.506988564167724</v>
      </c>
      <c r="I16" s="79">
        <f>IF(E16=0,"",'- 6 -'!H16/E16*100)</f>
        <v>0</v>
      </c>
    </row>
    <row r="17" spans="1:9" ht="14.1" customHeight="1">
      <c r="A17" s="386" t="s">
        <v>241</v>
      </c>
      <c r="B17" s="331">
        <v>0</v>
      </c>
      <c r="C17" s="337">
        <f>B17/'- 3 -'!D17*100</f>
        <v>0</v>
      </c>
      <c r="D17" s="387" t="str">
        <f t="shared" si="0"/>
        <v/>
      </c>
      <c r="E17" s="388">
        <f>SUM('- 6 -'!E17:H17)</f>
        <v>0</v>
      </c>
      <c r="F17" s="337" t="str">
        <f>IF(E17=0,"",'- 6 -'!E17/E17*100)</f>
        <v/>
      </c>
      <c r="G17" s="337" t="str">
        <f>IF(E17=0,"",'- 6 -'!F17/E17*100)</f>
        <v/>
      </c>
      <c r="H17" s="337" t="str">
        <f>IF(E17=0,"",'- 6 -'!G17/E17*100)</f>
        <v/>
      </c>
      <c r="I17" s="337" t="str">
        <f>IF(E17=0,"",'- 6 -'!H17/E17*100)</f>
        <v/>
      </c>
    </row>
    <row r="18" spans="1:9" ht="14.1" customHeight="1">
      <c r="A18" s="26" t="s">
        <v>242</v>
      </c>
      <c r="B18" s="27">
        <v>0</v>
      </c>
      <c r="C18" s="79">
        <f>B18/'- 3 -'!D18*100</f>
        <v>0</v>
      </c>
      <c r="D18" s="224" t="str">
        <f t="shared" si="0"/>
        <v/>
      </c>
      <c r="E18" s="225">
        <f>SUM('- 6 -'!E18:H18)</f>
        <v>0</v>
      </c>
      <c r="F18" s="79" t="str">
        <f>IF(E18=0,"",'- 6 -'!E18/E18*100)</f>
        <v/>
      </c>
      <c r="G18" s="79" t="str">
        <f>IF(E18=0,"",'- 6 -'!F18/E18*100)</f>
        <v/>
      </c>
      <c r="H18" s="79" t="str">
        <f>IF(E18=0,"",'- 6 -'!G18/E18*100)</f>
        <v/>
      </c>
      <c r="I18" s="79" t="str">
        <f>IF(E18=0,"",'- 6 -'!H18/E18*100)</f>
        <v/>
      </c>
    </row>
    <row r="19" spans="1:9" ht="14.1" customHeight="1">
      <c r="A19" s="386" t="s">
        <v>243</v>
      </c>
      <c r="B19" s="331">
        <v>0</v>
      </c>
      <c r="C19" s="337">
        <f>B19/'- 3 -'!D19*100</f>
        <v>0</v>
      </c>
      <c r="D19" s="387" t="str">
        <f t="shared" si="0"/>
        <v/>
      </c>
      <c r="E19" s="388">
        <f>SUM('- 6 -'!E19:H19)</f>
        <v>0</v>
      </c>
      <c r="F19" s="337" t="str">
        <f>IF(E19=0,"",'- 6 -'!E19/E19*100)</f>
        <v/>
      </c>
      <c r="G19" s="337" t="str">
        <f>IF(E19=0,"",'- 6 -'!F19/E19*100)</f>
        <v/>
      </c>
      <c r="H19" s="337" t="str">
        <f>IF(E19=0,"",'- 6 -'!G19/E19*100)</f>
        <v/>
      </c>
      <c r="I19" s="337" t="str">
        <f>IF(E19=0,"",'- 6 -'!H19/E19*100)</f>
        <v/>
      </c>
    </row>
    <row r="20" spans="1:9" ht="14.1" customHeight="1">
      <c r="A20" s="26" t="s">
        <v>244</v>
      </c>
      <c r="B20" s="27">
        <v>0</v>
      </c>
      <c r="C20" s="79">
        <f>B20/'- 3 -'!D20*100</f>
        <v>0</v>
      </c>
      <c r="D20" s="224" t="str">
        <f t="shared" si="0"/>
        <v/>
      </c>
      <c r="E20" s="225">
        <f>SUM('- 6 -'!E20:H20)</f>
        <v>0</v>
      </c>
      <c r="F20" s="79" t="str">
        <f>IF(E20=0,"",'- 6 -'!E20/E20*100)</f>
        <v/>
      </c>
      <c r="G20" s="79" t="str">
        <f>IF(E20=0,"",'- 6 -'!F20/E20*100)</f>
        <v/>
      </c>
      <c r="H20" s="79" t="str">
        <f>IF(E20=0,"",'- 6 -'!G20/E20*100)</f>
        <v/>
      </c>
      <c r="I20" s="79" t="str">
        <f>IF(E20=0,"",'- 6 -'!H20/E20*100)</f>
        <v/>
      </c>
    </row>
    <row r="21" spans="1:9" ht="14.1" customHeight="1">
      <c r="A21" s="386" t="s">
        <v>245</v>
      </c>
      <c r="B21" s="331">
        <v>1757479</v>
      </c>
      <c r="C21" s="337">
        <f>B21/'- 3 -'!D21*100</f>
        <v>5.3808489455338915</v>
      </c>
      <c r="D21" s="387">
        <f t="shared" si="0"/>
        <v>5366.348091603053</v>
      </c>
      <c r="E21" s="388">
        <f>SUM('- 6 -'!E21:H21)</f>
        <v>327.5</v>
      </c>
      <c r="F21" s="337">
        <f>IF(E21=0,"",'- 6 -'!E21/E21*100)</f>
        <v>66.870229007633583</v>
      </c>
      <c r="G21" s="337">
        <f>IF(E21=0,"",'- 6 -'!F21/E21*100)</f>
        <v>0</v>
      </c>
      <c r="H21" s="337">
        <f>IF(E21=0,"",'- 6 -'!G21/E21*100)</f>
        <v>33.129770992366417</v>
      </c>
      <c r="I21" s="337">
        <f>IF(E21=0,"",'- 6 -'!H21/E21*100)</f>
        <v>0</v>
      </c>
    </row>
    <row r="22" spans="1:9" ht="14.1" customHeight="1">
      <c r="A22" s="26" t="s">
        <v>246</v>
      </c>
      <c r="B22" s="27">
        <v>3699232</v>
      </c>
      <c r="C22" s="79">
        <f>B22/'- 3 -'!D22*100</f>
        <v>19.915499833697968</v>
      </c>
      <c r="D22" s="224">
        <f t="shared" si="0"/>
        <v>5307.3629842180771</v>
      </c>
      <c r="E22" s="225">
        <f>SUM('- 6 -'!E22:H22)</f>
        <v>697</v>
      </c>
      <c r="F22" s="79">
        <f>IF(E22=0,"",'- 6 -'!E22/E22*100)</f>
        <v>78.622668579626975</v>
      </c>
      <c r="G22" s="79">
        <f>IF(E22=0,"",'- 6 -'!F22/E22*100)</f>
        <v>0</v>
      </c>
      <c r="H22" s="79">
        <f>IF(E22=0,"",'- 6 -'!G22/E22*100)</f>
        <v>21.377331420373029</v>
      </c>
      <c r="I22" s="79">
        <f>IF(E22=0,"",'- 6 -'!H22/E22*100)</f>
        <v>0</v>
      </c>
    </row>
    <row r="23" spans="1:9" ht="14.1" customHeight="1">
      <c r="A23" s="386" t="s">
        <v>247</v>
      </c>
      <c r="B23" s="331">
        <v>0</v>
      </c>
      <c r="C23" s="337">
        <f>B23/'- 3 -'!D23*100</f>
        <v>0</v>
      </c>
      <c r="D23" s="387" t="str">
        <f t="shared" si="0"/>
        <v/>
      </c>
      <c r="E23" s="388">
        <f>SUM('- 6 -'!E23:H23)</f>
        <v>0</v>
      </c>
      <c r="F23" s="337" t="str">
        <f>IF(E23=0,"",'- 6 -'!E23/E23*100)</f>
        <v/>
      </c>
      <c r="G23" s="337" t="str">
        <f>IF(E23=0,"",'- 6 -'!F23/E23*100)</f>
        <v/>
      </c>
      <c r="H23" s="337" t="str">
        <f>IF(E23=0,"",'- 6 -'!G23/E23*100)</f>
        <v/>
      </c>
      <c r="I23" s="337" t="str">
        <f>IF(E23=0,"",'- 6 -'!H23/E23*100)</f>
        <v/>
      </c>
    </row>
    <row r="24" spans="1:9" ht="14.1" customHeight="1">
      <c r="A24" s="26" t="s">
        <v>248</v>
      </c>
      <c r="B24" s="27">
        <v>4225341</v>
      </c>
      <c r="C24" s="79">
        <f>B24/'- 3 -'!D24*100</f>
        <v>8.2738442984253258</v>
      </c>
      <c r="D24" s="224">
        <f t="shared" si="0"/>
        <v>6344.3558558558561</v>
      </c>
      <c r="E24" s="225">
        <f>SUM('- 6 -'!E24:H24)</f>
        <v>666</v>
      </c>
      <c r="F24" s="79">
        <f>IF(E24=0,"",'- 6 -'!E24/E24*100)</f>
        <v>76.951951951951941</v>
      </c>
      <c r="G24" s="79">
        <f>IF(E24=0,"",'- 6 -'!F24/E24*100)</f>
        <v>0</v>
      </c>
      <c r="H24" s="79">
        <f>IF(E24=0,"",'- 6 -'!G24/E24*100)</f>
        <v>14.114114114114114</v>
      </c>
      <c r="I24" s="79">
        <f>IF(E24=0,"",'- 6 -'!H24/E24*100)</f>
        <v>8.9339339339339343</v>
      </c>
    </row>
    <row r="25" spans="1:9" ht="14.1" customHeight="1">
      <c r="A25" s="386" t="s">
        <v>249</v>
      </c>
      <c r="B25" s="331">
        <v>837162</v>
      </c>
      <c r="C25" s="337">
        <f>B25/'- 3 -'!D25*100</f>
        <v>0.55885550276628004</v>
      </c>
      <c r="D25" s="387">
        <f t="shared" si="0"/>
        <v>5854.2797202797201</v>
      </c>
      <c r="E25" s="388">
        <f>SUM('- 6 -'!E25:H25)</f>
        <v>143</v>
      </c>
      <c r="F25" s="337">
        <f>IF(E25=0,"",'- 6 -'!E25/E25*100)</f>
        <v>0</v>
      </c>
      <c r="G25" s="337">
        <f>IF(E25=0,"",'- 6 -'!F25/E25*100)</f>
        <v>17.482517482517483</v>
      </c>
      <c r="H25" s="337">
        <f>IF(E25=0,"",'- 6 -'!G25/E25*100)</f>
        <v>82.51748251748252</v>
      </c>
      <c r="I25" s="337">
        <f>IF(E25=0,"",'- 6 -'!H25/E25*100)</f>
        <v>0</v>
      </c>
    </row>
    <row r="26" spans="1:9" ht="14.1" customHeight="1">
      <c r="A26" s="26" t="s">
        <v>250</v>
      </c>
      <c r="B26" s="27">
        <v>1754028</v>
      </c>
      <c r="C26" s="79">
        <f>B26/'- 3 -'!D26*100</f>
        <v>4.7052799453359277</v>
      </c>
      <c r="D26" s="224">
        <f t="shared" si="0"/>
        <v>5174.1238938053093</v>
      </c>
      <c r="E26" s="225">
        <f>SUM('- 6 -'!E26:H26)</f>
        <v>339</v>
      </c>
      <c r="F26" s="79">
        <f>IF(E26=0,"",'- 6 -'!E26/E26*100)</f>
        <v>70.206489675516224</v>
      </c>
      <c r="G26" s="79">
        <f>IF(E26=0,"",'- 6 -'!F26/E26*100)</f>
        <v>0</v>
      </c>
      <c r="H26" s="79">
        <f>IF(E26=0,"",'- 6 -'!G26/E26*100)</f>
        <v>10.32448377581121</v>
      </c>
      <c r="I26" s="79">
        <f>IF(E26=0,"",'- 6 -'!H26/E26*100)</f>
        <v>19.469026548672566</v>
      </c>
    </row>
    <row r="27" spans="1:9" ht="14.1" customHeight="1">
      <c r="A27" s="386" t="s">
        <v>251</v>
      </c>
      <c r="B27" s="331">
        <v>1911902</v>
      </c>
      <c r="C27" s="337">
        <f>B27/'- 3 -'!D27*100</f>
        <v>5.2436111331739257</v>
      </c>
      <c r="D27" s="387">
        <f t="shared" si="0"/>
        <v>5673.2997032640951</v>
      </c>
      <c r="E27" s="388">
        <f>SUM('- 6 -'!E27:H27)</f>
        <v>337</v>
      </c>
      <c r="F27" s="337">
        <f>IF(E27=0,"",'- 6 -'!E27/E27*100)</f>
        <v>31.750741839762615</v>
      </c>
      <c r="G27" s="337">
        <f>IF(E27=0,"",'- 6 -'!F27/E27*100)</f>
        <v>0</v>
      </c>
      <c r="H27" s="337">
        <f>IF(E27=0,"",'- 6 -'!G27/E27*100)</f>
        <v>68.249258160237389</v>
      </c>
      <c r="I27" s="337">
        <f>IF(E27=0,"",'- 6 -'!H27/E27*100)</f>
        <v>0</v>
      </c>
    </row>
    <row r="28" spans="1:9" ht="14.1" customHeight="1">
      <c r="A28" s="26" t="s">
        <v>252</v>
      </c>
      <c r="B28" s="27">
        <v>0</v>
      </c>
      <c r="C28" s="79">
        <f>B28/'- 3 -'!D28*100</f>
        <v>0</v>
      </c>
      <c r="D28" s="224" t="str">
        <f t="shared" si="0"/>
        <v/>
      </c>
      <c r="E28" s="225">
        <f>SUM('- 6 -'!E28:H28)</f>
        <v>0</v>
      </c>
      <c r="F28" s="79" t="str">
        <f>IF(E28=0,"",'- 6 -'!E28/E28*100)</f>
        <v/>
      </c>
      <c r="G28" s="79" t="str">
        <f>IF(E28=0,"",'- 6 -'!F28/E28*100)</f>
        <v/>
      </c>
      <c r="H28" s="79" t="str">
        <f>IF(E28=0,"",'- 6 -'!G28/E28*100)</f>
        <v/>
      </c>
      <c r="I28" s="79" t="str">
        <f>IF(E28=0,"",'- 6 -'!H28/E28*100)</f>
        <v/>
      </c>
    </row>
    <row r="29" spans="1:9" ht="14.1" customHeight="1">
      <c r="A29" s="386" t="s">
        <v>253</v>
      </c>
      <c r="B29" s="331">
        <v>18189917</v>
      </c>
      <c r="C29" s="337">
        <f>B29/'- 3 -'!D29*100</f>
        <v>13.173871402178664</v>
      </c>
      <c r="D29" s="387">
        <f t="shared" si="0"/>
        <v>5199.0502186526428</v>
      </c>
      <c r="E29" s="388">
        <f>SUM('- 6 -'!E29:H29)</f>
        <v>3498.7</v>
      </c>
      <c r="F29" s="337">
        <f>IF(E29=0,"",'- 6 -'!E29/E29*100)</f>
        <v>68.345385428873584</v>
      </c>
      <c r="G29" s="337">
        <f>IF(E29=0,"",'- 6 -'!F29/E29*100)</f>
        <v>0</v>
      </c>
      <c r="H29" s="337">
        <f>IF(E29=0,"",'- 6 -'!G29/E29*100)</f>
        <v>31.654614571126423</v>
      </c>
      <c r="I29" s="337">
        <f>IF(E29=0,"",'- 6 -'!H29/E29*100)</f>
        <v>0</v>
      </c>
    </row>
    <row r="30" spans="1:9" ht="14.1" customHeight="1">
      <c r="A30" s="26" t="s">
        <v>254</v>
      </c>
      <c r="B30" s="27">
        <v>0</v>
      </c>
      <c r="C30" s="79">
        <f>B30/'- 3 -'!D30*100</f>
        <v>0</v>
      </c>
      <c r="D30" s="224" t="str">
        <f t="shared" si="0"/>
        <v/>
      </c>
      <c r="E30" s="225">
        <f>SUM('- 6 -'!E30:H30)</f>
        <v>0</v>
      </c>
      <c r="F30" s="79" t="str">
        <f>IF(E30=0,"",'- 6 -'!E30/E30*100)</f>
        <v/>
      </c>
      <c r="G30" s="79" t="str">
        <f>IF(E30=0,"",'- 6 -'!F30/E30*100)</f>
        <v/>
      </c>
      <c r="H30" s="79" t="str">
        <f>IF(E30=0,"",'- 6 -'!G30/E30*100)</f>
        <v/>
      </c>
      <c r="I30" s="79" t="str">
        <f>IF(E30=0,"",'- 6 -'!H30/E30*100)</f>
        <v/>
      </c>
    </row>
    <row r="31" spans="1:9" ht="14.1" customHeight="1">
      <c r="A31" s="386" t="s">
        <v>255</v>
      </c>
      <c r="B31" s="331">
        <v>2864745</v>
      </c>
      <c r="C31" s="337">
        <f>B31/'- 3 -'!D31*100</f>
        <v>8.7771625659575161</v>
      </c>
      <c r="D31" s="387">
        <f t="shared" si="0"/>
        <v>4057.712464589235</v>
      </c>
      <c r="E31" s="388">
        <f>SUM('- 6 -'!E31:H31)</f>
        <v>706</v>
      </c>
      <c r="F31" s="337">
        <f>IF(E31=0,"",'- 6 -'!E31/E31*100)</f>
        <v>65.297450424929181</v>
      </c>
      <c r="G31" s="337">
        <f>IF(E31=0,"",'- 6 -'!F31/E31*100)</f>
        <v>0</v>
      </c>
      <c r="H31" s="337">
        <f>IF(E31=0,"",'- 6 -'!G31/E31*100)</f>
        <v>34.702549575070826</v>
      </c>
      <c r="I31" s="337">
        <f>IF(E31=0,"",'- 6 -'!H31/E31*100)</f>
        <v>0</v>
      </c>
    </row>
    <row r="32" spans="1:9" ht="14.1" customHeight="1">
      <c r="A32" s="26" t="s">
        <v>256</v>
      </c>
      <c r="B32" s="27">
        <v>1095709</v>
      </c>
      <c r="C32" s="79">
        <f>B32/'- 3 -'!D32*100</f>
        <v>4.4393735530980081</v>
      </c>
      <c r="D32" s="224">
        <f t="shared" si="0"/>
        <v>6681.1524390243903</v>
      </c>
      <c r="E32" s="225">
        <f>SUM('- 6 -'!E32:H32)</f>
        <v>164</v>
      </c>
      <c r="F32" s="79">
        <f>IF(E32=0,"",'- 6 -'!E32/E32*100)</f>
        <v>68.902439024390233</v>
      </c>
      <c r="G32" s="79">
        <f>IF(E32=0,"",'- 6 -'!F32/E32*100)</f>
        <v>0</v>
      </c>
      <c r="H32" s="79">
        <f>IF(E32=0,"",'- 6 -'!G32/E32*100)</f>
        <v>31.097560975609756</v>
      </c>
      <c r="I32" s="79">
        <f>IF(E32=0,"",'- 6 -'!H32/E32*100)</f>
        <v>0</v>
      </c>
    </row>
    <row r="33" spans="1:10" ht="14.1" customHeight="1">
      <c r="A33" s="386" t="s">
        <v>257</v>
      </c>
      <c r="B33" s="331">
        <v>1749478</v>
      </c>
      <c r="C33" s="337">
        <f>B33/'- 3 -'!D33*100</f>
        <v>6.9298138282797073</v>
      </c>
      <c r="D33" s="387">
        <f t="shared" si="0"/>
        <v>6043.1018998272884</v>
      </c>
      <c r="E33" s="388">
        <f>SUM('- 6 -'!E33:H33)</f>
        <v>289.5</v>
      </c>
      <c r="F33" s="337">
        <f>IF(E33=0,"",'- 6 -'!E33/E33*100)</f>
        <v>32.815198618307427</v>
      </c>
      <c r="G33" s="337">
        <f>IF(E33=0,"",'- 6 -'!F33/E33*100)</f>
        <v>44.559585492227974</v>
      </c>
      <c r="H33" s="337">
        <f>IF(E33=0,"",'- 6 -'!G33/E33*100)</f>
        <v>22.625215889464595</v>
      </c>
      <c r="I33" s="337">
        <f>IF(E33=0,"",'- 6 -'!H33/E33*100)</f>
        <v>0</v>
      </c>
    </row>
    <row r="34" spans="1:10" ht="14.1" customHeight="1">
      <c r="A34" s="26" t="s">
        <v>258</v>
      </c>
      <c r="B34" s="27">
        <v>902736</v>
      </c>
      <c r="C34" s="79">
        <f>B34/'- 3 -'!D34*100</f>
        <v>3.7273226421340691</v>
      </c>
      <c r="D34" s="224">
        <f t="shared" si="0"/>
        <v>6247.3079584775087</v>
      </c>
      <c r="E34" s="225">
        <f>SUM('- 6 -'!E34:H34)</f>
        <v>144.5</v>
      </c>
      <c r="F34" s="79">
        <f>IF(E34=0,"",'- 6 -'!E34/E34*100)</f>
        <v>32.871972318339097</v>
      </c>
      <c r="G34" s="79">
        <f>IF(E34=0,"",'- 6 -'!F34/E34*100)</f>
        <v>67.128027681660896</v>
      </c>
      <c r="H34" s="79">
        <f>IF(E34=0,"",'- 6 -'!G34/E34*100)</f>
        <v>0</v>
      </c>
      <c r="I34" s="79">
        <f>IF(E34=0,"",'- 6 -'!H34/E34*100)</f>
        <v>0</v>
      </c>
    </row>
    <row r="35" spans="1:10" ht="14.1" customHeight="1">
      <c r="A35" s="386" t="s">
        <v>259</v>
      </c>
      <c r="B35" s="331">
        <v>24770712</v>
      </c>
      <c r="C35" s="337">
        <f>B35/'- 3 -'!D35*100</f>
        <v>14.919190512689056</v>
      </c>
      <c r="D35" s="387">
        <f t="shared" si="0"/>
        <v>5208.307821698907</v>
      </c>
      <c r="E35" s="388">
        <f>SUM('- 6 -'!E35:H35)</f>
        <v>4756</v>
      </c>
      <c r="F35" s="337">
        <f>IF(E35=0,"",'- 6 -'!E35/E35*100)</f>
        <v>57.66400336417157</v>
      </c>
      <c r="G35" s="337">
        <f>IF(E35=0,"",'- 6 -'!F35/E35*100)</f>
        <v>0</v>
      </c>
      <c r="H35" s="337">
        <f>IF(E35=0,"",'- 6 -'!G35/E35*100)</f>
        <v>33.010933557611438</v>
      </c>
      <c r="I35" s="337">
        <f>IF(E35=0,"",'- 6 -'!H35/E35*100)</f>
        <v>9.3250630782169885</v>
      </c>
    </row>
    <row r="36" spans="1:10" ht="14.1" customHeight="1">
      <c r="A36" s="26" t="s">
        <v>260</v>
      </c>
      <c r="B36" s="27">
        <v>0</v>
      </c>
      <c r="C36" s="79">
        <f>B36/'- 3 -'!D36*100</f>
        <v>0</v>
      </c>
      <c r="D36" s="224" t="str">
        <f t="shared" si="0"/>
        <v/>
      </c>
      <c r="E36" s="225">
        <f>SUM('- 6 -'!E36:H36)</f>
        <v>0</v>
      </c>
      <c r="F36" s="79" t="str">
        <f>IF(E36=0,"",'- 6 -'!E36/E36*100)</f>
        <v/>
      </c>
      <c r="G36" s="79" t="str">
        <f>IF(E36=0,"",'- 6 -'!F36/E36*100)</f>
        <v/>
      </c>
      <c r="H36" s="79" t="str">
        <f>IF(E36=0,"",'- 6 -'!G36/E36*100)</f>
        <v/>
      </c>
      <c r="I36" s="79" t="str">
        <f>IF(E36=0,"",'- 6 -'!H36/E36*100)</f>
        <v/>
      </c>
    </row>
    <row r="37" spans="1:10" ht="14.1" customHeight="1">
      <c r="A37" s="386" t="s">
        <v>261</v>
      </c>
      <c r="B37" s="331">
        <v>6115433</v>
      </c>
      <c r="C37" s="337">
        <f>B37/'- 3 -'!D37*100</f>
        <v>15.443765704837778</v>
      </c>
      <c r="D37" s="387">
        <f t="shared" si="0"/>
        <v>5226.8658119658121</v>
      </c>
      <c r="E37" s="388">
        <f>SUM('- 6 -'!E37:H37)</f>
        <v>1170</v>
      </c>
      <c r="F37" s="337">
        <f>IF(E37=0,"",'- 6 -'!E37/E37*100)</f>
        <v>61.495726495726501</v>
      </c>
      <c r="G37" s="337">
        <f>IF(E37=0,"",'- 6 -'!F37/E37*100)</f>
        <v>0</v>
      </c>
      <c r="H37" s="337">
        <f>IF(E37=0,"",'- 6 -'!G37/E37*100)</f>
        <v>38.504273504273506</v>
      </c>
      <c r="I37" s="337">
        <f>IF(E37=0,"",'- 6 -'!H37/E37*100)</f>
        <v>0</v>
      </c>
    </row>
    <row r="38" spans="1:10" ht="14.1" customHeight="1">
      <c r="A38" s="26" t="s">
        <v>262</v>
      </c>
      <c r="B38" s="27">
        <v>21878552</v>
      </c>
      <c r="C38" s="79">
        <f>B38/'- 3 -'!D38*100</f>
        <v>19.883975323480431</v>
      </c>
      <c r="D38" s="224">
        <f t="shared" si="0"/>
        <v>5086.3793183614644</v>
      </c>
      <c r="E38" s="225">
        <f>SUM('- 6 -'!E38:H38)</f>
        <v>4301.3999999999996</v>
      </c>
      <c r="F38" s="79">
        <f>IF(E38=0,"",'- 6 -'!E38/E38*100)</f>
        <v>71.23029711256801</v>
      </c>
      <c r="G38" s="79">
        <f>IF(E38=0,"",'- 6 -'!F38/E38*100)</f>
        <v>0</v>
      </c>
      <c r="H38" s="79">
        <f>IF(E38=0,"",'- 6 -'!G38/E38*100)</f>
        <v>25.782303436090576</v>
      </c>
      <c r="I38" s="79">
        <f>IF(E38=0,"",'- 6 -'!H38/E38*100)</f>
        <v>2.9873994513414237</v>
      </c>
    </row>
    <row r="39" spans="1:10" ht="14.1" customHeight="1">
      <c r="A39" s="386" t="s">
        <v>263</v>
      </c>
      <c r="B39" s="331">
        <v>0</v>
      </c>
      <c r="C39" s="337">
        <f>B39/'- 3 -'!D39*100</f>
        <v>0</v>
      </c>
      <c r="D39" s="387" t="str">
        <f t="shared" si="0"/>
        <v/>
      </c>
      <c r="E39" s="388">
        <f>SUM('- 6 -'!E39:H39)</f>
        <v>0</v>
      </c>
      <c r="F39" s="337" t="str">
        <f>IF(E39=0,"",'- 6 -'!E39/E39*100)</f>
        <v/>
      </c>
      <c r="G39" s="337" t="str">
        <f>IF(E39=0,"",'- 6 -'!F39/E39*100)</f>
        <v/>
      </c>
      <c r="H39" s="337" t="str">
        <f>IF(E39=0,"",'- 6 -'!G39/E39*100)</f>
        <v/>
      </c>
      <c r="I39" s="337" t="str">
        <f>IF(E39=0,"",'- 6 -'!H39/E39*100)</f>
        <v/>
      </c>
    </row>
    <row r="40" spans="1:10" ht="14.1" customHeight="1">
      <c r="A40" s="26" t="s">
        <v>264</v>
      </c>
      <c r="B40" s="27">
        <v>7922271</v>
      </c>
      <c r="C40" s="79">
        <f>B40/'- 3 -'!D40*100</f>
        <v>8.5382791522143098</v>
      </c>
      <c r="D40" s="224">
        <f t="shared" si="0"/>
        <v>5129.3434768533507</v>
      </c>
      <c r="E40" s="225">
        <f>SUM('- 6 -'!E40:H40)</f>
        <v>1544.5</v>
      </c>
      <c r="F40" s="79">
        <f>IF(E40=0,"",'- 6 -'!E40/E40*100)</f>
        <v>82.324376820977662</v>
      </c>
      <c r="G40" s="79">
        <f>IF(E40=0,"",'- 6 -'!F40/E40*100)</f>
        <v>0</v>
      </c>
      <c r="H40" s="79">
        <f>IF(E40=0,"",'- 6 -'!G40/E40*100)</f>
        <v>17.675623179022338</v>
      </c>
      <c r="I40" s="79">
        <f>IF(E40=0,"",'- 6 -'!H40/E40*100)</f>
        <v>0</v>
      </c>
    </row>
    <row r="41" spans="1:10" ht="14.1" customHeight="1">
      <c r="A41" s="386" t="s">
        <v>265</v>
      </c>
      <c r="B41" s="331">
        <v>13390734</v>
      </c>
      <c r="C41" s="337">
        <f>B41/'- 3 -'!D41*100</f>
        <v>23.126499178622517</v>
      </c>
      <c r="D41" s="387">
        <f t="shared" si="0"/>
        <v>5690.9196770080744</v>
      </c>
      <c r="E41" s="388">
        <f>SUM('- 6 -'!E41:H41)</f>
        <v>2353</v>
      </c>
      <c r="F41" s="337">
        <f>IF(E41=0,"",'- 6 -'!E41/E41*100)</f>
        <v>70.271993200169987</v>
      </c>
      <c r="G41" s="337">
        <f>IF(E41=0,"",'- 6 -'!F41/E41*100)</f>
        <v>0</v>
      </c>
      <c r="H41" s="337">
        <f>IF(E41=0,"",'- 6 -'!G41/E41*100)</f>
        <v>26.816829579260521</v>
      </c>
      <c r="I41" s="337">
        <f>IF(E41=0,"",'- 6 -'!H41/E41*100)</f>
        <v>2.9111772205694857</v>
      </c>
    </row>
    <row r="42" spans="1:10" ht="14.1" customHeight="1">
      <c r="A42" s="26" t="s">
        <v>266</v>
      </c>
      <c r="B42" s="27">
        <v>1386728</v>
      </c>
      <c r="C42" s="79">
        <f>B42/'- 3 -'!D42*100</f>
        <v>7.0468121555588832</v>
      </c>
      <c r="D42" s="224">
        <f t="shared" si="0"/>
        <v>6068.8315098468274</v>
      </c>
      <c r="E42" s="225">
        <f>SUM('- 6 -'!E42:H42)</f>
        <v>228.5</v>
      </c>
      <c r="F42" s="79">
        <f>IF(E42=0,"",'- 6 -'!E42/E42*100)</f>
        <v>69.146608315098462</v>
      </c>
      <c r="G42" s="79">
        <f>IF(E42=0,"",'- 6 -'!F42/E42*100)</f>
        <v>0</v>
      </c>
      <c r="H42" s="79">
        <f>IF(E42=0,"",'- 6 -'!G42/E42*100)</f>
        <v>30.853391684901531</v>
      </c>
      <c r="I42" s="79">
        <f>IF(E42=0,"",'- 6 -'!H42/E42*100)</f>
        <v>0</v>
      </c>
    </row>
    <row r="43" spans="1:10" ht="14.1" customHeight="1">
      <c r="A43" s="386" t="s">
        <v>267</v>
      </c>
      <c r="B43" s="331">
        <v>0</v>
      </c>
      <c r="C43" s="337">
        <f>B43/'- 3 -'!D43*100</f>
        <v>0</v>
      </c>
      <c r="D43" s="387" t="str">
        <f t="shared" si="0"/>
        <v/>
      </c>
      <c r="E43" s="388">
        <f>SUM('- 6 -'!E43:H43)</f>
        <v>0</v>
      </c>
      <c r="F43" s="337" t="str">
        <f>IF(E43=0,"",'- 6 -'!E43/E43*100)</f>
        <v/>
      </c>
      <c r="G43" s="337" t="str">
        <f>IF(E43=0,"",'- 6 -'!F43/E43*100)</f>
        <v/>
      </c>
      <c r="H43" s="337" t="str">
        <f>IF(E43=0,"",'- 6 -'!G43/E43*100)</f>
        <v/>
      </c>
      <c r="I43" s="337" t="str">
        <f>IF(E43=0,"",'- 6 -'!H43/E43*100)</f>
        <v/>
      </c>
    </row>
    <row r="44" spans="1:10" ht="14.1" customHeight="1">
      <c r="A44" s="26" t="s">
        <v>268</v>
      </c>
      <c r="B44" s="27">
        <v>0</v>
      </c>
      <c r="C44" s="79">
        <f>B44/'- 3 -'!D44*100</f>
        <v>0</v>
      </c>
      <c r="D44" s="224" t="str">
        <f t="shared" si="0"/>
        <v/>
      </c>
      <c r="E44" s="225">
        <f>SUM('- 6 -'!E44:H44)</f>
        <v>0</v>
      </c>
      <c r="F44" s="79" t="str">
        <f>IF(E44=0,"",'- 6 -'!E44/E44*100)</f>
        <v/>
      </c>
      <c r="G44" s="79" t="str">
        <f>IF(E44=0,"",'- 6 -'!F44/E44*100)</f>
        <v/>
      </c>
      <c r="H44" s="79" t="str">
        <f>IF(E44=0,"",'- 6 -'!G44/E44*100)</f>
        <v/>
      </c>
      <c r="I44" s="79" t="str">
        <f>IF(E44=0,"",'- 6 -'!H44/E44*100)</f>
        <v/>
      </c>
    </row>
    <row r="45" spans="1:10" ht="14.1" customHeight="1">
      <c r="A45" s="386" t="s">
        <v>269</v>
      </c>
      <c r="B45" s="331">
        <v>4003056</v>
      </c>
      <c r="C45" s="337">
        <f>B45/'- 3 -'!D45*100</f>
        <v>24.566601623054552</v>
      </c>
      <c r="D45" s="387">
        <f t="shared" si="0"/>
        <v>4638.5353418308223</v>
      </c>
      <c r="E45" s="388">
        <f>SUM('- 6 -'!E45:H45)</f>
        <v>863</v>
      </c>
      <c r="F45" s="337">
        <f>IF(E45=0,"",'- 6 -'!E45/E45*100)</f>
        <v>77.752027809965242</v>
      </c>
      <c r="G45" s="337">
        <f>IF(E45=0,"",'- 6 -'!F45/E45*100)</f>
        <v>0</v>
      </c>
      <c r="H45" s="337">
        <f>IF(E45=0,"",'- 6 -'!G45/E45*100)</f>
        <v>22.247972190034762</v>
      </c>
      <c r="I45" s="337">
        <f>IF(E45=0,"",'- 6 -'!H45/E45*100)</f>
        <v>0</v>
      </c>
    </row>
    <row r="46" spans="1:10" ht="14.1" customHeight="1">
      <c r="A46" s="26" t="s">
        <v>270</v>
      </c>
      <c r="B46" s="27">
        <v>26234388</v>
      </c>
      <c r="C46" s="79">
        <f>B46/'- 3 -'!D46*100</f>
        <v>7.5529737733184223</v>
      </c>
      <c r="D46" s="224">
        <f t="shared" si="0"/>
        <v>4635.0508833922258</v>
      </c>
      <c r="E46" s="225">
        <f>SUM('- 6 -'!E46:H46)</f>
        <v>5660</v>
      </c>
      <c r="F46" s="79">
        <f>IF(E46=0,"",'- 6 -'!E46/E46*100)</f>
        <v>57.402826855123678</v>
      </c>
      <c r="G46" s="79">
        <f>IF(E46=0,"",'- 6 -'!F46/E46*100)</f>
        <v>0</v>
      </c>
      <c r="H46" s="79">
        <f>IF(E46=0,"",'- 6 -'!G46/E46*100)</f>
        <v>39.664310954063602</v>
      </c>
      <c r="I46" s="79">
        <f>IF(E46=0,"",'- 6 -'!H46/E46*100)</f>
        <v>2.9328621908127208</v>
      </c>
    </row>
    <row r="47" spans="1:10" ht="5.0999999999999996" customHeight="1">
      <c r="A47"/>
      <c r="B47" s="29"/>
      <c r="C47"/>
      <c r="D47"/>
      <c r="E47"/>
      <c r="F47"/>
      <c r="G47"/>
      <c r="H47"/>
      <c r="I47"/>
      <c r="J47"/>
    </row>
    <row r="48" spans="1:10" ht="14.1" customHeight="1">
      <c r="A48" s="332" t="s">
        <v>271</v>
      </c>
      <c r="B48" s="333">
        <f>SUM(B11:B46)</f>
        <v>153220059</v>
      </c>
      <c r="C48" s="340">
        <f>B48/'- 3 -'!D48*100</f>
        <v>7.6651179148967863</v>
      </c>
      <c r="D48" s="389">
        <f>B48/E48</f>
        <v>5092.0421999262217</v>
      </c>
      <c r="E48" s="390">
        <f>SUM(E11:E46)</f>
        <v>30090.1</v>
      </c>
      <c r="F48" s="340">
        <f>IF(E48=0,"",'- 6 -'!E48/E48*100)</f>
        <v>65.496957471061918</v>
      </c>
      <c r="G48" s="340">
        <f>IF(E48=0,"",'- 6 -'!F48/E48*100)</f>
        <v>0.83416140192289157</v>
      </c>
      <c r="H48" s="340">
        <f>IF(E48=0,"",'- 6 -'!G48/E48*100)</f>
        <v>30.571516877644143</v>
      </c>
      <c r="I48" s="340">
        <f>IF(E48=0,"",'- 6 -'!H48/E48*100)</f>
        <v>3.0973642493710556</v>
      </c>
    </row>
    <row r="49" spans="1:9" ht="5.0999999999999996" customHeight="1">
      <c r="A49" s="28" t="s">
        <v>17</v>
      </c>
      <c r="B49" s="29"/>
      <c r="C49"/>
      <c r="D49" s="29"/>
      <c r="E49" s="226"/>
      <c r="F49"/>
      <c r="G49"/>
      <c r="H49"/>
      <c r="I49"/>
    </row>
    <row r="50" spans="1:9" ht="14.1" customHeight="1">
      <c r="A50" s="26" t="s">
        <v>272</v>
      </c>
      <c r="B50" s="27">
        <v>0</v>
      </c>
      <c r="C50" s="79">
        <f>B50/'- 3 -'!D50*100</f>
        <v>0</v>
      </c>
      <c r="D50" s="224" t="str">
        <f>IF(E50=0,"",B50/E50)</f>
        <v/>
      </c>
      <c r="E50" s="225">
        <f>SUM('- 6 -'!E50:H50)</f>
        <v>0</v>
      </c>
      <c r="F50" s="79" t="str">
        <f>IF(E50=0,"",'- 6 -'!E50/E50*100)</f>
        <v/>
      </c>
      <c r="G50" s="79" t="str">
        <f>IF(E50=0,"",'- 6 -'!F50/E50*100)</f>
        <v/>
      </c>
      <c r="H50" s="79" t="str">
        <f>IF(E50=0,"",'- 6 -'!G50/E50*100)</f>
        <v/>
      </c>
      <c r="I50" s="79" t="str">
        <f>IF(E50=0,"",'- 6 -'!H50/E50*100)</f>
        <v/>
      </c>
    </row>
    <row r="51" spans="1:9" ht="14.1" customHeight="1">
      <c r="A51" s="386" t="s">
        <v>273</v>
      </c>
      <c r="B51" s="331">
        <v>0</v>
      </c>
      <c r="C51" s="337">
        <f>B51/'- 3 -'!D51*100</f>
        <v>0</v>
      </c>
      <c r="D51" s="387" t="str">
        <f>IF(E51=0,"",B51/E51)</f>
        <v/>
      </c>
      <c r="E51" s="388">
        <f>SUM('- 6 -'!E51:H51)</f>
        <v>0</v>
      </c>
      <c r="F51" s="337" t="str">
        <f>IF(E51=0,"",'- 6 -'!E51/E51*100)</f>
        <v/>
      </c>
      <c r="G51" s="337" t="str">
        <f>IF(E51=0,"",'- 6 -'!F51/E51*100)</f>
        <v/>
      </c>
      <c r="H51" s="337" t="str">
        <f>IF(E51=0,"",'- 6 -'!G51/E51*100)</f>
        <v/>
      </c>
      <c r="I51" s="337" t="str">
        <f>IF(E51=0,"",'- 6 -'!H51/E51*100)</f>
        <v/>
      </c>
    </row>
    <row r="52" spans="1:9" ht="50.1" customHeight="1">
      <c r="A52" s="30"/>
      <c r="B52" s="126"/>
      <c r="C52" s="126"/>
      <c r="D52" s="126"/>
      <c r="E52" s="126"/>
      <c r="F52" s="126"/>
      <c r="G52" s="126"/>
      <c r="H52" s="126"/>
      <c r="I52" s="126"/>
    </row>
    <row r="53" spans="1:9" ht="15" customHeight="1">
      <c r="A53" s="96" t="s">
        <v>631</v>
      </c>
      <c r="C53" s="96"/>
      <c r="D53" s="96"/>
      <c r="E53" s="96"/>
      <c r="F53" s="96"/>
      <c r="G53" s="96"/>
      <c r="H53" s="96"/>
      <c r="I53" s="96"/>
    </row>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18.xml><?xml version="1.0" encoding="utf-8"?>
<worksheet xmlns="http://schemas.openxmlformats.org/spreadsheetml/2006/main" xmlns:r="http://schemas.openxmlformats.org/officeDocument/2006/relationships">
  <sheetPr codeName="Sheet16">
    <pageSetUpPr fitToPage="1"/>
  </sheetPr>
  <dimension ref="A1:J55"/>
  <sheetViews>
    <sheetView showGridLines="0" showZeros="0" workbookViewId="0"/>
  </sheetViews>
  <sheetFormatPr defaultColWidth="15.83203125" defaultRowHeight="12"/>
  <cols>
    <col min="1" max="1" width="32.83203125" style="1" customWidth="1"/>
    <col min="2" max="2" width="15.83203125" style="1" customWidth="1"/>
    <col min="3" max="3" width="7.83203125" style="1" customWidth="1"/>
    <col min="4" max="4" width="9.83203125" style="1" customWidth="1"/>
    <col min="5" max="5" width="14.83203125" style="1" customWidth="1"/>
    <col min="6" max="6" width="7.83203125" style="1" customWidth="1"/>
    <col min="7" max="7" width="9.83203125" style="1" customWidth="1"/>
    <col min="8" max="8" width="15.83203125" style="1"/>
    <col min="9" max="9" width="7.83203125" style="1" customWidth="1"/>
    <col min="10" max="10" width="9.83203125" style="1" customWidth="1"/>
    <col min="11" max="16384" width="15.83203125" style="1"/>
  </cols>
  <sheetData>
    <row r="1" spans="1:10" ht="6.95" customHeight="1">
      <c r="A1" s="6"/>
      <c r="B1" s="7"/>
      <c r="C1" s="7"/>
      <c r="D1" s="7"/>
      <c r="E1" s="7"/>
      <c r="F1" s="7"/>
      <c r="G1" s="7"/>
      <c r="H1" s="7"/>
      <c r="I1" s="7"/>
      <c r="J1" s="7"/>
    </row>
    <row r="2" spans="1:10" ht="15.95" customHeight="1">
      <c r="A2" s="152"/>
      <c r="B2" s="8" t="s">
        <v>492</v>
      </c>
      <c r="C2" s="9"/>
      <c r="D2" s="9"/>
      <c r="E2" s="9"/>
      <c r="F2" s="9"/>
      <c r="G2" s="82"/>
      <c r="H2" s="82"/>
      <c r="I2" s="207"/>
      <c r="J2" s="153" t="s">
        <v>463</v>
      </c>
    </row>
    <row r="3" spans="1:10" ht="15.95" customHeight="1">
      <c r="A3" s="154"/>
      <c r="B3" s="10" t="str">
        <f>OPYEAR</f>
        <v>OPERATING FUND 2012/2013 ACTUAL</v>
      </c>
      <c r="C3" s="11"/>
      <c r="D3" s="11"/>
      <c r="E3" s="11"/>
      <c r="F3" s="11"/>
      <c r="G3" s="84"/>
      <c r="H3" s="84"/>
      <c r="I3" s="84"/>
      <c r="J3" s="74"/>
    </row>
    <row r="4" spans="1:10" ht="15.95" customHeight="1">
      <c r="B4" s="7"/>
      <c r="C4" s="7"/>
      <c r="D4" s="74"/>
      <c r="E4" s="7"/>
      <c r="F4" s="7"/>
      <c r="G4" s="7"/>
      <c r="H4" s="7"/>
      <c r="I4" s="7"/>
      <c r="J4" s="7"/>
    </row>
    <row r="5" spans="1:10" ht="15.95" customHeight="1">
      <c r="B5" s="513" t="s">
        <v>441</v>
      </c>
      <c r="C5" s="186"/>
      <c r="D5" s="187"/>
      <c r="E5" s="187"/>
      <c r="F5" s="187"/>
      <c r="G5" s="187"/>
      <c r="H5" s="187"/>
      <c r="I5" s="187"/>
      <c r="J5" s="188"/>
    </row>
    <row r="6" spans="1:10" ht="15.95" customHeight="1">
      <c r="B6" s="357" t="s">
        <v>24</v>
      </c>
      <c r="C6" s="360"/>
      <c r="D6" s="358"/>
      <c r="E6" s="367"/>
      <c r="F6" s="368"/>
      <c r="G6" s="369"/>
      <c r="H6" s="357" t="s">
        <v>25</v>
      </c>
      <c r="I6" s="360"/>
      <c r="J6" s="358"/>
    </row>
    <row r="7" spans="1:10" ht="15.95" customHeight="1">
      <c r="B7" s="344" t="s">
        <v>48</v>
      </c>
      <c r="C7" s="345"/>
      <c r="D7" s="346"/>
      <c r="E7" s="344" t="s">
        <v>406</v>
      </c>
      <c r="F7" s="345"/>
      <c r="G7" s="346"/>
      <c r="H7" s="344" t="s">
        <v>49</v>
      </c>
      <c r="I7" s="345"/>
      <c r="J7" s="346"/>
    </row>
    <row r="8" spans="1:10" ht="15.95" customHeight="1">
      <c r="A8" s="75"/>
      <c r="B8" s="155"/>
      <c r="C8" s="156"/>
      <c r="D8" s="157" t="s">
        <v>74</v>
      </c>
      <c r="E8" s="155"/>
      <c r="F8" s="157"/>
      <c r="G8" s="157" t="s">
        <v>74</v>
      </c>
      <c r="H8" s="155"/>
      <c r="I8" s="157"/>
      <c r="J8" s="157" t="s">
        <v>74</v>
      </c>
    </row>
    <row r="9" spans="1:10" ht="15.95" customHeight="1">
      <c r="A9" s="42" t="s">
        <v>94</v>
      </c>
      <c r="B9" s="87" t="s">
        <v>95</v>
      </c>
      <c r="C9" s="87" t="s">
        <v>96</v>
      </c>
      <c r="D9" s="87" t="s">
        <v>97</v>
      </c>
      <c r="E9" s="87" t="s">
        <v>95</v>
      </c>
      <c r="F9" s="87" t="s">
        <v>96</v>
      </c>
      <c r="G9" s="87" t="s">
        <v>97</v>
      </c>
      <c r="H9" s="87" t="s">
        <v>95</v>
      </c>
      <c r="I9" s="87" t="s">
        <v>96</v>
      </c>
      <c r="J9" s="87" t="s">
        <v>97</v>
      </c>
    </row>
    <row r="10" spans="1:10" ht="5.0999999999999996" customHeight="1">
      <c r="A10" s="5"/>
    </row>
    <row r="11" spans="1:10" ht="14.1" customHeight="1">
      <c r="A11" s="330" t="s">
        <v>236</v>
      </c>
      <c r="B11" s="331">
        <v>131441</v>
      </c>
      <c r="C11" s="337">
        <f>B11/'- 3 -'!$D11*100</f>
        <v>0.84004450974949751</v>
      </c>
      <c r="D11" s="331">
        <f>B11/'- 7 -'!$E11</f>
        <v>87.539793539793536</v>
      </c>
      <c r="E11" s="331">
        <v>0</v>
      </c>
      <c r="F11" s="337">
        <f>E11/'- 3 -'!$D11*100</f>
        <v>0</v>
      </c>
      <c r="G11" s="331">
        <f>E11/'- 7 -'!$E11</f>
        <v>0</v>
      </c>
      <c r="H11" s="331">
        <v>106644</v>
      </c>
      <c r="I11" s="337">
        <f>H11/'- 3 -'!$D11*100</f>
        <v>0.68156592461808274</v>
      </c>
      <c r="J11" s="331">
        <f>H11/'- 7 -'!$E11</f>
        <v>71.024975024975021</v>
      </c>
    </row>
    <row r="12" spans="1:10" ht="14.1" customHeight="1">
      <c r="A12" s="26" t="s">
        <v>237</v>
      </c>
      <c r="B12" s="27">
        <v>274157</v>
      </c>
      <c r="C12" s="79">
        <f>B12/'- 3 -'!$D12*100</f>
        <v>0.92841190622056669</v>
      </c>
      <c r="D12" s="27">
        <f>B12/'- 7 -'!$E12</f>
        <v>119.88674129788349</v>
      </c>
      <c r="E12" s="27">
        <v>0</v>
      </c>
      <c r="F12" s="79">
        <f>E12/'- 3 -'!$D12*100</f>
        <v>0</v>
      </c>
      <c r="G12" s="27">
        <f>E12/'- 7 -'!$E12</f>
        <v>0</v>
      </c>
      <c r="H12" s="27">
        <v>506481</v>
      </c>
      <c r="I12" s="79">
        <f>H12/'- 3 -'!$D12*100</f>
        <v>1.7151595278417069</v>
      </c>
      <c r="J12" s="27">
        <f>H12/'- 7 -'!$E12</f>
        <v>221.48023438866537</v>
      </c>
    </row>
    <row r="13" spans="1:10" ht="14.1" customHeight="1">
      <c r="A13" s="330" t="s">
        <v>238</v>
      </c>
      <c r="B13" s="331">
        <v>121576</v>
      </c>
      <c r="C13" s="337">
        <f>B13/'- 3 -'!$D13*100</f>
        <v>0.15115153897855621</v>
      </c>
      <c r="D13" s="331">
        <f>B13/'- 7 -'!$E13</f>
        <v>15.490348474230744</v>
      </c>
      <c r="E13" s="331">
        <v>0</v>
      </c>
      <c r="F13" s="337">
        <f>E13/'- 3 -'!$D13*100</f>
        <v>0</v>
      </c>
      <c r="G13" s="331">
        <f>E13/'- 7 -'!$E13</f>
        <v>0</v>
      </c>
      <c r="H13" s="331">
        <v>1861475</v>
      </c>
      <c r="I13" s="337">
        <f>H13/'- 3 -'!$D13*100</f>
        <v>2.3143121259138968</v>
      </c>
      <c r="J13" s="331">
        <f>H13/'- 7 -'!$E13</f>
        <v>237.17589348283113</v>
      </c>
    </row>
    <row r="14" spans="1:10" ht="14.1" customHeight="1">
      <c r="A14" s="26" t="s">
        <v>656</v>
      </c>
      <c r="B14" s="27">
        <v>346758</v>
      </c>
      <c r="C14" s="79">
        <f>B14/'- 3 -'!$D14*100</f>
        <v>0.49633011885826578</v>
      </c>
      <c r="D14" s="27">
        <f>B14/'- 7 -'!$E14</f>
        <v>68.071849234393397</v>
      </c>
      <c r="E14" s="27">
        <v>0</v>
      </c>
      <c r="F14" s="79">
        <f>E14/'- 3 -'!$D14*100</f>
        <v>0</v>
      </c>
      <c r="G14" s="27">
        <f>E14/'- 7 -'!$E14</f>
        <v>0</v>
      </c>
      <c r="H14" s="27">
        <v>691191</v>
      </c>
      <c r="I14" s="79">
        <f>H14/'- 3 -'!$D14*100</f>
        <v>0.98933236200394403</v>
      </c>
      <c r="J14" s="27">
        <f>H14/'- 7 -'!$E14</f>
        <v>135.68727915194347</v>
      </c>
    </row>
    <row r="15" spans="1:10" ht="14.1" customHeight="1">
      <c r="A15" s="330" t="s">
        <v>239</v>
      </c>
      <c r="B15" s="331">
        <v>260087</v>
      </c>
      <c r="C15" s="337">
        <f>B15/'- 3 -'!$D15*100</f>
        <v>1.3985994055682311</v>
      </c>
      <c r="D15" s="331">
        <f>B15/'- 7 -'!$E15</f>
        <v>168.45012953367876</v>
      </c>
      <c r="E15" s="331">
        <v>0</v>
      </c>
      <c r="F15" s="337">
        <f>E15/'- 3 -'!$D15*100</f>
        <v>0</v>
      </c>
      <c r="G15" s="331">
        <f>E15/'- 7 -'!$E15</f>
        <v>0</v>
      </c>
      <c r="H15" s="331">
        <v>249942</v>
      </c>
      <c r="I15" s="337">
        <f>H15/'- 3 -'!$D15*100</f>
        <v>1.3440453872224862</v>
      </c>
      <c r="J15" s="331">
        <f>H15/'- 7 -'!$E15</f>
        <v>161.87953367875647</v>
      </c>
    </row>
    <row r="16" spans="1:10" ht="14.1" customHeight="1">
      <c r="A16" s="26" t="s">
        <v>240</v>
      </c>
      <c r="B16" s="27">
        <v>175713</v>
      </c>
      <c r="C16" s="79">
        <f>B16/'- 3 -'!$D16*100</f>
        <v>1.3751788793786561</v>
      </c>
      <c r="D16" s="27">
        <f>B16/'- 7 -'!$E16</f>
        <v>177.04080604534005</v>
      </c>
      <c r="E16" s="27">
        <v>0</v>
      </c>
      <c r="F16" s="79">
        <f>E16/'- 3 -'!$D16*100</f>
        <v>0</v>
      </c>
      <c r="G16" s="27">
        <f>E16/'- 7 -'!$E16</f>
        <v>0</v>
      </c>
      <c r="H16" s="27">
        <v>179124</v>
      </c>
      <c r="I16" s="79">
        <f>H16/'- 3 -'!$D16*100</f>
        <v>1.4018743154451998</v>
      </c>
      <c r="J16" s="27">
        <f>H16/'- 7 -'!$E16</f>
        <v>180.47758186397985</v>
      </c>
    </row>
    <row r="17" spans="1:10" ht="14.1" customHeight="1">
      <c r="A17" s="330" t="s">
        <v>241</v>
      </c>
      <c r="B17" s="331">
        <v>120476</v>
      </c>
      <c r="C17" s="337">
        <f>B17/'- 3 -'!$D17*100</f>
        <v>0.74853073908618928</v>
      </c>
      <c r="D17" s="331">
        <f>B17/'- 7 -'!$E17</f>
        <v>92.997805542383901</v>
      </c>
      <c r="E17" s="331">
        <v>0</v>
      </c>
      <c r="F17" s="337">
        <f>E17/'- 3 -'!$D17*100</f>
        <v>0</v>
      </c>
      <c r="G17" s="331">
        <f>E17/'- 7 -'!$E17</f>
        <v>0</v>
      </c>
      <c r="H17" s="331">
        <v>268037</v>
      </c>
      <c r="I17" s="337">
        <f>H17/'- 3 -'!$D17*100</f>
        <v>1.6653435847176612</v>
      </c>
      <c r="J17" s="331">
        <f>H17/'- 7 -'!$E17</f>
        <v>206.90305790500972</v>
      </c>
    </row>
    <row r="18" spans="1:10" ht="14.1" customHeight="1">
      <c r="A18" s="26" t="s">
        <v>242</v>
      </c>
      <c r="B18" s="27">
        <v>0</v>
      </c>
      <c r="C18" s="79">
        <f>B18/'- 3 -'!$D18*100</f>
        <v>0</v>
      </c>
      <c r="D18" s="27">
        <f>B18/'- 7 -'!$E18</f>
        <v>0</v>
      </c>
      <c r="E18" s="27">
        <v>0</v>
      </c>
      <c r="F18" s="79">
        <f>E18/'- 3 -'!$D18*100</f>
        <v>0</v>
      </c>
      <c r="G18" s="27">
        <f>E18/'- 7 -'!$E18</f>
        <v>0</v>
      </c>
      <c r="H18" s="27">
        <v>3095217</v>
      </c>
      <c r="I18" s="79">
        <f>H18/'- 3 -'!$D18*100</f>
        <v>2.7475337243221363</v>
      </c>
      <c r="J18" s="27">
        <f>H18/'- 7 -'!$E18</f>
        <v>535.87551939058176</v>
      </c>
    </row>
    <row r="19" spans="1:10" ht="14.1" customHeight="1">
      <c r="A19" s="330" t="s">
        <v>243</v>
      </c>
      <c r="B19" s="331">
        <v>142171</v>
      </c>
      <c r="C19" s="337">
        <f>B19/'- 3 -'!$D19*100</f>
        <v>0.36489559188076703</v>
      </c>
      <c r="D19" s="331">
        <f>B19/'- 7 -'!$E19</f>
        <v>33.936695868044779</v>
      </c>
      <c r="E19" s="331">
        <v>0</v>
      </c>
      <c r="F19" s="337">
        <f>E19/'- 3 -'!$D19*100</f>
        <v>0</v>
      </c>
      <c r="G19" s="331">
        <f>E19/'- 7 -'!$E19</f>
        <v>0</v>
      </c>
      <c r="H19" s="331">
        <v>587974</v>
      </c>
      <c r="I19" s="337">
        <f>H19/'- 3 -'!$D19*100</f>
        <v>1.5090920141273685</v>
      </c>
      <c r="J19" s="331">
        <f>H19/'- 7 -'!$E19</f>
        <v>140.35137135082232</v>
      </c>
    </row>
    <row r="20" spans="1:10" ht="14.1" customHeight="1">
      <c r="A20" s="26" t="s">
        <v>244</v>
      </c>
      <c r="B20" s="27">
        <v>517457</v>
      </c>
      <c r="C20" s="79">
        <f>B20/'- 3 -'!$D20*100</f>
        <v>0.76474934650248039</v>
      </c>
      <c r="D20" s="27">
        <f>B20/'- 7 -'!$E20</f>
        <v>70.016507678776804</v>
      </c>
      <c r="E20" s="27">
        <v>5050</v>
      </c>
      <c r="F20" s="79">
        <f>E20/'- 3 -'!$D20*100</f>
        <v>7.4633915471962412E-3</v>
      </c>
      <c r="G20" s="27">
        <f>E20/'- 7 -'!$E20</f>
        <v>0.68330965428590762</v>
      </c>
      <c r="H20" s="27">
        <v>1162781</v>
      </c>
      <c r="I20" s="79">
        <f>H20/'- 3 -'!$D20*100</f>
        <v>1.7184732448792859</v>
      </c>
      <c r="J20" s="27">
        <f>H20/'- 7 -'!$E20</f>
        <v>157.33455111291522</v>
      </c>
    </row>
    <row r="21" spans="1:10" ht="14.1" customHeight="1">
      <c r="A21" s="330" t="s">
        <v>245</v>
      </c>
      <c r="B21" s="331">
        <v>164337</v>
      </c>
      <c r="C21" s="337">
        <f>B21/'- 3 -'!$D21*100</f>
        <v>0.50314830115307374</v>
      </c>
      <c r="D21" s="331">
        <f>B21/'- 7 -'!$E21</f>
        <v>59.574768896139204</v>
      </c>
      <c r="E21" s="331">
        <v>0</v>
      </c>
      <c r="F21" s="337">
        <f>E21/'- 3 -'!$D21*100</f>
        <v>0</v>
      </c>
      <c r="G21" s="331">
        <f>E21/'- 7 -'!$E21</f>
        <v>0</v>
      </c>
      <c r="H21" s="331">
        <v>526813</v>
      </c>
      <c r="I21" s="337">
        <f>H21/'- 3 -'!$D21*100</f>
        <v>1.6129360154764558</v>
      </c>
      <c r="J21" s="331">
        <f>H21/'- 7 -'!$E21</f>
        <v>190.97806779046584</v>
      </c>
    </row>
    <row r="22" spans="1:10" ht="14.1" customHeight="1">
      <c r="A22" s="26" t="s">
        <v>246</v>
      </c>
      <c r="B22" s="27">
        <v>126456</v>
      </c>
      <c r="C22" s="79">
        <f>B22/'- 3 -'!$D22*100</f>
        <v>0.68079927048914768</v>
      </c>
      <c r="D22" s="27">
        <f>B22/'- 7 -'!$E22</f>
        <v>79.257912879974924</v>
      </c>
      <c r="E22" s="27">
        <v>0</v>
      </c>
      <c r="F22" s="79">
        <f>E22/'- 3 -'!$D22*100</f>
        <v>0</v>
      </c>
      <c r="G22" s="27">
        <f>E22/'- 7 -'!$E22</f>
        <v>0</v>
      </c>
      <c r="H22" s="27">
        <v>159660</v>
      </c>
      <c r="I22" s="79">
        <f>H22/'- 3 -'!$D22*100</f>
        <v>0.85955914726305838</v>
      </c>
      <c r="J22" s="27">
        <f>H22/'- 7 -'!$E22</f>
        <v>100.06894390473205</v>
      </c>
    </row>
    <row r="23" spans="1:10" ht="14.1" customHeight="1">
      <c r="A23" s="330" t="s">
        <v>247</v>
      </c>
      <c r="B23" s="331">
        <v>104715</v>
      </c>
      <c r="C23" s="337">
        <f>B23/'- 3 -'!$D23*100</f>
        <v>0.6514900965603948</v>
      </c>
      <c r="D23" s="331">
        <f>B23/'- 7 -'!$E23</f>
        <v>88.329818641923239</v>
      </c>
      <c r="E23" s="331">
        <v>0</v>
      </c>
      <c r="F23" s="337">
        <f>E23/'- 3 -'!$D23*100</f>
        <v>0</v>
      </c>
      <c r="G23" s="331">
        <f>E23/'- 7 -'!$E23</f>
        <v>0</v>
      </c>
      <c r="H23" s="331">
        <v>301008</v>
      </c>
      <c r="I23" s="337">
        <f>H23/'- 3 -'!$D23*100</f>
        <v>1.8727377260702986</v>
      </c>
      <c r="J23" s="331">
        <f>H23/'- 7 -'!$E23</f>
        <v>253.90805567271192</v>
      </c>
    </row>
    <row r="24" spans="1:10" ht="14.1" customHeight="1">
      <c r="A24" s="26" t="s">
        <v>248</v>
      </c>
      <c r="B24" s="27">
        <v>182434</v>
      </c>
      <c r="C24" s="79">
        <f>B24/'- 3 -'!$D24*100</f>
        <v>0.35723282706388093</v>
      </c>
      <c r="D24" s="27">
        <f>B24/'- 7 -'!$E24</f>
        <v>42.989372481560906</v>
      </c>
      <c r="E24" s="27">
        <v>0</v>
      </c>
      <c r="F24" s="79">
        <f>E24/'- 3 -'!$D24*100</f>
        <v>0</v>
      </c>
      <c r="G24" s="27">
        <f>E24/'- 7 -'!$E24</f>
        <v>0</v>
      </c>
      <c r="H24" s="27">
        <v>1237488</v>
      </c>
      <c r="I24" s="79">
        <f>H24/'- 3 -'!$D24*100</f>
        <v>2.4231850241601229</v>
      </c>
      <c r="J24" s="27">
        <f>H24/'- 7 -'!$E24</f>
        <v>291.6059099370832</v>
      </c>
    </row>
    <row r="25" spans="1:10" ht="14.1" customHeight="1">
      <c r="A25" s="330" t="s">
        <v>249</v>
      </c>
      <c r="B25" s="331">
        <v>992277</v>
      </c>
      <c r="C25" s="337">
        <f>B25/'- 3 -'!$D25*100</f>
        <v>0.66240400510106301</v>
      </c>
      <c r="D25" s="331">
        <f>B25/'- 7 -'!$E25</f>
        <v>72.398327715273822</v>
      </c>
      <c r="E25" s="331">
        <v>0</v>
      </c>
      <c r="F25" s="337">
        <f>E25/'- 3 -'!$D25*100</f>
        <v>0</v>
      </c>
      <c r="G25" s="331">
        <f>E25/'- 7 -'!$E25</f>
        <v>0</v>
      </c>
      <c r="H25" s="331">
        <v>2921947</v>
      </c>
      <c r="I25" s="337">
        <f>H25/'- 3 -'!$D25*100</f>
        <v>1.9505736759927277</v>
      </c>
      <c r="J25" s="331">
        <f>H25/'- 7 -'!$E25</f>
        <v>213.1905470676648</v>
      </c>
    </row>
    <row r="26" spans="1:10" ht="14.1" customHeight="1">
      <c r="A26" s="26" t="s">
        <v>250</v>
      </c>
      <c r="B26" s="27">
        <v>155819</v>
      </c>
      <c r="C26" s="79">
        <f>B26/'- 3 -'!$D26*100</f>
        <v>0.41799333636766289</v>
      </c>
      <c r="D26" s="27">
        <f>B26/'- 7 -'!$E26</f>
        <v>50.14288012872084</v>
      </c>
      <c r="E26" s="27">
        <v>7223</v>
      </c>
      <c r="F26" s="79">
        <f>E26/'- 3 -'!$D26*100</f>
        <v>1.9376108616944207E-2</v>
      </c>
      <c r="G26" s="27">
        <f>E26/'- 7 -'!$E26</f>
        <v>2.3243765084473047</v>
      </c>
      <c r="H26" s="27">
        <v>516416</v>
      </c>
      <c r="I26" s="79">
        <f>H26/'- 3 -'!$D26*100</f>
        <v>1.3853153132393545</v>
      </c>
      <c r="J26" s="27">
        <f>H26/'- 7 -'!$E26</f>
        <v>166.18374899436847</v>
      </c>
    </row>
    <row r="27" spans="1:10" ht="14.1" customHeight="1">
      <c r="A27" s="330" t="s">
        <v>251</v>
      </c>
      <c r="B27" s="331">
        <v>207396</v>
      </c>
      <c r="C27" s="337">
        <f>B27/'- 3 -'!$D27*100</f>
        <v>0.56880738373396722</v>
      </c>
      <c r="D27" s="331">
        <f>B27/'- 7 -'!$E27</f>
        <v>75.718499912378064</v>
      </c>
      <c r="E27" s="331">
        <v>0</v>
      </c>
      <c r="F27" s="337">
        <f>E27/'- 3 -'!$D27*100</f>
        <v>0</v>
      </c>
      <c r="G27" s="331">
        <f>E27/'- 7 -'!$E27</f>
        <v>0</v>
      </c>
      <c r="H27" s="331">
        <v>526234</v>
      </c>
      <c r="I27" s="337">
        <f>H27/'- 3 -'!$D27*100</f>
        <v>1.4432572700141781</v>
      </c>
      <c r="J27" s="331">
        <f>H27/'- 7 -'!$E27</f>
        <v>192.12351772883932</v>
      </c>
    </row>
    <row r="28" spans="1:10" ht="14.1" customHeight="1">
      <c r="A28" s="26" t="s">
        <v>252</v>
      </c>
      <c r="B28" s="27">
        <v>127210</v>
      </c>
      <c r="C28" s="79">
        <f>B28/'- 3 -'!$D28*100</f>
        <v>0.49948761389689905</v>
      </c>
      <c r="D28" s="27">
        <f>B28/'- 7 -'!$E28</f>
        <v>64.101788863693628</v>
      </c>
      <c r="E28" s="27">
        <v>0</v>
      </c>
      <c r="F28" s="79">
        <f>E28/'- 3 -'!$D28*100</f>
        <v>0</v>
      </c>
      <c r="G28" s="27">
        <f>E28/'- 7 -'!$E28</f>
        <v>0</v>
      </c>
      <c r="H28" s="27">
        <v>403582</v>
      </c>
      <c r="I28" s="79">
        <f>H28/'- 3 -'!$D28*100</f>
        <v>1.5846569467159681</v>
      </c>
      <c r="J28" s="27">
        <f>H28/'- 7 -'!$E28</f>
        <v>203.3670949861426</v>
      </c>
    </row>
    <row r="29" spans="1:10" ht="14.1" customHeight="1">
      <c r="A29" s="330" t="s">
        <v>253</v>
      </c>
      <c r="B29" s="331">
        <v>546536</v>
      </c>
      <c r="C29" s="337">
        <f>B29/'- 3 -'!$D29*100</f>
        <v>0.39582341033557861</v>
      </c>
      <c r="D29" s="331">
        <f>B29/'- 7 -'!$E29</f>
        <v>44.899608951398243</v>
      </c>
      <c r="E29" s="331">
        <v>0</v>
      </c>
      <c r="F29" s="337">
        <f>E29/'- 3 -'!$D29*100</f>
        <v>0</v>
      </c>
      <c r="G29" s="331">
        <f>E29/'- 7 -'!$E29</f>
        <v>0</v>
      </c>
      <c r="H29" s="331">
        <v>2780858</v>
      </c>
      <c r="I29" s="337">
        <f>H29/'- 3 -'!$D29*100</f>
        <v>2.0140095020620352</v>
      </c>
      <c r="J29" s="331">
        <f>H29/'- 7 -'!$E29</f>
        <v>228.45601524760932</v>
      </c>
    </row>
    <row r="30" spans="1:10" ht="14.1" customHeight="1">
      <c r="A30" s="26" t="s">
        <v>254</v>
      </c>
      <c r="B30" s="27">
        <v>135320</v>
      </c>
      <c r="C30" s="79">
        <f>B30/'- 3 -'!$D30*100</f>
        <v>1.0163431310203139</v>
      </c>
      <c r="D30" s="27">
        <f>B30/'- 7 -'!$E30</f>
        <v>125.55205047318613</v>
      </c>
      <c r="E30" s="27">
        <v>0</v>
      </c>
      <c r="F30" s="79">
        <f>E30/'- 3 -'!$D30*100</f>
        <v>0</v>
      </c>
      <c r="G30" s="27">
        <f>E30/'- 7 -'!$E30</f>
        <v>0</v>
      </c>
      <c r="H30" s="27">
        <v>128556</v>
      </c>
      <c r="I30" s="79">
        <f>H30/'- 3 -'!$D30*100</f>
        <v>0.96554099579845909</v>
      </c>
      <c r="J30" s="27">
        <f>H30/'- 7 -'!$E30</f>
        <v>119.27630358136946</v>
      </c>
    </row>
    <row r="31" spans="1:10" ht="14.1" customHeight="1">
      <c r="A31" s="330" t="s">
        <v>255</v>
      </c>
      <c r="B31" s="331">
        <v>135038</v>
      </c>
      <c r="C31" s="337">
        <f>B31/'- 3 -'!$D31*100</f>
        <v>0.41373681726707645</v>
      </c>
      <c r="D31" s="331">
        <f>B31/'- 7 -'!$E31</f>
        <v>42.451430367808868</v>
      </c>
      <c r="E31" s="331">
        <v>531</v>
      </c>
      <c r="F31" s="337">
        <f>E31/'- 3 -'!$D31*100</f>
        <v>1.6269068704277136E-3</v>
      </c>
      <c r="G31" s="331">
        <f>E31/'- 7 -'!$E31</f>
        <v>0.16692863879283243</v>
      </c>
      <c r="H31" s="331">
        <v>433585</v>
      </c>
      <c r="I31" s="337">
        <f>H31/'- 3 -'!$D31*100</f>
        <v>1.3284414602907726</v>
      </c>
      <c r="J31" s="331">
        <f>H31/'- 7 -'!$E31</f>
        <v>136.30462118830556</v>
      </c>
    </row>
    <row r="32" spans="1:10" ht="14.1" customHeight="1">
      <c r="A32" s="26" t="s">
        <v>256</v>
      </c>
      <c r="B32" s="27">
        <v>154766</v>
      </c>
      <c r="C32" s="79">
        <f>B32/'- 3 -'!$D32*100</f>
        <v>0.62704977993131972</v>
      </c>
      <c r="D32" s="27">
        <f>B32/'- 7 -'!$E32</f>
        <v>75.038060606060611</v>
      </c>
      <c r="E32" s="27">
        <v>0</v>
      </c>
      <c r="F32" s="79">
        <f>E32/'- 3 -'!$D32*100</f>
        <v>0</v>
      </c>
      <c r="G32" s="27">
        <f>E32/'- 7 -'!$E32</f>
        <v>0</v>
      </c>
      <c r="H32" s="27">
        <v>352811</v>
      </c>
      <c r="I32" s="79">
        <f>H32/'- 3 -'!$D32*100</f>
        <v>1.4294487155276279</v>
      </c>
      <c r="J32" s="27">
        <f>H32/'- 7 -'!$E32</f>
        <v>171.0598787878788</v>
      </c>
    </row>
    <row r="33" spans="1:10" ht="14.1" customHeight="1">
      <c r="A33" s="330" t="s">
        <v>257</v>
      </c>
      <c r="B33" s="331">
        <v>204855</v>
      </c>
      <c r="C33" s="337">
        <f>B33/'- 3 -'!$D33*100</f>
        <v>0.81144604950290289</v>
      </c>
      <c r="D33" s="331">
        <f>B33/'- 7 -'!$E33</f>
        <v>101.21294466403162</v>
      </c>
      <c r="E33" s="331">
        <v>0</v>
      </c>
      <c r="F33" s="337">
        <f>E33/'- 3 -'!$D33*100</f>
        <v>0</v>
      </c>
      <c r="G33" s="331">
        <f>E33/'- 7 -'!$E33</f>
        <v>0</v>
      </c>
      <c r="H33" s="331">
        <v>382180</v>
      </c>
      <c r="I33" s="337">
        <f>H33/'- 3 -'!$D33*100</f>
        <v>1.5138437001733882</v>
      </c>
      <c r="J33" s="331">
        <f>H33/'- 7 -'!$E33</f>
        <v>188.82411067193675</v>
      </c>
    </row>
    <row r="34" spans="1:10" ht="14.1" customHeight="1">
      <c r="A34" s="26" t="s">
        <v>258</v>
      </c>
      <c r="B34" s="27">
        <v>208649</v>
      </c>
      <c r="C34" s="79">
        <f>B34/'- 3 -'!$D34*100</f>
        <v>0.8614945476403193</v>
      </c>
      <c r="D34" s="27">
        <f>B34/'- 7 -'!$E34</f>
        <v>102.33560746884304</v>
      </c>
      <c r="E34" s="27">
        <v>0</v>
      </c>
      <c r="F34" s="79">
        <f>E34/'- 3 -'!$D34*100</f>
        <v>0</v>
      </c>
      <c r="G34" s="27">
        <f>E34/'- 7 -'!$E34</f>
        <v>0</v>
      </c>
      <c r="H34" s="27">
        <v>325734</v>
      </c>
      <c r="I34" s="79">
        <f>H34/'- 3 -'!$D34*100</f>
        <v>1.3449288756767193</v>
      </c>
      <c r="J34" s="27">
        <f>H34/'- 7 -'!$E34</f>
        <v>159.76202504328378</v>
      </c>
    </row>
    <row r="35" spans="1:10" ht="14.1" customHeight="1">
      <c r="A35" s="330" t="s">
        <v>259</v>
      </c>
      <c r="B35" s="331">
        <v>914280</v>
      </c>
      <c r="C35" s="337">
        <f>B35/'- 3 -'!$D35*100</f>
        <v>0.55066311787652089</v>
      </c>
      <c r="D35" s="331">
        <f>B35/'- 7 -'!$E35</f>
        <v>57.924480486568676</v>
      </c>
      <c r="E35" s="331">
        <v>0</v>
      </c>
      <c r="F35" s="337">
        <f>E35/'- 3 -'!$D35*100</f>
        <v>0</v>
      </c>
      <c r="G35" s="331">
        <f>E35/'- 7 -'!$E35</f>
        <v>0</v>
      </c>
      <c r="H35" s="331">
        <v>2890519</v>
      </c>
      <c r="I35" s="337">
        <f>H35/'- 3 -'!$D35*100</f>
        <v>1.7409351673681184</v>
      </c>
      <c r="J35" s="331">
        <f>H35/'- 7 -'!$E35</f>
        <v>183.12968829194119</v>
      </c>
    </row>
    <row r="36" spans="1:10" ht="14.1" customHeight="1">
      <c r="A36" s="26" t="s">
        <v>260</v>
      </c>
      <c r="B36" s="27">
        <v>156539</v>
      </c>
      <c r="C36" s="79">
        <f>B36/'- 3 -'!$D36*100</f>
        <v>0.76174169502089084</v>
      </c>
      <c r="D36" s="27">
        <f>B36/'- 7 -'!$E36</f>
        <v>94.900879054258866</v>
      </c>
      <c r="E36" s="27">
        <v>0</v>
      </c>
      <c r="F36" s="79">
        <f>E36/'- 3 -'!$D36*100</f>
        <v>0</v>
      </c>
      <c r="G36" s="27">
        <f>E36/'- 7 -'!$E36</f>
        <v>0</v>
      </c>
      <c r="H36" s="27">
        <v>224892</v>
      </c>
      <c r="I36" s="79">
        <f>H36/'- 3 -'!$D36*100</f>
        <v>1.0943574015206319</v>
      </c>
      <c r="J36" s="27">
        <f>H36/'- 7 -'!$E36</f>
        <v>136.33949681721734</v>
      </c>
    </row>
    <row r="37" spans="1:10" ht="14.1" customHeight="1">
      <c r="A37" s="330" t="s">
        <v>261</v>
      </c>
      <c r="B37" s="331">
        <v>296761</v>
      </c>
      <c r="C37" s="337">
        <f>B37/'- 3 -'!$D37*100</f>
        <v>0.74943300896818987</v>
      </c>
      <c r="D37" s="331">
        <f>B37/'- 7 -'!$E37</f>
        <v>79.59259755934022</v>
      </c>
      <c r="E37" s="331">
        <v>0</v>
      </c>
      <c r="F37" s="337">
        <f>E37/'- 3 -'!$D37*100</f>
        <v>0</v>
      </c>
      <c r="G37" s="331">
        <f>E37/'- 7 -'!$E37</f>
        <v>0</v>
      </c>
      <c r="H37" s="331">
        <v>696216</v>
      </c>
      <c r="I37" s="337">
        <f>H37/'- 3 -'!$D37*100</f>
        <v>1.7582069469094568</v>
      </c>
      <c r="J37" s="331">
        <f>H37/'- 7 -'!$E37</f>
        <v>186.72817486925038</v>
      </c>
    </row>
    <row r="38" spans="1:10" ht="14.1" customHeight="1">
      <c r="A38" s="26" t="s">
        <v>262</v>
      </c>
      <c r="B38" s="27">
        <v>409224</v>
      </c>
      <c r="C38" s="79">
        <f>B38/'- 3 -'!$D38*100</f>
        <v>0.37191674831935662</v>
      </c>
      <c r="D38" s="27">
        <f>B38/'- 7 -'!$E38</f>
        <v>39.532439429653387</v>
      </c>
      <c r="E38" s="27">
        <v>0</v>
      </c>
      <c r="F38" s="79">
        <f>E38/'- 3 -'!$D38*100</f>
        <v>0</v>
      </c>
      <c r="G38" s="27">
        <f>E38/'- 7 -'!$E38</f>
        <v>0</v>
      </c>
      <c r="H38" s="27">
        <v>1774690</v>
      </c>
      <c r="I38" s="79">
        <f>H38/'- 3 -'!$D38*100</f>
        <v>1.6128988868562912</v>
      </c>
      <c r="J38" s="27">
        <f>H38/'- 7 -'!$E38</f>
        <v>171.44112987364272</v>
      </c>
    </row>
    <row r="39" spans="1:10" ht="14.1" customHeight="1">
      <c r="A39" s="330" t="s">
        <v>263</v>
      </c>
      <c r="B39" s="331">
        <v>156679</v>
      </c>
      <c r="C39" s="337">
        <f>B39/'- 3 -'!$D39*100</f>
        <v>0.80216177527295451</v>
      </c>
      <c r="D39" s="331">
        <f>B39/'- 7 -'!$E39</f>
        <v>98.788776796973522</v>
      </c>
      <c r="E39" s="331">
        <v>4703</v>
      </c>
      <c r="F39" s="337">
        <f>E39/'- 3 -'!$D39*100</f>
        <v>2.4078318275638125E-2</v>
      </c>
      <c r="G39" s="331">
        <f>E39/'- 7 -'!$E39</f>
        <v>2.9653215636822194</v>
      </c>
      <c r="H39" s="331">
        <v>207345</v>
      </c>
      <c r="I39" s="337">
        <f>H39/'- 3 -'!$D39*100</f>
        <v>1.0615604726477113</v>
      </c>
      <c r="J39" s="331">
        <f>H39/'- 7 -'!$E39</f>
        <v>130.73455233291298</v>
      </c>
    </row>
    <row r="40" spans="1:10" ht="14.1" customHeight="1">
      <c r="A40" s="26" t="s">
        <v>264</v>
      </c>
      <c r="B40" s="27">
        <v>231433</v>
      </c>
      <c r="C40" s="79">
        <f>B40/'- 3 -'!$D40*100</f>
        <v>0.24942842261195239</v>
      </c>
      <c r="D40" s="27">
        <f>B40/'- 7 -'!$E40</f>
        <v>28.800602312181891</v>
      </c>
      <c r="E40" s="27">
        <v>0</v>
      </c>
      <c r="F40" s="79">
        <f>E40/'- 3 -'!$D40*100</f>
        <v>0</v>
      </c>
      <c r="G40" s="27">
        <f>E40/'- 7 -'!$E40</f>
        <v>0</v>
      </c>
      <c r="H40" s="27">
        <v>2039302</v>
      </c>
      <c r="I40" s="79">
        <f>H40/'- 3 -'!$D40*100</f>
        <v>2.1978710084102082</v>
      </c>
      <c r="J40" s="27">
        <f>H40/'- 7 -'!$E40</f>
        <v>253.7802556093433</v>
      </c>
    </row>
    <row r="41" spans="1:10" ht="14.1" customHeight="1">
      <c r="A41" s="330" t="s">
        <v>265</v>
      </c>
      <c r="B41" s="331">
        <v>297918</v>
      </c>
      <c r="C41" s="337">
        <f>B41/'- 3 -'!$D41*100</f>
        <v>0.5145199943705</v>
      </c>
      <c r="D41" s="331">
        <f>B41/'- 7 -'!$E41</f>
        <v>66.588734912829679</v>
      </c>
      <c r="E41" s="331">
        <v>136530</v>
      </c>
      <c r="F41" s="337">
        <f>E41/'- 3 -'!$D41*100</f>
        <v>0.23579446301131307</v>
      </c>
      <c r="G41" s="331">
        <f>E41/'- 7 -'!$E41</f>
        <v>30.516316495306214</v>
      </c>
      <c r="H41" s="331">
        <v>1036344</v>
      </c>
      <c r="I41" s="337">
        <f>H41/'- 3 -'!$D41*100</f>
        <v>1.7898203836152951</v>
      </c>
      <c r="J41" s="331">
        <f>H41/'- 7 -'!$E41</f>
        <v>231.63701385784532</v>
      </c>
    </row>
    <row r="42" spans="1:10" ht="14.1" customHeight="1">
      <c r="A42" s="26" t="s">
        <v>266</v>
      </c>
      <c r="B42" s="27">
        <v>143873</v>
      </c>
      <c r="C42" s="79">
        <f>B42/'- 3 -'!$D42*100</f>
        <v>0.73110660869090638</v>
      </c>
      <c r="D42" s="27">
        <f>B42/'- 7 -'!$E42</f>
        <v>100.7020368166865</v>
      </c>
      <c r="E42" s="27">
        <v>0</v>
      </c>
      <c r="F42" s="79">
        <f>E42/'- 3 -'!$D42*100</f>
        <v>0</v>
      </c>
      <c r="G42" s="27">
        <f>E42/'- 7 -'!$E42</f>
        <v>0</v>
      </c>
      <c r="H42" s="27">
        <v>302572</v>
      </c>
      <c r="I42" s="79">
        <f>H42/'- 3 -'!$D42*100</f>
        <v>1.5375531809639398</v>
      </c>
      <c r="J42" s="27">
        <f>H42/'- 7 -'!$E42</f>
        <v>211.78133967942884</v>
      </c>
    </row>
    <row r="43" spans="1:10" ht="14.1" customHeight="1">
      <c r="A43" s="330" t="s">
        <v>267</v>
      </c>
      <c r="B43" s="331">
        <v>184230</v>
      </c>
      <c r="C43" s="337">
        <f>B43/'- 3 -'!$D43*100</f>
        <v>1.581996140283205</v>
      </c>
      <c r="D43" s="331">
        <f>B43/'- 7 -'!$E43</f>
        <v>188.85699641209635</v>
      </c>
      <c r="E43" s="331">
        <v>0</v>
      </c>
      <c r="F43" s="337">
        <f>E43/'- 3 -'!$D43*100</f>
        <v>0</v>
      </c>
      <c r="G43" s="331">
        <f>E43/'- 7 -'!$E43</f>
        <v>0</v>
      </c>
      <c r="H43" s="331">
        <v>165803</v>
      </c>
      <c r="I43" s="337">
        <f>H43/'- 3 -'!$D43*100</f>
        <v>1.4237621779698</v>
      </c>
      <c r="J43" s="331">
        <f>H43/'- 7 -'!$E43</f>
        <v>169.96719630958484</v>
      </c>
    </row>
    <row r="44" spans="1:10" ht="14.1" customHeight="1">
      <c r="A44" s="26" t="s">
        <v>268</v>
      </c>
      <c r="B44" s="27">
        <v>81356</v>
      </c>
      <c r="C44" s="79">
        <f>B44/'- 3 -'!$D44*100</f>
        <v>0.83407789928342269</v>
      </c>
      <c r="D44" s="27">
        <f>B44/'- 7 -'!$E44</f>
        <v>113.70510132774284</v>
      </c>
      <c r="E44" s="27">
        <v>0</v>
      </c>
      <c r="F44" s="79">
        <f>E44/'- 3 -'!$D44*100</f>
        <v>0</v>
      </c>
      <c r="G44" s="27">
        <f>E44/'- 7 -'!$E44</f>
        <v>0</v>
      </c>
      <c r="H44" s="27">
        <v>66432</v>
      </c>
      <c r="I44" s="79">
        <f>H44/'- 3 -'!$D44*100</f>
        <v>0.68107408187713658</v>
      </c>
      <c r="J44" s="27">
        <f>H44/'- 7 -'!$E44</f>
        <v>92.846960167714883</v>
      </c>
    </row>
    <row r="45" spans="1:10" ht="14.1" customHeight="1">
      <c r="A45" s="330" t="s">
        <v>269</v>
      </c>
      <c r="B45" s="331">
        <v>128279</v>
      </c>
      <c r="C45" s="337">
        <f>B45/'- 3 -'!$D45*100</f>
        <v>0.78724331850561546</v>
      </c>
      <c r="D45" s="331">
        <f>B45/'- 7 -'!$E45</f>
        <v>79.676397515527952</v>
      </c>
      <c r="E45" s="331">
        <v>0</v>
      </c>
      <c r="F45" s="337">
        <f>E45/'- 3 -'!$D45*100</f>
        <v>0</v>
      </c>
      <c r="G45" s="331">
        <f>E45/'- 7 -'!$E45</f>
        <v>0</v>
      </c>
      <c r="H45" s="331">
        <v>200237</v>
      </c>
      <c r="I45" s="337">
        <f>H45/'- 3 -'!$D45*100</f>
        <v>1.2288468133335066</v>
      </c>
      <c r="J45" s="331">
        <f>H45/'- 7 -'!$E45</f>
        <v>124.37080745341615</v>
      </c>
    </row>
    <row r="46" spans="1:10" ht="14.1" customHeight="1">
      <c r="A46" s="26" t="s">
        <v>270</v>
      </c>
      <c r="B46" s="27">
        <v>753745</v>
      </c>
      <c r="C46" s="79">
        <f>B46/'- 3 -'!$D46*100</f>
        <v>0.21700587094960608</v>
      </c>
      <c r="D46" s="27">
        <f>B46/'- 7 -'!$E46</f>
        <v>25.0189199057324</v>
      </c>
      <c r="E46" s="27">
        <v>126918</v>
      </c>
      <c r="F46" s="79">
        <f>E46/'- 3 -'!$D46*100</f>
        <v>3.6540144384615621E-2</v>
      </c>
      <c r="G46" s="27">
        <f>E46/'- 7 -'!$E46</f>
        <v>4.2127659574468082</v>
      </c>
      <c r="H46" s="27">
        <v>11259103</v>
      </c>
      <c r="I46" s="79">
        <f>H46/'- 3 -'!$D46*100</f>
        <v>3.241535867735537</v>
      </c>
      <c r="J46" s="27">
        <f>H46/'- 7 -'!$E46</f>
        <v>373.72134630066051</v>
      </c>
    </row>
    <row r="47" spans="1:10" ht="5.0999999999999996" customHeight="1">
      <c r="A47" s="28"/>
      <c r="B47" s="29"/>
      <c r="C47"/>
      <c r="D47" s="29"/>
      <c r="E47" s="29"/>
      <c r="F47"/>
      <c r="G47" s="29"/>
      <c r="H47"/>
      <c r="I47"/>
      <c r="J47"/>
    </row>
    <row r="48" spans="1:10" ht="14.1" customHeight="1">
      <c r="A48" s="332" t="s">
        <v>271</v>
      </c>
      <c r="B48" s="333">
        <f>SUM(B11:B46)</f>
        <v>9289961</v>
      </c>
      <c r="C48" s="340">
        <f>B48/'- 3 -'!$D48*100</f>
        <v>0.46474754646708805</v>
      </c>
      <c r="D48" s="333">
        <f>B48/'- 7 -'!$E48</f>
        <v>53.929509381961992</v>
      </c>
      <c r="E48" s="333">
        <f>SUM(E11:E46)</f>
        <v>280955</v>
      </c>
      <c r="F48" s="340">
        <f>E48/'- 3 -'!$D48*100</f>
        <v>1.4055295486995125E-2</v>
      </c>
      <c r="G48" s="333">
        <f>E48/'- 7 -'!$E48</f>
        <v>1.6309826605740467</v>
      </c>
      <c r="H48" s="333">
        <f>SUM(H11:H46)</f>
        <v>40569193</v>
      </c>
      <c r="I48" s="340">
        <f>H48/'- 3 -'!$D48*100</f>
        <v>2.0295491992807895</v>
      </c>
      <c r="J48" s="333">
        <f>H48/'- 7 -'!$E48</f>
        <v>235.5097803437632</v>
      </c>
    </row>
    <row r="49" spans="1:10" ht="5.0999999999999996" customHeight="1">
      <c r="A49" s="28" t="s">
        <v>17</v>
      </c>
      <c r="B49" s="29"/>
      <c r="C49"/>
      <c r="D49" s="29"/>
      <c r="E49" s="29"/>
      <c r="F49"/>
      <c r="H49"/>
      <c r="I49"/>
      <c r="J49"/>
    </row>
    <row r="50" spans="1:10" ht="14.1" customHeight="1">
      <c r="A50" s="26" t="s">
        <v>272</v>
      </c>
      <c r="B50" s="27">
        <v>10205</v>
      </c>
      <c r="C50" s="79">
        <f>B50/'- 3 -'!$D50*100</f>
        <v>0.32176868410323967</v>
      </c>
      <c r="D50" s="27">
        <f>B50/'- 7 -'!$E50</f>
        <v>61.107784431137723</v>
      </c>
      <c r="E50" s="27">
        <v>7742</v>
      </c>
      <c r="F50" s="79">
        <f>E50/'- 3 -'!$D50*100</f>
        <v>0.24410907911095359</v>
      </c>
      <c r="G50" s="27">
        <f>E50/'- 7 -'!$E50</f>
        <v>46.359281437125752</v>
      </c>
      <c r="H50" s="27">
        <v>36100</v>
      </c>
      <c r="I50" s="79">
        <f>H50/'- 3 -'!$D50*100</f>
        <v>1.1382508080477169</v>
      </c>
      <c r="J50" s="27">
        <f>H50/'- 7 -'!$E50</f>
        <v>216.1676646706587</v>
      </c>
    </row>
    <row r="51" spans="1:10" ht="14.1" customHeight="1">
      <c r="A51" s="330" t="s">
        <v>273</v>
      </c>
      <c r="B51" s="331">
        <v>0</v>
      </c>
      <c r="C51" s="337">
        <f>B51/'- 3 -'!$D51*100</f>
        <v>0</v>
      </c>
      <c r="D51" s="331">
        <f>B51/'- 7 -'!$E51</f>
        <v>0</v>
      </c>
      <c r="E51" s="331">
        <v>0</v>
      </c>
      <c r="F51" s="337">
        <f>E51/'- 3 -'!$D51*100</f>
        <v>0</v>
      </c>
      <c r="G51" s="331">
        <f>E51/'- 7 -'!$E51</f>
        <v>0</v>
      </c>
      <c r="H51" s="331">
        <v>0</v>
      </c>
      <c r="I51" s="337">
        <f>H51/'- 3 -'!$D51*100</f>
        <v>0</v>
      </c>
      <c r="J51" s="331">
        <f>H51/'- 7 -'!$E51</f>
        <v>0</v>
      </c>
    </row>
    <row r="52" spans="1:10" ht="50.1" customHeight="1">
      <c r="A52" s="30"/>
      <c r="B52" s="30"/>
      <c r="C52" s="30"/>
      <c r="D52" s="30"/>
      <c r="E52" s="30"/>
      <c r="F52" s="30"/>
      <c r="G52" s="30"/>
      <c r="H52" s="30"/>
      <c r="I52" s="30"/>
      <c r="J52" s="30"/>
    </row>
    <row r="53" spans="1:10" ht="15" customHeight="1">
      <c r="A53" s="151" t="s">
        <v>703</v>
      </c>
      <c r="B53" s="3"/>
      <c r="C53" s="90"/>
      <c r="D53" s="90"/>
      <c r="E53" s="90"/>
      <c r="F53" s="90"/>
      <c r="G53" s="90"/>
      <c r="H53" s="90"/>
      <c r="I53" s="90"/>
      <c r="J53" s="90"/>
    </row>
    <row r="54" spans="1:10">
      <c r="A54" s="1" t="s">
        <v>615</v>
      </c>
    </row>
    <row r="55" spans="1:10">
      <c r="A55" s="1" t="s">
        <v>419</v>
      </c>
    </row>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19.xml><?xml version="1.0" encoding="utf-8"?>
<worksheet xmlns="http://schemas.openxmlformats.org/spreadsheetml/2006/main" xmlns:r="http://schemas.openxmlformats.org/officeDocument/2006/relationships">
  <sheetPr codeName="Sheet17">
    <pageSetUpPr fitToPage="1"/>
  </sheetPr>
  <dimension ref="A1:I54"/>
  <sheetViews>
    <sheetView showGridLines="0" showZeros="0" workbookViewId="0"/>
  </sheetViews>
  <sheetFormatPr defaultColWidth="15.83203125" defaultRowHeight="12"/>
  <cols>
    <col min="1" max="1" width="32.83203125" style="1" customWidth="1"/>
    <col min="2" max="2" width="23.6640625" style="1" customWidth="1"/>
    <col min="3" max="3" width="8" style="1" customWidth="1"/>
    <col min="4" max="4" width="17.33203125" style="1" customWidth="1"/>
    <col min="5" max="5" width="7.83203125" style="1" customWidth="1"/>
    <col min="6" max="6" width="10" style="1" customWidth="1"/>
    <col min="7" max="7" width="17.1640625" style="1" customWidth="1"/>
    <col min="8" max="8" width="8.5" style="1" customWidth="1"/>
    <col min="9" max="9" width="10" style="1" customWidth="1"/>
    <col min="10" max="16384" width="15.83203125" style="1"/>
  </cols>
  <sheetData>
    <row r="1" spans="1:9" ht="6.95" customHeight="1">
      <c r="A1" s="6"/>
      <c r="B1" s="6"/>
      <c r="C1" s="7"/>
      <c r="D1" s="7"/>
      <c r="E1" s="7"/>
      <c r="F1" s="7"/>
      <c r="G1" s="7"/>
      <c r="H1" s="7"/>
      <c r="I1" s="7"/>
    </row>
    <row r="2" spans="1:9" ht="15.95" customHeight="1">
      <c r="A2" s="152"/>
      <c r="B2" s="152"/>
      <c r="C2" s="8" t="s">
        <v>492</v>
      </c>
      <c r="D2" s="9"/>
      <c r="E2" s="9"/>
      <c r="F2" s="9"/>
      <c r="G2" s="82"/>
      <c r="H2" s="82"/>
      <c r="I2" s="153" t="s">
        <v>462</v>
      </c>
    </row>
    <row r="3" spans="1:9" ht="15.95" customHeight="1">
      <c r="A3" s="154"/>
      <c r="B3" s="154"/>
      <c r="C3" s="10" t="str">
        <f>OPYEAR</f>
        <v>OPERATING FUND 2012/2013 ACTUAL</v>
      </c>
      <c r="D3" s="11"/>
      <c r="E3" s="11"/>
      <c r="F3" s="11"/>
      <c r="G3" s="84"/>
      <c r="H3" s="84"/>
      <c r="I3" s="74"/>
    </row>
    <row r="4" spans="1:9" ht="15.95" customHeight="1">
      <c r="C4" s="7"/>
      <c r="D4" s="7"/>
      <c r="E4" s="7"/>
      <c r="F4" s="7"/>
      <c r="G4" s="7"/>
      <c r="H4" s="7"/>
      <c r="I4" s="7"/>
    </row>
    <row r="5" spans="1:9" ht="15.95" customHeight="1">
      <c r="B5" s="664" t="s">
        <v>441</v>
      </c>
      <c r="C5" s="317"/>
      <c r="D5" s="588"/>
      <c r="E5" s="588"/>
      <c r="F5" s="588"/>
      <c r="G5" s="588"/>
      <c r="H5" s="588"/>
      <c r="I5" s="589"/>
    </row>
    <row r="6" spans="1:9" ht="15.95" customHeight="1">
      <c r="B6" s="370" t="s">
        <v>126</v>
      </c>
      <c r="C6" s="372"/>
      <c r="D6" s="438" t="s">
        <v>76</v>
      </c>
      <c r="E6" s="438"/>
      <c r="F6" s="394"/>
      <c r="G6" s="393" t="s">
        <v>550</v>
      </c>
      <c r="H6" s="438"/>
      <c r="I6" s="394"/>
    </row>
    <row r="7" spans="1:9" ht="15.95" customHeight="1">
      <c r="B7" s="376" t="s">
        <v>449</v>
      </c>
      <c r="C7" s="378"/>
      <c r="D7" s="345" t="s">
        <v>672</v>
      </c>
      <c r="E7" s="345"/>
      <c r="F7" s="346"/>
      <c r="G7" s="344" t="s">
        <v>153</v>
      </c>
      <c r="H7" s="345"/>
      <c r="I7" s="346"/>
    </row>
    <row r="8" spans="1:9" ht="15.95" customHeight="1">
      <c r="A8" s="75"/>
      <c r="B8" s="155"/>
      <c r="C8" s="157"/>
      <c r="D8" s="155"/>
      <c r="E8" s="157"/>
      <c r="F8" s="157" t="s">
        <v>74</v>
      </c>
      <c r="G8" s="155"/>
      <c r="H8" s="157"/>
      <c r="I8" s="157" t="s">
        <v>74</v>
      </c>
    </row>
    <row r="9" spans="1:9" ht="15.95" customHeight="1">
      <c r="A9" s="42" t="s">
        <v>94</v>
      </c>
      <c r="B9" s="87" t="s">
        <v>95</v>
      </c>
      <c r="C9" s="87" t="s">
        <v>96</v>
      </c>
      <c r="D9" s="87" t="s">
        <v>95</v>
      </c>
      <c r="E9" s="87" t="s">
        <v>96</v>
      </c>
      <c r="F9" s="87" t="s">
        <v>97</v>
      </c>
      <c r="G9" s="87" t="s">
        <v>95</v>
      </c>
      <c r="H9" s="87" t="s">
        <v>96</v>
      </c>
      <c r="I9" s="87" t="s">
        <v>97</v>
      </c>
    </row>
    <row r="10" spans="1:9" ht="5.0999999999999996" customHeight="1">
      <c r="A10" s="5"/>
    </row>
    <row r="11" spans="1:9" ht="14.1" customHeight="1">
      <c r="A11" s="330" t="s">
        <v>236</v>
      </c>
      <c r="B11" s="331">
        <v>428392</v>
      </c>
      <c r="C11" s="337">
        <f>B11/'- 3 -'!$D11*100</f>
        <v>2.7378698246407644</v>
      </c>
      <c r="D11" s="331">
        <v>583237</v>
      </c>
      <c r="E11" s="337">
        <f>D11/'- 3 -'!$D11*100</f>
        <v>3.7274902026975418</v>
      </c>
      <c r="F11" s="331">
        <f>D11/'- 7 -'!$E11</f>
        <v>388.43623043623046</v>
      </c>
      <c r="G11" s="331">
        <v>671779</v>
      </c>
      <c r="H11" s="337">
        <f>G11/'- 3 -'!$D11*100</f>
        <v>4.2933655458723514</v>
      </c>
      <c r="I11" s="331">
        <f>G11/'- 7 -'!$E11</f>
        <v>447.4052614052614</v>
      </c>
    </row>
    <row r="12" spans="1:9" ht="14.1" customHeight="1">
      <c r="A12" s="26" t="s">
        <v>237</v>
      </c>
      <c r="B12" s="27">
        <v>0</v>
      </c>
      <c r="C12" s="79">
        <f>B12/'- 3 -'!$D12*100</f>
        <v>0</v>
      </c>
      <c r="D12" s="27">
        <v>2145267</v>
      </c>
      <c r="E12" s="79">
        <f>D12/'- 3 -'!$D12*100</f>
        <v>7.2647841376367426</v>
      </c>
      <c r="F12" s="27">
        <f>D12/'- 7 -'!$E12</f>
        <v>938.10871086234033</v>
      </c>
      <c r="G12" s="27">
        <v>1160008</v>
      </c>
      <c r="H12" s="79">
        <f>G12/'- 3 -'!$D12*100</f>
        <v>3.9282791922551934</v>
      </c>
      <c r="I12" s="27">
        <f>G12/'- 7 -'!$E12</f>
        <v>507.26255028861289</v>
      </c>
    </row>
    <row r="13" spans="1:9" ht="14.1" customHeight="1">
      <c r="A13" s="330" t="s">
        <v>238</v>
      </c>
      <c r="B13" s="331">
        <v>2423222</v>
      </c>
      <c r="C13" s="337">
        <f>B13/'- 3 -'!$D13*100</f>
        <v>3.0127141424844948</v>
      </c>
      <c r="D13" s="331">
        <v>6848495</v>
      </c>
      <c r="E13" s="337">
        <f>D13/'- 3 -'!$D13*100</f>
        <v>8.5145140400814903</v>
      </c>
      <c r="F13" s="331">
        <f>D13/'- 7 -'!$E13</f>
        <v>872.58648149327894</v>
      </c>
      <c r="G13" s="331">
        <v>4449707</v>
      </c>
      <c r="H13" s="337">
        <f>G13/'- 3 -'!$D13*100</f>
        <v>5.5321779056199771</v>
      </c>
      <c r="I13" s="331">
        <f>G13/'- 7 -'!$E13</f>
        <v>566.94999044403392</v>
      </c>
    </row>
    <row r="14" spans="1:9" ht="14.1" customHeight="1">
      <c r="A14" s="26" t="s">
        <v>656</v>
      </c>
      <c r="B14" s="27">
        <v>771578</v>
      </c>
      <c r="C14" s="79">
        <f>B14/'- 3 -'!$D14*100</f>
        <v>1.1043938436847109</v>
      </c>
      <c r="D14" s="27">
        <v>3334838</v>
      </c>
      <c r="E14" s="79">
        <f>D14/'- 3 -'!$D14*100</f>
        <v>4.7733016712319873</v>
      </c>
      <c r="F14" s="27">
        <f>D14/'- 7 -'!$E14</f>
        <v>654.65999214762462</v>
      </c>
      <c r="G14" s="27">
        <v>2723704</v>
      </c>
      <c r="H14" s="79">
        <f>G14/'- 3 -'!$D14*100</f>
        <v>3.8985584472592816</v>
      </c>
      <c r="I14" s="27">
        <f>G14/'- 7 -'!$E14</f>
        <v>534.68865331762856</v>
      </c>
    </row>
    <row r="15" spans="1:9" ht="14.1" customHeight="1">
      <c r="A15" s="330" t="s">
        <v>239</v>
      </c>
      <c r="B15" s="331">
        <v>0</v>
      </c>
      <c r="C15" s="337">
        <f>B15/'- 3 -'!$D15*100</f>
        <v>0</v>
      </c>
      <c r="D15" s="331">
        <v>1262929</v>
      </c>
      <c r="E15" s="337">
        <f>D15/'- 3 -'!$D15*100</f>
        <v>6.7913111715498298</v>
      </c>
      <c r="F15" s="331">
        <f>D15/'- 7 -'!$E15</f>
        <v>817.95919689119171</v>
      </c>
      <c r="G15" s="331">
        <v>909442</v>
      </c>
      <c r="H15" s="337">
        <f>G15/'- 3 -'!$D15*100</f>
        <v>4.8904598868793263</v>
      </c>
      <c r="I15" s="331">
        <f>G15/'- 7 -'!$E15</f>
        <v>589.01683937823839</v>
      </c>
    </row>
    <row r="16" spans="1:9" ht="14.1" customHeight="1">
      <c r="A16" s="26" t="s">
        <v>240</v>
      </c>
      <c r="B16" s="27">
        <v>70042</v>
      </c>
      <c r="C16" s="79">
        <f>B16/'- 3 -'!$D16*100</f>
        <v>0.54816820081291551</v>
      </c>
      <c r="D16" s="27">
        <v>842965</v>
      </c>
      <c r="E16" s="79">
        <f>D16/'- 3 -'!$D16*100</f>
        <v>6.5972788812178313</v>
      </c>
      <c r="F16" s="27">
        <f>D16/'- 7 -'!$E16</f>
        <v>849.33501259445848</v>
      </c>
      <c r="G16" s="27">
        <v>525691</v>
      </c>
      <c r="H16" s="79">
        <f>G16/'- 3 -'!$D16*100</f>
        <v>4.1142041868242254</v>
      </c>
      <c r="I16" s="27">
        <f>G16/'- 7 -'!$E16</f>
        <v>529.66347607052899</v>
      </c>
    </row>
    <row r="17" spans="1:9" ht="14.1" customHeight="1">
      <c r="A17" s="330" t="s">
        <v>241</v>
      </c>
      <c r="B17" s="331">
        <v>0</v>
      </c>
      <c r="C17" s="337">
        <f>B17/'- 3 -'!$D17*100</f>
        <v>0</v>
      </c>
      <c r="D17" s="331">
        <v>309021</v>
      </c>
      <c r="E17" s="337">
        <f>D17/'- 3 -'!$D17*100</f>
        <v>1.9199817185427248</v>
      </c>
      <c r="F17" s="331">
        <f>D17/'- 7 -'!$E17</f>
        <v>238.53941753140055</v>
      </c>
      <c r="G17" s="331">
        <v>1047276</v>
      </c>
      <c r="H17" s="337">
        <f>G17/'- 3 -'!$D17*100</f>
        <v>6.5068418465688431</v>
      </c>
      <c r="I17" s="331">
        <f>G17/'- 7 -'!$E17</f>
        <v>808.4130432385341</v>
      </c>
    </row>
    <row r="18" spans="1:9" ht="14.1" customHeight="1">
      <c r="A18" s="26" t="s">
        <v>242</v>
      </c>
      <c r="B18" s="27">
        <v>0</v>
      </c>
      <c r="C18" s="79">
        <f>B18/'- 3 -'!$D18*100</f>
        <v>0</v>
      </c>
      <c r="D18" s="27">
        <v>9727228</v>
      </c>
      <c r="E18" s="79">
        <f>D18/'- 3 -'!$D18*100</f>
        <v>8.6345761780742887</v>
      </c>
      <c r="F18" s="27">
        <f>D18/'- 7 -'!$E18</f>
        <v>1684.0768698060942</v>
      </c>
      <c r="G18" s="27">
        <v>2960721</v>
      </c>
      <c r="H18" s="79">
        <f>G18/'- 3 -'!$D18*100</f>
        <v>2.6281455535456026</v>
      </c>
      <c r="I18" s="27">
        <f>G18/'- 7 -'!$E18</f>
        <v>512.59020083102496</v>
      </c>
    </row>
    <row r="19" spans="1:9" ht="14.1" customHeight="1">
      <c r="A19" s="330" t="s">
        <v>243</v>
      </c>
      <c r="B19" s="331">
        <v>1792770</v>
      </c>
      <c r="C19" s="337">
        <f>B19/'- 3 -'!$D19*100</f>
        <v>4.6013172183925182</v>
      </c>
      <c r="D19" s="331">
        <v>1570993</v>
      </c>
      <c r="E19" s="337">
        <f>D19/'- 3 -'!$D19*100</f>
        <v>4.0321051450404219</v>
      </c>
      <c r="F19" s="331">
        <f>D19/'- 7 -'!$E19</f>
        <v>375.0013128684983</v>
      </c>
      <c r="G19" s="331">
        <v>1736173</v>
      </c>
      <c r="H19" s="337">
        <f>G19/'- 3 -'!$D19*100</f>
        <v>4.4560555559319894</v>
      </c>
      <c r="I19" s="331">
        <f>G19/'- 7 -'!$E19</f>
        <v>414.43033442341203</v>
      </c>
    </row>
    <row r="20" spans="1:9" ht="14.1" customHeight="1">
      <c r="A20" s="26" t="s">
        <v>244</v>
      </c>
      <c r="B20" s="27">
        <v>546598</v>
      </c>
      <c r="C20" s="79">
        <f>B20/'- 3 -'!$D20*100</f>
        <v>0.80781681047809339</v>
      </c>
      <c r="D20" s="27">
        <v>3659750</v>
      </c>
      <c r="E20" s="79">
        <f>D20/'- 3 -'!$D20*100</f>
        <v>5.4087420227428611</v>
      </c>
      <c r="F20" s="27">
        <f>D20/'- 7 -'!$E20</f>
        <v>495.19653609363371</v>
      </c>
      <c r="G20" s="27">
        <v>3238350</v>
      </c>
      <c r="H20" s="79">
        <f>G20/'- 3 -'!$D20*100</f>
        <v>4.7859552508639505</v>
      </c>
      <c r="I20" s="27">
        <f>G20/'- 7 -'!$E20</f>
        <v>438.17738989242946</v>
      </c>
    </row>
    <row r="21" spans="1:9" ht="14.1" customHeight="1">
      <c r="A21" s="330" t="s">
        <v>245</v>
      </c>
      <c r="B21" s="331">
        <v>51338</v>
      </c>
      <c r="C21" s="337">
        <f>B21/'- 3 -'!$D21*100</f>
        <v>0.15718083867051549</v>
      </c>
      <c r="D21" s="331">
        <v>2132347</v>
      </c>
      <c r="E21" s="337">
        <f>D21/'- 3 -'!$D21*100</f>
        <v>6.5285770734457458</v>
      </c>
      <c r="F21" s="331">
        <f>D21/'- 7 -'!$E21</f>
        <v>773.00960667029187</v>
      </c>
      <c r="G21" s="331">
        <v>1987857</v>
      </c>
      <c r="H21" s="337">
        <f>G21/'- 3 -'!$D21*100</f>
        <v>6.08619405541811</v>
      </c>
      <c r="I21" s="331">
        <f>G21/'- 7 -'!$E21</f>
        <v>720.62969004893966</v>
      </c>
    </row>
    <row r="22" spans="1:9" ht="14.1" customHeight="1">
      <c r="A22" s="26" t="s">
        <v>246</v>
      </c>
      <c r="B22" s="27">
        <v>1698403</v>
      </c>
      <c r="C22" s="79">
        <f>B22/'- 3 -'!$D22*100</f>
        <v>9.1436667567895533</v>
      </c>
      <c r="D22" s="27">
        <v>835053</v>
      </c>
      <c r="E22" s="79">
        <f>D22/'- 3 -'!$D22*100</f>
        <v>4.4956623111578269</v>
      </c>
      <c r="F22" s="27">
        <f>D22/'- 7 -'!$E22</f>
        <v>523.38013162018171</v>
      </c>
      <c r="G22" s="27">
        <v>1150224</v>
      </c>
      <c r="H22" s="79">
        <f>G22/'- 3 -'!$D22*100</f>
        <v>6.1924436966147063</v>
      </c>
      <c r="I22" s="27">
        <f>G22/'- 7 -'!$E22</f>
        <v>720.91758069570665</v>
      </c>
    </row>
    <row r="23" spans="1:9" ht="14.1" customHeight="1">
      <c r="A23" s="330" t="s">
        <v>247</v>
      </c>
      <c r="B23" s="331">
        <v>0</v>
      </c>
      <c r="C23" s="337">
        <f>B23/'- 3 -'!$D23*100</f>
        <v>0</v>
      </c>
      <c r="D23" s="331">
        <v>1520233</v>
      </c>
      <c r="E23" s="337">
        <f>D23/'- 3 -'!$D23*100</f>
        <v>9.4582127103499847</v>
      </c>
      <c r="F23" s="331">
        <f>D23/'- 7 -'!$E23</f>
        <v>1282.3559679460143</v>
      </c>
      <c r="G23" s="331">
        <v>584352</v>
      </c>
      <c r="H23" s="337">
        <f>G23/'- 3 -'!$D23*100</f>
        <v>3.6355779105692578</v>
      </c>
      <c r="I23" s="331">
        <f>G23/'- 7 -'!$E23</f>
        <v>492.91606916912696</v>
      </c>
    </row>
    <row r="24" spans="1:9" ht="14.1" customHeight="1">
      <c r="A24" s="26" t="s">
        <v>248</v>
      </c>
      <c r="B24" s="27">
        <v>1011287</v>
      </c>
      <c r="C24" s="79">
        <f>B24/'- 3 -'!$D24*100</f>
        <v>1.9802499204257484</v>
      </c>
      <c r="D24" s="27">
        <v>3147544</v>
      </c>
      <c r="E24" s="79">
        <f>D24/'- 3 -'!$D24*100</f>
        <v>6.1633579345295075</v>
      </c>
      <c r="F24" s="27">
        <f>D24/'- 7 -'!$E24</f>
        <v>741.69804651601203</v>
      </c>
      <c r="G24" s="27">
        <v>2275110</v>
      </c>
      <c r="H24" s="79">
        <f>G24/'- 3 -'!$D24*100</f>
        <v>4.4550027800810499</v>
      </c>
      <c r="I24" s="27">
        <f>G24/'- 7 -'!$E24</f>
        <v>536.11471121898342</v>
      </c>
    </row>
    <row r="25" spans="1:9" ht="14.1" customHeight="1">
      <c r="A25" s="330" t="s">
        <v>249</v>
      </c>
      <c r="B25" s="331">
        <v>8018454</v>
      </c>
      <c r="C25" s="337">
        <f>B25/'- 3 -'!$D25*100</f>
        <v>5.35279568539696</v>
      </c>
      <c r="D25" s="331">
        <v>8704766</v>
      </c>
      <c r="E25" s="337">
        <f>D25/'- 3 -'!$D25*100</f>
        <v>5.8109498273844498</v>
      </c>
      <c r="F25" s="331">
        <f>D25/'- 7 -'!$E25</f>
        <v>635.11549854806003</v>
      </c>
      <c r="G25" s="331">
        <v>7873123</v>
      </c>
      <c r="H25" s="337">
        <f>G25/'- 3 -'!$D25*100</f>
        <v>5.2557785858719859</v>
      </c>
      <c r="I25" s="331">
        <f>G25/'- 7 -'!$E25</f>
        <v>574.43731850749316</v>
      </c>
    </row>
    <row r="26" spans="1:9" ht="14.1" customHeight="1">
      <c r="A26" s="26" t="s">
        <v>250</v>
      </c>
      <c r="B26" s="27">
        <v>267243</v>
      </c>
      <c r="C26" s="79">
        <f>B26/'- 3 -'!$D26*100</f>
        <v>0.71689455837159355</v>
      </c>
      <c r="D26" s="27">
        <v>1660397</v>
      </c>
      <c r="E26" s="79">
        <f>D26/'- 3 -'!$D26*100</f>
        <v>4.4541094585696124</v>
      </c>
      <c r="F26" s="27">
        <f>D26/'- 7 -'!$E26</f>
        <v>534.31922767497986</v>
      </c>
      <c r="G26" s="27">
        <v>1679956</v>
      </c>
      <c r="H26" s="79">
        <f>G26/'- 3 -'!$D26*100</f>
        <v>4.5065775893239817</v>
      </c>
      <c r="I26" s="27">
        <f>G26/'- 7 -'!$E26</f>
        <v>540.6133547868061</v>
      </c>
    </row>
    <row r="27" spans="1:9" ht="14.1" customHeight="1">
      <c r="A27" s="330" t="s">
        <v>251</v>
      </c>
      <c r="B27" s="331">
        <v>1681193</v>
      </c>
      <c r="C27" s="337">
        <f>B27/'- 3 -'!$D27*100</f>
        <v>4.6108651655859294</v>
      </c>
      <c r="D27" s="331">
        <v>1632983</v>
      </c>
      <c r="E27" s="337">
        <f>D27/'- 3 -'!$D27*100</f>
        <v>4.4786436956934805</v>
      </c>
      <c r="F27" s="331">
        <f>D27/'- 7 -'!$E27</f>
        <v>596.18808049535608</v>
      </c>
      <c r="G27" s="331">
        <v>1717960</v>
      </c>
      <c r="H27" s="337">
        <f>G27/'- 3 -'!$D27*100</f>
        <v>4.7117028918571542</v>
      </c>
      <c r="I27" s="331">
        <f>G27/'- 7 -'!$E27</f>
        <v>627.21245399848124</v>
      </c>
    </row>
    <row r="28" spans="1:9" ht="14.1" customHeight="1">
      <c r="A28" s="26" t="s">
        <v>252</v>
      </c>
      <c r="B28" s="27">
        <v>0</v>
      </c>
      <c r="C28" s="79">
        <f>B28/'- 3 -'!$D28*100</f>
        <v>0</v>
      </c>
      <c r="D28" s="27">
        <v>1522729</v>
      </c>
      <c r="E28" s="79">
        <f>D28/'- 3 -'!$D28*100</f>
        <v>5.9789660783083969</v>
      </c>
      <c r="F28" s="27">
        <f>D28/'- 7 -'!$E28</f>
        <v>767.31116150163768</v>
      </c>
      <c r="G28" s="27">
        <v>852925</v>
      </c>
      <c r="H28" s="79">
        <f>G28/'- 3 -'!$D28*100</f>
        <v>3.3489935782014988</v>
      </c>
      <c r="I28" s="27">
        <f>G28/'- 7 -'!$E28</f>
        <v>429.7933988410179</v>
      </c>
    </row>
    <row r="29" spans="1:9" ht="14.1" customHeight="1">
      <c r="A29" s="330" t="s">
        <v>253</v>
      </c>
      <c r="B29" s="331">
        <v>304957</v>
      </c>
      <c r="C29" s="337">
        <f>B29/'- 3 -'!$D29*100</f>
        <v>0.22086215683085297</v>
      </c>
      <c r="D29" s="331">
        <v>12131128</v>
      </c>
      <c r="E29" s="337">
        <f>D29/'- 3 -'!$D29*100</f>
        <v>8.7858520869209471</v>
      </c>
      <c r="F29" s="331">
        <f>D29/'- 7 -'!$E29</f>
        <v>996.60937859419664</v>
      </c>
      <c r="G29" s="331">
        <v>9844826</v>
      </c>
      <c r="H29" s="337">
        <f>G29/'- 3 -'!$D29*100</f>
        <v>7.1300199830942033</v>
      </c>
      <c r="I29" s="331">
        <f>G29/'- 7 -'!$E29</f>
        <v>808.78265584436917</v>
      </c>
    </row>
    <row r="30" spans="1:9" ht="14.1" customHeight="1">
      <c r="A30" s="26" t="s">
        <v>254</v>
      </c>
      <c r="B30" s="27">
        <v>0</v>
      </c>
      <c r="C30" s="79">
        <f>B30/'- 3 -'!$D30*100</f>
        <v>0</v>
      </c>
      <c r="D30" s="27">
        <v>556563</v>
      </c>
      <c r="E30" s="79">
        <f>D30/'- 3 -'!$D30*100</f>
        <v>4.1801580108635754</v>
      </c>
      <c r="F30" s="27">
        <f>D30/'- 7 -'!$E30</f>
        <v>516.38801261829656</v>
      </c>
      <c r="G30" s="27">
        <v>519894</v>
      </c>
      <c r="H30" s="79">
        <f>G30/'- 3 -'!$D30*100</f>
        <v>3.9047494513647294</v>
      </c>
      <c r="I30" s="27">
        <f>G30/'- 7 -'!$E30</f>
        <v>482.36593059936911</v>
      </c>
    </row>
    <row r="31" spans="1:9" ht="14.1" customHeight="1">
      <c r="A31" s="330" t="s">
        <v>255</v>
      </c>
      <c r="B31" s="331">
        <v>2208235</v>
      </c>
      <c r="C31" s="337">
        <f>B31/'- 3 -'!$D31*100</f>
        <v>6.7657112862880275</v>
      </c>
      <c r="D31" s="331">
        <v>1770372</v>
      </c>
      <c r="E31" s="337">
        <f>D31/'- 3 -'!$D31*100</f>
        <v>5.4241626553914362</v>
      </c>
      <c r="F31" s="331">
        <f>D31/'- 7 -'!$E31</f>
        <v>556.54574033322854</v>
      </c>
      <c r="G31" s="331">
        <v>948696</v>
      </c>
      <c r="H31" s="337">
        <f>G31/'- 3 -'!$D31*100</f>
        <v>2.9066667426502644</v>
      </c>
      <c r="I31" s="331">
        <f>G31/'- 7 -'!$E31</f>
        <v>298.23828984596037</v>
      </c>
    </row>
    <row r="32" spans="1:9" ht="14.1" customHeight="1">
      <c r="A32" s="26" t="s">
        <v>256</v>
      </c>
      <c r="B32" s="27">
        <v>0</v>
      </c>
      <c r="C32" s="79">
        <f>B32/'- 3 -'!$D32*100</f>
        <v>0</v>
      </c>
      <c r="D32" s="27">
        <v>1057475</v>
      </c>
      <c r="E32" s="79">
        <f>D32/'- 3 -'!$D32*100</f>
        <v>4.2844647146845709</v>
      </c>
      <c r="F32" s="27">
        <f>D32/'- 7 -'!$E32</f>
        <v>512.71515151515155</v>
      </c>
      <c r="G32" s="27">
        <v>1562015</v>
      </c>
      <c r="H32" s="79">
        <f>G32/'- 3 -'!$D32*100</f>
        <v>6.328658503802</v>
      </c>
      <c r="I32" s="27">
        <f>G32/'- 7 -'!$E32</f>
        <v>757.34060606060609</v>
      </c>
    </row>
    <row r="33" spans="1:9" ht="14.1" customHeight="1">
      <c r="A33" s="330" t="s">
        <v>257</v>
      </c>
      <c r="B33" s="331">
        <v>0</v>
      </c>
      <c r="C33" s="337">
        <f>B33/'- 3 -'!$D33*100</f>
        <v>0</v>
      </c>
      <c r="D33" s="331">
        <v>1538566</v>
      </c>
      <c r="E33" s="337">
        <f>D33/'- 3 -'!$D33*100</f>
        <v>6.0943755466036134</v>
      </c>
      <c r="F33" s="331">
        <f>D33/'- 7 -'!$E33</f>
        <v>760.16106719367588</v>
      </c>
      <c r="G33" s="331">
        <v>948935</v>
      </c>
      <c r="H33" s="337">
        <f>G33/'- 3 -'!$D33*100</f>
        <v>3.7588028458423621</v>
      </c>
      <c r="I33" s="331">
        <f>G33/'- 7 -'!$E33</f>
        <v>468.84140316205531</v>
      </c>
    </row>
    <row r="34" spans="1:9" ht="14.1" customHeight="1">
      <c r="A34" s="26" t="s">
        <v>258</v>
      </c>
      <c r="B34" s="27">
        <v>303143</v>
      </c>
      <c r="C34" s="79">
        <f>B34/'- 3 -'!$D34*100</f>
        <v>1.2516524960835151</v>
      </c>
      <c r="D34" s="27">
        <v>1006574</v>
      </c>
      <c r="E34" s="79">
        <f>D34/'- 3 -'!$D34*100</f>
        <v>4.1560611974967863</v>
      </c>
      <c r="F34" s="27">
        <f>D34/'- 7 -'!$E34</f>
        <v>493.69209415019105</v>
      </c>
      <c r="G34" s="27">
        <v>975111</v>
      </c>
      <c r="H34" s="79">
        <f>G34/'- 3 -'!$D34*100</f>
        <v>4.0261530601349609</v>
      </c>
      <c r="I34" s="27">
        <f>G34/'- 7 -'!$E34</f>
        <v>478.2605070455694</v>
      </c>
    </row>
    <row r="35" spans="1:9" ht="14.1" customHeight="1">
      <c r="A35" s="330" t="s">
        <v>259</v>
      </c>
      <c r="B35" s="331">
        <v>3108178</v>
      </c>
      <c r="C35" s="337">
        <f>B35/'- 3 -'!$D35*100</f>
        <v>1.8720293437406581</v>
      </c>
      <c r="D35" s="331">
        <v>12727466</v>
      </c>
      <c r="E35" s="337">
        <f>D35/'- 3 -'!$D35*100</f>
        <v>7.6656452183438475</v>
      </c>
      <c r="F35" s="331">
        <f>D35/'- 7 -'!$E35</f>
        <v>806.35238215914853</v>
      </c>
      <c r="G35" s="331">
        <v>9196926</v>
      </c>
      <c r="H35" s="337">
        <f>G35/'- 3 -'!$D35*100</f>
        <v>5.5392308111734261</v>
      </c>
      <c r="I35" s="331">
        <f>G35/'- 7 -'!$E35</f>
        <v>582.67397364419662</v>
      </c>
    </row>
    <row r="36" spans="1:9" ht="14.1" customHeight="1">
      <c r="A36" s="26" t="s">
        <v>260</v>
      </c>
      <c r="B36" s="27">
        <v>161539</v>
      </c>
      <c r="C36" s="79">
        <f>B36/'- 3 -'!$D36*100</f>
        <v>0.78607242713943282</v>
      </c>
      <c r="D36" s="27">
        <v>964728</v>
      </c>
      <c r="E36" s="79">
        <f>D36/'- 3 -'!$D36*100</f>
        <v>4.6945077070513674</v>
      </c>
      <c r="F36" s="27">
        <f>D36/'- 7 -'!$E36</f>
        <v>584.86086692937249</v>
      </c>
      <c r="G36" s="27">
        <v>834141</v>
      </c>
      <c r="H36" s="79">
        <f>G36/'- 3 -'!$D36*100</f>
        <v>4.0590522440185577</v>
      </c>
      <c r="I36" s="27">
        <f>G36/'- 7 -'!$E36</f>
        <v>505.69324037587148</v>
      </c>
    </row>
    <row r="37" spans="1:9" ht="14.1" customHeight="1">
      <c r="A37" s="330" t="s">
        <v>261</v>
      </c>
      <c r="B37" s="331">
        <v>0</v>
      </c>
      <c r="C37" s="337">
        <f>B37/'- 3 -'!$D37*100</f>
        <v>0</v>
      </c>
      <c r="D37" s="331">
        <v>3582522</v>
      </c>
      <c r="E37" s="337">
        <f>D37/'- 3 -'!$D37*100</f>
        <v>9.0472138931825175</v>
      </c>
      <c r="F37" s="331">
        <f>D37/'- 7 -'!$E37</f>
        <v>960.84806222341422</v>
      </c>
      <c r="G37" s="331">
        <v>1798879</v>
      </c>
      <c r="H37" s="337">
        <f>G37/'- 3 -'!$D37*100</f>
        <v>4.542845258439244</v>
      </c>
      <c r="I37" s="331">
        <f>G37/'- 7 -'!$E37</f>
        <v>482.46721201555584</v>
      </c>
    </row>
    <row r="38" spans="1:9" ht="14.1" customHeight="1">
      <c r="A38" s="26" t="s">
        <v>262</v>
      </c>
      <c r="B38" s="27">
        <v>972096</v>
      </c>
      <c r="C38" s="79">
        <f>B38/'- 3 -'!$D38*100</f>
        <v>0.88347404691380105</v>
      </c>
      <c r="D38" s="27">
        <v>10388755</v>
      </c>
      <c r="E38" s="79">
        <f>D38/'- 3 -'!$D38*100</f>
        <v>9.4416553737963991</v>
      </c>
      <c r="F38" s="27">
        <f>D38/'- 7 -'!$E38</f>
        <v>1003.5893002047992</v>
      </c>
      <c r="G38" s="27">
        <v>4301016</v>
      </c>
      <c r="H38" s="79">
        <f>G38/'- 3 -'!$D38*100</f>
        <v>3.9089102427754137</v>
      </c>
      <c r="I38" s="27">
        <f>G38/'- 7 -'!$E38</f>
        <v>415.49287066733643</v>
      </c>
    </row>
    <row r="39" spans="1:9" ht="14.1" customHeight="1">
      <c r="A39" s="330" t="s">
        <v>263</v>
      </c>
      <c r="B39" s="331">
        <v>0</v>
      </c>
      <c r="C39" s="337">
        <f>B39/'- 3 -'!$D39*100</f>
        <v>0</v>
      </c>
      <c r="D39" s="331">
        <v>1373530</v>
      </c>
      <c r="E39" s="337">
        <f>D39/'- 3 -'!$D39*100</f>
        <v>7.032169360224799</v>
      </c>
      <c r="F39" s="331">
        <f>D39/'- 7 -'!$E39</f>
        <v>866.03404791929381</v>
      </c>
      <c r="G39" s="331">
        <v>711429</v>
      </c>
      <c r="H39" s="337">
        <f>G39/'- 3 -'!$D39*100</f>
        <v>3.6423588969846805</v>
      </c>
      <c r="I39" s="331">
        <f>G39/'- 7 -'!$E39</f>
        <v>448.56809583858762</v>
      </c>
    </row>
    <row r="40" spans="1:9" ht="14.1" customHeight="1">
      <c r="A40" s="26" t="s">
        <v>264</v>
      </c>
      <c r="B40" s="27">
        <v>215656</v>
      </c>
      <c r="C40" s="79">
        <f>B40/'- 3 -'!$D40*100</f>
        <v>0.23242465813779023</v>
      </c>
      <c r="D40" s="27">
        <v>9466523</v>
      </c>
      <c r="E40" s="79">
        <f>D40/'- 3 -'!$D40*100</f>
        <v>10.202606799850356</v>
      </c>
      <c r="F40" s="27">
        <f>D40/'- 7 -'!$E40</f>
        <v>1178.0582898814043</v>
      </c>
      <c r="G40" s="27">
        <v>5134897</v>
      </c>
      <c r="H40" s="79">
        <f>G40/'- 3 -'!$D40*100</f>
        <v>5.5341686751018502</v>
      </c>
      <c r="I40" s="27">
        <f>G40/'- 7 -'!$E40</f>
        <v>639.01054046318302</v>
      </c>
    </row>
    <row r="41" spans="1:9" ht="14.1" customHeight="1">
      <c r="A41" s="330" t="s">
        <v>265</v>
      </c>
      <c r="B41" s="331">
        <v>542855</v>
      </c>
      <c r="C41" s="337">
        <f>B41/'- 3 -'!$D41*100</f>
        <v>0.93753902598700911</v>
      </c>
      <c r="D41" s="331">
        <v>5434618</v>
      </c>
      <c r="E41" s="337">
        <f>D41/'- 3 -'!$D41*100</f>
        <v>9.3858700137817053</v>
      </c>
      <c r="F41" s="331">
        <f>D41/'- 7 -'!$E41</f>
        <v>1214.7112203844435</v>
      </c>
      <c r="G41" s="331">
        <v>2305890</v>
      </c>
      <c r="H41" s="337">
        <f>G41/'- 3 -'!$D41*100</f>
        <v>3.9823928390328627</v>
      </c>
      <c r="I41" s="331">
        <f>G41/'- 7 -'!$E41</f>
        <v>515.39785426911044</v>
      </c>
    </row>
    <row r="42" spans="1:9" ht="14.1" customHeight="1">
      <c r="A42" s="26" t="s">
        <v>266</v>
      </c>
      <c r="B42" s="27">
        <v>0</v>
      </c>
      <c r="C42" s="79">
        <f>B42/'- 3 -'!$D42*100</f>
        <v>0</v>
      </c>
      <c r="D42" s="27">
        <v>1802380</v>
      </c>
      <c r="E42" s="79">
        <f>D42/'- 3 -'!$D42*100</f>
        <v>9.1589938999834288</v>
      </c>
      <c r="F42" s="27">
        <f>D42/'- 7 -'!$E42</f>
        <v>1261.5524602785749</v>
      </c>
      <c r="G42" s="27">
        <v>835641</v>
      </c>
      <c r="H42" s="79">
        <f>G42/'- 3 -'!$D42*100</f>
        <v>4.2464024354331791</v>
      </c>
      <c r="I42" s="27">
        <f>G42/'- 7 -'!$E42</f>
        <v>584.89605935465806</v>
      </c>
    </row>
    <row r="43" spans="1:9" ht="14.1" customHeight="1">
      <c r="A43" s="330" t="s">
        <v>267</v>
      </c>
      <c r="B43" s="331">
        <v>0</v>
      </c>
      <c r="C43" s="337">
        <f>B43/'- 3 -'!$D43*100</f>
        <v>0</v>
      </c>
      <c r="D43" s="331">
        <v>481746</v>
      </c>
      <c r="E43" s="337">
        <f>D43/'- 3 -'!$D43*100</f>
        <v>4.1367872365894423</v>
      </c>
      <c r="F43" s="331">
        <f>D43/'- 7 -'!$E43</f>
        <v>493.84520758585342</v>
      </c>
      <c r="G43" s="331">
        <v>932850</v>
      </c>
      <c r="H43" s="337">
        <f>G43/'- 3 -'!$D43*100</f>
        <v>8.0104494352884323</v>
      </c>
      <c r="I43" s="331">
        <f>G43/'- 7 -'!$E43</f>
        <v>956.27883136852893</v>
      </c>
    </row>
    <row r="44" spans="1:9" ht="14.1" customHeight="1">
      <c r="A44" s="26" t="s">
        <v>268</v>
      </c>
      <c r="B44" s="27">
        <v>0</v>
      </c>
      <c r="C44" s="79">
        <f>B44/'- 3 -'!$D44*100</f>
        <v>0</v>
      </c>
      <c r="D44" s="27">
        <v>914097</v>
      </c>
      <c r="E44" s="79">
        <f>D44/'- 3 -'!$D44*100</f>
        <v>9.3715043205329494</v>
      </c>
      <c r="F44" s="27">
        <f>D44/'- 7 -'!$E44</f>
        <v>1277.5639412997903</v>
      </c>
      <c r="G44" s="27">
        <v>347134</v>
      </c>
      <c r="H44" s="79">
        <f>G44/'- 3 -'!$D44*100</f>
        <v>3.558886836740395</v>
      </c>
      <c r="I44" s="27">
        <f>G44/'- 7 -'!$E44</f>
        <v>485.16282320055905</v>
      </c>
    </row>
    <row r="45" spans="1:9" ht="14.1" customHeight="1">
      <c r="A45" s="330" t="s">
        <v>269</v>
      </c>
      <c r="B45" s="331">
        <v>191445</v>
      </c>
      <c r="C45" s="337">
        <f>B45/'- 3 -'!$D45*100</f>
        <v>1.1748906454782744</v>
      </c>
      <c r="D45" s="331">
        <v>801307</v>
      </c>
      <c r="E45" s="337">
        <f>D45/'- 3 -'!$D45*100</f>
        <v>4.9175904226083711</v>
      </c>
      <c r="F45" s="331">
        <f>D45/'- 7 -'!$E45</f>
        <v>497.70621118012423</v>
      </c>
      <c r="G45" s="331">
        <v>743374</v>
      </c>
      <c r="H45" s="337">
        <f>G45/'- 3 -'!$D45*100</f>
        <v>4.5620578165622847</v>
      </c>
      <c r="I45" s="331">
        <f>G45/'- 7 -'!$E45</f>
        <v>461.72298136645963</v>
      </c>
    </row>
    <row r="46" spans="1:9" ht="14.1" customHeight="1">
      <c r="A46" s="26" t="s">
        <v>270</v>
      </c>
      <c r="B46" s="27">
        <v>28053179</v>
      </c>
      <c r="C46" s="79">
        <f>B46/'- 3 -'!$D46*100</f>
        <v>8.0766101822236944</v>
      </c>
      <c r="D46" s="27">
        <v>14343695</v>
      </c>
      <c r="E46" s="79">
        <f>D46/'- 3 -'!$D46*100</f>
        <v>4.1296008943482345</v>
      </c>
      <c r="F46" s="27">
        <f>D46/'- 7 -'!$E46</f>
        <v>476.10764430577223</v>
      </c>
      <c r="G46" s="27">
        <v>22021011</v>
      </c>
      <c r="H46" s="79">
        <f>G46/'- 3 -'!$D46*100</f>
        <v>6.3399275235601644</v>
      </c>
      <c r="I46" s="27">
        <f>G46/'- 7 -'!$E46</f>
        <v>730.93938991602215</v>
      </c>
    </row>
    <row r="47" spans="1:9" ht="5.0999999999999996" customHeight="1">
      <c r="A47" s="28"/>
      <c r="B47" s="29"/>
      <c r="C47"/>
      <c r="D47" s="29"/>
      <c r="E47"/>
      <c r="F47" s="29"/>
      <c r="G47"/>
      <c r="H47"/>
      <c r="I47"/>
    </row>
    <row r="48" spans="1:9" ht="14.1" customHeight="1">
      <c r="A48" s="332" t="s">
        <v>271</v>
      </c>
      <c r="B48" s="333">
        <f>SUM(B11:B46)</f>
        <v>54821803</v>
      </c>
      <c r="C48" s="340">
        <f>B48/'- 3 -'!$D48*100</f>
        <v>2.7425624754670173</v>
      </c>
      <c r="D48" s="333">
        <f>SUM(D11:D46)</f>
        <v>131782820</v>
      </c>
      <c r="E48" s="340">
        <f>D48/'- 3 -'!$D48*100</f>
        <v>6.5926802342349875</v>
      </c>
      <c r="F48" s="333">
        <f>D48/'- 7 -'!$E48</f>
        <v>765.01750949992243</v>
      </c>
      <c r="G48" s="333">
        <f>SUM(G11:G46)</f>
        <v>101507023</v>
      </c>
      <c r="H48" s="340">
        <f>G48/'- 3 -'!$D48*100</f>
        <v>5.0780772802413567</v>
      </c>
      <c r="I48" s="333">
        <f>G48/'- 7 -'!$E48</f>
        <v>589.26231759353254</v>
      </c>
    </row>
    <row r="49" spans="1:9" ht="5.0999999999999996" customHeight="1">
      <c r="A49" s="28" t="s">
        <v>17</v>
      </c>
      <c r="B49" s="29"/>
      <c r="C49"/>
      <c r="D49" s="29"/>
      <c r="E49"/>
      <c r="G49"/>
      <c r="H49"/>
      <c r="I49"/>
    </row>
    <row r="50" spans="1:9" ht="14.1" customHeight="1">
      <c r="A50" s="26" t="s">
        <v>272</v>
      </c>
      <c r="B50" s="27">
        <v>24374</v>
      </c>
      <c r="C50" s="79">
        <f>B50/'- 3 -'!$D50*100</f>
        <v>0.76852424363864413</v>
      </c>
      <c r="D50" s="27">
        <v>230537</v>
      </c>
      <c r="E50" s="79">
        <f>D50/'- 3 -'!$D50*100</f>
        <v>7.2689453333766352</v>
      </c>
      <c r="F50" s="27">
        <f>D50/'- 7 -'!$E50</f>
        <v>1380.4610778443114</v>
      </c>
      <c r="G50" s="27">
        <v>12485</v>
      </c>
      <c r="H50" s="79">
        <f>G50/'- 3 -'!$D50*100</f>
        <v>0.39365820882204283</v>
      </c>
      <c r="I50" s="27">
        <f>G50/'- 7 -'!$E50</f>
        <v>74.76047904191617</v>
      </c>
    </row>
    <row r="51" spans="1:9" ht="14.1" customHeight="1">
      <c r="A51" s="330" t="s">
        <v>273</v>
      </c>
      <c r="B51" s="331">
        <v>0</v>
      </c>
      <c r="C51" s="337">
        <f>B51/'- 3 -'!$D51*100</f>
        <v>0</v>
      </c>
      <c r="D51" s="331">
        <v>91039</v>
      </c>
      <c r="E51" s="337">
        <f>D51/'- 3 -'!$D51*100</f>
        <v>0.50337801654829173</v>
      </c>
      <c r="F51" s="331">
        <f>D51/'- 7 -'!$E51</f>
        <v>125.93929836210712</v>
      </c>
      <c r="G51" s="331">
        <v>227689</v>
      </c>
      <c r="H51" s="337">
        <f>G51/'- 3 -'!$D51*100</f>
        <v>1.2589509683746967</v>
      </c>
      <c r="I51" s="331">
        <f>G51/'- 7 -'!$E51</f>
        <v>314.97482293050024</v>
      </c>
    </row>
    <row r="52" spans="1:9" ht="50.1" customHeight="1">
      <c r="A52" s="30"/>
      <c r="B52" s="30"/>
      <c r="C52" s="30"/>
      <c r="D52" s="30"/>
      <c r="E52" s="30"/>
      <c r="F52" s="30"/>
      <c r="G52" s="30"/>
      <c r="H52" s="30"/>
      <c r="I52" s="30"/>
    </row>
    <row r="53" spans="1:9">
      <c r="A53" s="148" t="s">
        <v>632</v>
      </c>
      <c r="B53" s="148"/>
    </row>
    <row r="54" spans="1:9">
      <c r="A54" s="148" t="s">
        <v>607</v>
      </c>
      <c r="B54" s="148"/>
    </row>
  </sheetData>
  <phoneticPr fontId="6" type="noConversion"/>
  <pageMargins left="0.5" right="0.5" top="0.6" bottom="0.2" header="0.3" footer="0.5"/>
  <pageSetup scale="87" orientation="portrait" r:id="rId1"/>
  <headerFooter alignWithMargins="0">
    <oddHeader>&amp;C&amp;"Arial,Regular"&amp;11&amp;A</oddHeader>
  </headerFooter>
</worksheet>
</file>

<file path=xl/worksheets/sheet2.xml><?xml version="1.0" encoding="utf-8"?>
<worksheet xmlns="http://schemas.openxmlformats.org/spreadsheetml/2006/main" xmlns:r="http://schemas.openxmlformats.org/officeDocument/2006/relationships">
  <sheetPr codeName="Sheet137">
    <pageSetUpPr autoPageBreaks="0" fitToPage="1"/>
  </sheetPr>
  <dimension ref="A1:I37"/>
  <sheetViews>
    <sheetView showGridLines="0" zoomScale="87" workbookViewId="0"/>
  </sheetViews>
  <sheetFormatPr defaultColWidth="10.6640625" defaultRowHeight="12.75"/>
  <cols>
    <col min="1" max="1" width="3.1640625" style="481" customWidth="1"/>
    <col min="2" max="2" width="54.83203125" style="481" customWidth="1"/>
    <col min="3" max="3" width="25.83203125" style="481" customWidth="1"/>
    <col min="4" max="4" width="19.83203125" style="481" customWidth="1"/>
    <col min="5" max="5" width="21.83203125" style="481" customWidth="1"/>
    <col min="6" max="16384" width="10.6640625" style="481"/>
  </cols>
  <sheetData>
    <row r="1" spans="1:9" ht="16.5">
      <c r="A1" s="478" t="s">
        <v>428</v>
      </c>
      <c r="B1" s="479"/>
      <c r="C1" s="480"/>
      <c r="D1" s="480"/>
      <c r="E1" s="479"/>
    </row>
    <row r="2" spans="1:9" ht="39.950000000000003" customHeight="1"/>
    <row r="3" spans="1:9" ht="15.95" customHeight="1">
      <c r="A3" s="740" t="s">
        <v>753</v>
      </c>
      <c r="B3" s="741"/>
      <c r="C3" s="741"/>
      <c r="D3" s="741"/>
      <c r="E3" s="741"/>
    </row>
    <row r="4" spans="1:9" ht="15.95" customHeight="1">
      <c r="A4" s="741"/>
      <c r="B4" s="741"/>
      <c r="C4" s="741"/>
      <c r="D4" s="741"/>
      <c r="E4" s="741"/>
    </row>
    <row r="5" spans="1:9" ht="15.95" customHeight="1">
      <c r="A5" s="741"/>
      <c r="B5" s="741"/>
      <c r="C5" s="741"/>
      <c r="D5" s="741"/>
      <c r="E5" s="741"/>
    </row>
    <row r="6" spans="1:9" ht="15.95" customHeight="1">
      <c r="A6" s="741"/>
      <c r="B6" s="741"/>
      <c r="C6" s="741"/>
      <c r="D6" s="741"/>
      <c r="E6" s="741"/>
    </row>
    <row r="7" spans="1:9" ht="15.95" customHeight="1">
      <c r="A7" s="741"/>
      <c r="B7" s="741"/>
      <c r="C7" s="741"/>
      <c r="D7" s="741"/>
      <c r="E7" s="741"/>
    </row>
    <row r="8" spans="1:9" ht="12.75" customHeight="1">
      <c r="A8" s="741"/>
      <c r="B8" s="741"/>
      <c r="C8" s="741"/>
      <c r="D8" s="741"/>
      <c r="E8" s="741"/>
    </row>
    <row r="9" spans="1:9" ht="15">
      <c r="C9" s="482"/>
      <c r="D9" s="482"/>
      <c r="E9" s="483"/>
    </row>
    <row r="10" spans="1:9" ht="15">
      <c r="A10" s="484"/>
      <c r="B10" s="484"/>
      <c r="C10" s="482"/>
      <c r="D10" s="483"/>
      <c r="E10" s="483"/>
    </row>
    <row r="11" spans="1:9" ht="15.75" customHeight="1">
      <c r="A11" s="484"/>
      <c r="B11" s="484"/>
      <c r="C11" s="485" t="s">
        <v>731</v>
      </c>
      <c r="D11" s="486"/>
      <c r="E11" s="486"/>
      <c r="H11" s="487"/>
      <c r="I11" s="488"/>
    </row>
    <row r="12" spans="1:9" ht="15">
      <c r="A12" s="484"/>
      <c r="B12" s="484"/>
      <c r="C12" s="489"/>
      <c r="D12" s="486"/>
      <c r="E12" s="486"/>
      <c r="H12" s="490"/>
      <c r="I12" s="491"/>
    </row>
    <row r="13" spans="1:9" ht="15">
      <c r="A13" s="484"/>
      <c r="B13" s="484"/>
      <c r="C13" s="578" t="s">
        <v>512</v>
      </c>
      <c r="D13" s="492" t="s">
        <v>429</v>
      </c>
      <c r="E13" s="493" t="s">
        <v>429</v>
      </c>
      <c r="G13" s="494"/>
      <c r="H13" s="495"/>
      <c r="I13" s="491"/>
    </row>
    <row r="14" spans="1:9" ht="15">
      <c r="A14" s="484"/>
      <c r="B14" s="484"/>
      <c r="C14" s="492" t="s">
        <v>513</v>
      </c>
      <c r="D14" s="492" t="s">
        <v>430</v>
      </c>
      <c r="E14" s="493" t="s">
        <v>431</v>
      </c>
      <c r="H14" s="495"/>
      <c r="I14" s="491"/>
    </row>
    <row r="15" spans="1:9" ht="15">
      <c r="A15" s="484"/>
      <c r="B15" s="484"/>
      <c r="C15" s="496"/>
      <c r="D15" s="497"/>
      <c r="E15" s="498"/>
      <c r="G15" s="499"/>
      <c r="I15" s="491"/>
    </row>
    <row r="16" spans="1:9" ht="16.5" customHeight="1">
      <c r="A16" s="498">
        <v>1</v>
      </c>
      <c r="B16" s="498" t="s">
        <v>432</v>
      </c>
      <c r="C16" s="551">
        <f>'- 3 -'!B48/1000000</f>
        <v>2017.4202760000001</v>
      </c>
      <c r="D16" s="551">
        <f>'- 42 -'!H48/1000000</f>
        <v>1342.236269</v>
      </c>
      <c r="E16" s="501">
        <f>D16/C16</f>
        <v>0.66532307867019769</v>
      </c>
    </row>
    <row r="17" spans="1:9" ht="16.5" customHeight="1">
      <c r="A17" s="498">
        <v>2</v>
      </c>
      <c r="B17" s="554" t="s">
        <v>489</v>
      </c>
      <c r="C17" s="552">
        <v>38.269115999999997</v>
      </c>
      <c r="D17" s="553">
        <v>0</v>
      </c>
      <c r="E17" s="496">
        <v>0</v>
      </c>
      <c r="I17" s="502"/>
    </row>
    <row r="18" spans="1:9" ht="16.5" customHeight="1">
      <c r="A18" s="498">
        <v>3</v>
      </c>
      <c r="B18" s="503" t="s">
        <v>433</v>
      </c>
      <c r="C18" s="497">
        <v>79.7</v>
      </c>
      <c r="D18" s="497">
        <v>79.7</v>
      </c>
      <c r="E18" s="501">
        <f>D18/C18</f>
        <v>1</v>
      </c>
      <c r="G18" s="504"/>
      <c r="H18" s="495"/>
      <c r="I18" s="502"/>
    </row>
    <row r="19" spans="1:9" ht="16.5" customHeight="1">
      <c r="A19" s="498">
        <v>4</v>
      </c>
      <c r="B19" s="498" t="s">
        <v>439</v>
      </c>
      <c r="C19" s="492" t="s">
        <v>434</v>
      </c>
      <c r="D19" s="496">
        <v>117</v>
      </c>
      <c r="E19" s="501">
        <v>1</v>
      </c>
    </row>
    <row r="20" spans="1:9" ht="16.5" customHeight="1">
      <c r="A20" s="498">
        <v>5</v>
      </c>
      <c r="B20" s="498" t="s">
        <v>435</v>
      </c>
      <c r="C20" s="492" t="s">
        <v>434</v>
      </c>
      <c r="D20" s="496">
        <v>39.4</v>
      </c>
      <c r="E20" s="501">
        <v>1</v>
      </c>
    </row>
    <row r="21" spans="1:9" ht="16.5" customHeight="1">
      <c r="A21" s="498">
        <v>6</v>
      </c>
      <c r="B21" s="498" t="s">
        <v>436</v>
      </c>
      <c r="C21" s="492" t="s">
        <v>434</v>
      </c>
      <c r="D21" s="496">
        <v>1</v>
      </c>
      <c r="E21" s="501">
        <v>1</v>
      </c>
    </row>
    <row r="22" spans="1:9" ht="16.5" customHeight="1">
      <c r="A22" s="498">
        <v>7</v>
      </c>
      <c r="B22" s="498" t="s">
        <v>538</v>
      </c>
      <c r="C22" s="496">
        <v>273.10000000000002</v>
      </c>
      <c r="D22" s="496">
        <v>273.10000000000002</v>
      </c>
      <c r="E22" s="501">
        <f>D22/C22</f>
        <v>1</v>
      </c>
    </row>
    <row r="23" spans="1:9" ht="12" customHeight="1">
      <c r="A23" s="498"/>
      <c r="B23" s="498"/>
      <c r="C23" s="496"/>
      <c r="D23" s="496"/>
      <c r="E23" s="498"/>
    </row>
    <row r="24" spans="1:9" ht="14.25" customHeight="1">
      <c r="A24" s="498"/>
      <c r="B24" s="498" t="s">
        <v>437</v>
      </c>
      <c r="C24" s="500">
        <f>SUM(C16:C22)</f>
        <v>2408.489392</v>
      </c>
      <c r="D24" s="500">
        <f>SUM(D16:D22)</f>
        <v>1852.4362690000003</v>
      </c>
      <c r="E24" s="501">
        <f>D24/C24</f>
        <v>0.76912785049127608</v>
      </c>
    </row>
    <row r="25" spans="1:9" ht="14.25" customHeight="1">
      <c r="A25" s="498"/>
      <c r="B25" s="498"/>
      <c r="C25" s="500"/>
      <c r="D25" s="500"/>
      <c r="E25" s="501"/>
    </row>
    <row r="26" spans="1:9" ht="14.25" customHeight="1">
      <c r="A26" s="505" t="s">
        <v>199</v>
      </c>
      <c r="B26" s="481" t="s">
        <v>548</v>
      </c>
      <c r="C26" s="500"/>
      <c r="D26" s="500"/>
      <c r="E26" s="501"/>
    </row>
    <row r="27" spans="1:9" ht="14.25" customHeight="1">
      <c r="A27" s="505"/>
      <c r="B27" s="611" t="s">
        <v>752</v>
      </c>
      <c r="C27" s="500"/>
      <c r="D27" s="500"/>
      <c r="E27" s="501"/>
    </row>
    <row r="28" spans="1:9" ht="99.95" customHeight="1">
      <c r="A28" s="506"/>
      <c r="B28" s="506"/>
      <c r="C28" s="507"/>
      <c r="D28" s="507"/>
      <c r="E28" s="506"/>
    </row>
    <row r="29" spans="1:9" ht="20.100000000000001" customHeight="1">
      <c r="A29" s="498" t="s">
        <v>438</v>
      </c>
      <c r="B29" s="498"/>
      <c r="C29" s="508"/>
      <c r="D29" s="508"/>
      <c r="E29" s="484"/>
    </row>
    <row r="30" spans="1:9" ht="8.1" customHeight="1">
      <c r="A30" s="498"/>
      <c r="B30" s="498"/>
      <c r="C30" s="508"/>
      <c r="D30" s="508"/>
      <c r="E30" s="484"/>
    </row>
    <row r="31" spans="1:9" ht="15">
      <c r="A31" s="498">
        <v>1</v>
      </c>
      <c r="B31" s="554" t="str">
        <f>"FRAME "&amp;Data!B$5&amp;" Actual page 3, page 42"</f>
        <v>FRAME 2012/13 Actual page 3, page 42</v>
      </c>
      <c r="C31" s="508"/>
      <c r="D31" s="508"/>
      <c r="E31" s="484"/>
    </row>
    <row r="32" spans="1:9" ht="15">
      <c r="A32" s="498">
        <v>2</v>
      </c>
      <c r="B32" s="498" t="str">
        <f>"FRAME "&amp;Data!B$5&amp;" Actual page 47"</f>
        <v>FRAME 2012/13 Actual page 47</v>
      </c>
      <c r="C32" s="508"/>
      <c r="D32" s="508"/>
      <c r="E32" s="484"/>
    </row>
    <row r="33" spans="1:5" ht="15">
      <c r="A33" s="498">
        <v>3</v>
      </c>
      <c r="B33" s="498" t="s">
        <v>682</v>
      </c>
      <c r="C33" s="508"/>
      <c r="D33" s="508"/>
      <c r="E33" s="484"/>
    </row>
    <row r="34" spans="1:5" ht="15">
      <c r="A34" s="498">
        <v>4</v>
      </c>
      <c r="B34" s="498" t="str">
        <f>"Manitoba Education Annual Report "&amp;VALUE('- 67 -'!F9+1)&amp;"-"&amp;VALUE('- 67 -'!F9+2)</f>
        <v>Manitoba Education Annual Report 2012-2013</v>
      </c>
      <c r="C34" s="508"/>
      <c r="D34" s="508"/>
      <c r="E34" s="509"/>
    </row>
    <row r="35" spans="1:5" ht="15">
      <c r="A35" s="498">
        <v>5</v>
      </c>
      <c r="B35" s="498" t="str">
        <f>"Manitoba Agriculture, Food and Rural Initiatives Annual Report "&amp;VALUE('- 67 -'!F9+1)&amp;"-"&amp;VALUE('- 67 -'!F9+2)</f>
        <v>Manitoba Agriculture, Food and Rural Initiatives Annual Report 2012-2013</v>
      </c>
      <c r="C35" s="508"/>
      <c r="D35" s="508"/>
      <c r="E35" s="510"/>
    </row>
    <row r="36" spans="1:5" ht="15">
      <c r="A36" s="498">
        <v>6</v>
      </c>
      <c r="B36" s="498" t="str">
        <f>"Manitoba Education Annual Report "&amp;VALUE('- 67 -'!F9+1)&amp;"-"&amp;VALUE('- 67 -'!F9+2)&amp;" - School Tax Assistance for Tenants and Homeowners (55+)"</f>
        <v>Manitoba Education Annual Report 2012-2013 - School Tax Assistance for Tenants and Homeowners (55+)</v>
      </c>
      <c r="C36" s="508"/>
      <c r="D36" s="508"/>
      <c r="E36" s="484"/>
    </row>
    <row r="37" spans="1:5" ht="14.25">
      <c r="A37" s="498">
        <v>7</v>
      </c>
      <c r="B37" s="498" t="str">
        <f>"Department of Finance "</f>
        <v xml:space="preserve">Department of Finance </v>
      </c>
      <c r="C37" s="511"/>
      <c r="D37" s="511"/>
    </row>
  </sheetData>
  <mergeCells count="1">
    <mergeCell ref="A3:E8"/>
  </mergeCells>
  <phoneticPr fontId="20" type="noConversion"/>
  <pageMargins left="0.9055118110236221" right="0.9055118110236221" top="1.0236220472440944" bottom="0.19685039370078741" header="0.31496062992125984" footer="0.51181102362204722"/>
  <pageSetup scale="83" orientation="portrait" r:id="rId1"/>
  <headerFooter alignWithMargins="0">
    <oddFooter>&amp;C&amp;"Arial,Regular"&amp;11&amp;A</oddFooter>
  </headerFooter>
  <rowBreaks count="1" manualBreakCount="1">
    <brk id="14" max="4" man="1"/>
  </rowBreaks>
  <colBreaks count="1" manualBreakCount="1">
    <brk id="1" max="36" man="1"/>
  </colBreaks>
</worksheet>
</file>

<file path=xl/worksheets/sheet20.xml><?xml version="1.0" encoding="utf-8"?>
<worksheet xmlns="http://schemas.openxmlformats.org/spreadsheetml/2006/main" xmlns:r="http://schemas.openxmlformats.org/officeDocument/2006/relationships">
  <sheetPr codeName="Sheet26">
    <pageSetUpPr fitToPage="1"/>
  </sheetPr>
  <dimension ref="A1:G59"/>
  <sheetViews>
    <sheetView showGridLines="0" showZeros="0" workbookViewId="0"/>
  </sheetViews>
  <sheetFormatPr defaultColWidth="15.83203125" defaultRowHeight="12"/>
  <cols>
    <col min="1" max="1" width="36.83203125" style="1" customWidth="1"/>
    <col min="2" max="2" width="24.83203125" style="1" customWidth="1"/>
    <col min="3" max="4" width="15.83203125" style="1" customWidth="1"/>
    <col min="5" max="5" width="40.83203125" style="1" customWidth="1"/>
    <col min="6" max="16384" width="15.83203125" style="1"/>
  </cols>
  <sheetData>
    <row r="1" spans="1:7" ht="6.95" customHeight="1">
      <c r="A1" s="6"/>
      <c r="B1" s="7"/>
      <c r="C1" s="7"/>
      <c r="D1" s="7"/>
      <c r="E1" s="7"/>
    </row>
    <row r="2" spans="1:7" ht="15.95" customHeight="1">
      <c r="A2" s="152"/>
      <c r="B2" s="8" t="s">
        <v>492</v>
      </c>
      <c r="C2" s="9"/>
      <c r="D2" s="9"/>
      <c r="E2" s="153" t="s">
        <v>450</v>
      </c>
    </row>
    <row r="3" spans="1:7" ht="15.95" customHeight="1">
      <c r="A3" s="154"/>
      <c r="B3" s="10" t="str">
        <f>OPYEAR</f>
        <v>OPERATING FUND 2012/2013 ACTUAL</v>
      </c>
      <c r="C3" s="11"/>
      <c r="D3" s="11"/>
      <c r="E3" s="74"/>
    </row>
    <row r="4" spans="1:7" ht="15.95" customHeight="1">
      <c r="B4" s="7"/>
      <c r="C4" s="7"/>
      <c r="D4" s="7"/>
      <c r="E4" s="7"/>
    </row>
    <row r="5" spans="1:7" ht="15.95" customHeight="1">
      <c r="B5" s="513" t="s">
        <v>441</v>
      </c>
      <c r="C5" s="175"/>
      <c r="D5" s="177"/>
      <c r="E5" s="50"/>
    </row>
    <row r="6" spans="1:7" ht="15.95" customHeight="1">
      <c r="B6" s="517" t="s">
        <v>32</v>
      </c>
      <c r="C6" s="518"/>
      <c r="D6" s="519"/>
      <c r="E6" s="78"/>
    </row>
    <row r="7" spans="1:7" ht="15.95" customHeight="1">
      <c r="B7" s="520" t="s">
        <v>534</v>
      </c>
      <c r="C7" s="521"/>
      <c r="D7" s="522"/>
      <c r="E7" s="78"/>
    </row>
    <row r="8" spans="1:7" ht="15.95" customHeight="1">
      <c r="A8" s="75"/>
      <c r="B8" s="155"/>
      <c r="C8" s="157"/>
      <c r="D8" s="157" t="s">
        <v>74</v>
      </c>
      <c r="E8" s="78"/>
    </row>
    <row r="9" spans="1:7" ht="15.95" customHeight="1">
      <c r="A9" s="42" t="s">
        <v>94</v>
      </c>
      <c r="B9" s="87" t="s">
        <v>95</v>
      </c>
      <c r="C9" s="599" t="s">
        <v>96</v>
      </c>
      <c r="D9" s="599" t="s">
        <v>97</v>
      </c>
    </row>
    <row r="10" spans="1:7" ht="5.0999999999999996" customHeight="1">
      <c r="A10" s="5"/>
    </row>
    <row r="11" spans="1:7" ht="14.1" customHeight="1">
      <c r="A11" s="330" t="s">
        <v>236</v>
      </c>
      <c r="B11" s="331">
        <v>261241</v>
      </c>
      <c r="C11" s="337">
        <f>B11/'- 3 -'!$D11*100</f>
        <v>1.6696013250923871</v>
      </c>
      <c r="D11" s="331">
        <f>B11/'- 7 -'!$E11</f>
        <v>173.98667998667997</v>
      </c>
      <c r="E11" s="600"/>
      <c r="G11" s="600"/>
    </row>
    <row r="12" spans="1:7" ht="14.1" customHeight="1">
      <c r="A12" s="26" t="s">
        <v>237</v>
      </c>
      <c r="B12" s="27">
        <v>358844</v>
      </c>
      <c r="C12" s="79">
        <f>B12/'- 3 -'!$D12*100</f>
        <v>1.2151980145530226</v>
      </c>
      <c r="D12" s="27">
        <f>B12/'- 7 -'!$E12</f>
        <v>156.91971313626027</v>
      </c>
      <c r="E12" s="600"/>
    </row>
    <row r="13" spans="1:7" ht="14.1" customHeight="1">
      <c r="A13" s="330" t="s">
        <v>238</v>
      </c>
      <c r="B13" s="331">
        <v>2077002</v>
      </c>
      <c r="C13" s="337">
        <f>B13/'- 3 -'!$D13*100</f>
        <v>2.5822699279589654</v>
      </c>
      <c r="D13" s="331">
        <f>B13/'- 7 -'!$E13</f>
        <v>264.63680958144869</v>
      </c>
      <c r="E13" s="600"/>
    </row>
    <row r="14" spans="1:7" ht="14.1" customHeight="1">
      <c r="A14" s="26" t="s">
        <v>656</v>
      </c>
      <c r="B14" s="27">
        <v>1106427</v>
      </c>
      <c r="C14" s="79">
        <f>B14/'- 3 -'!$D14*100</f>
        <v>1.5836780821725656</v>
      </c>
      <c r="D14" s="27">
        <f>B14/'- 7 -'!$E14</f>
        <v>217.20200235571261</v>
      </c>
      <c r="E14" s="600"/>
    </row>
    <row r="15" spans="1:7" ht="14.1" customHeight="1">
      <c r="A15" s="330" t="s">
        <v>239</v>
      </c>
      <c r="B15" s="331">
        <v>547275</v>
      </c>
      <c r="C15" s="337">
        <f>B15/'- 3 -'!$D15*100</f>
        <v>2.9429325175128076</v>
      </c>
      <c r="D15" s="331">
        <f>B15/'- 7 -'!$E15</f>
        <v>354.45272020725389</v>
      </c>
      <c r="E15" s="600"/>
    </row>
    <row r="16" spans="1:7" ht="14.1" customHeight="1">
      <c r="A16" s="26" t="s">
        <v>240</v>
      </c>
      <c r="B16" s="27">
        <v>277104</v>
      </c>
      <c r="C16" s="79">
        <f>B16/'- 3 -'!$D16*100</f>
        <v>2.168693085835101</v>
      </c>
      <c r="D16" s="27">
        <f>B16/'- 7 -'!$E16</f>
        <v>279.19798488664986</v>
      </c>
      <c r="E16" s="600"/>
    </row>
    <row r="17" spans="1:5" ht="14.1" customHeight="1">
      <c r="A17" s="330" t="s">
        <v>241</v>
      </c>
      <c r="B17" s="331">
        <v>192780</v>
      </c>
      <c r="C17" s="337">
        <f>B17/'- 3 -'!$D17*100</f>
        <v>1.1977635037769812</v>
      </c>
      <c r="D17" s="331">
        <f>B17/'- 7 -'!$E17</f>
        <v>148.8106921914802</v>
      </c>
      <c r="E17" s="600"/>
    </row>
    <row r="18" spans="1:5" ht="14.1" customHeight="1">
      <c r="A18" s="26" t="s">
        <v>242</v>
      </c>
      <c r="B18" s="27">
        <v>1372938</v>
      </c>
      <c r="C18" s="79">
        <f>B18/'- 3 -'!$D18*100</f>
        <v>1.2187169611705366</v>
      </c>
      <c r="D18" s="27">
        <f>B18/'- 7 -'!$E18</f>
        <v>237.69702216066483</v>
      </c>
      <c r="E18" s="600"/>
    </row>
    <row r="19" spans="1:5" ht="14.1" customHeight="1">
      <c r="A19" s="330" t="s">
        <v>243</v>
      </c>
      <c r="B19" s="331">
        <v>898160</v>
      </c>
      <c r="C19" s="337">
        <f>B19/'- 3 -'!$D19*100</f>
        <v>2.3052143179947366</v>
      </c>
      <c r="D19" s="331">
        <f>B19/'- 7 -'!$E19</f>
        <v>214.39381280882247</v>
      </c>
      <c r="E19" s="600"/>
    </row>
    <row r="20" spans="1:5" ht="14.1" customHeight="1">
      <c r="A20" s="26" t="s">
        <v>244</v>
      </c>
      <c r="B20" s="27">
        <v>605545</v>
      </c>
      <c r="C20" s="79">
        <f>B20/'- 3 -'!$D20*100</f>
        <v>0.89493454147464324</v>
      </c>
      <c r="D20" s="27">
        <f>B20/'- 7 -'!$E20</f>
        <v>81.935592991001968</v>
      </c>
      <c r="E20" s="600"/>
    </row>
    <row r="21" spans="1:5" ht="14.1" customHeight="1">
      <c r="A21" s="330" t="s">
        <v>245</v>
      </c>
      <c r="B21" s="331">
        <v>851506</v>
      </c>
      <c r="C21" s="337">
        <f>B21/'- 3 -'!$D21*100</f>
        <v>2.6070440455992823</v>
      </c>
      <c r="D21" s="331">
        <f>B21/'- 7 -'!$E21</f>
        <v>308.68442994381002</v>
      </c>
      <c r="E21" s="600"/>
    </row>
    <row r="22" spans="1:5" ht="14.1" customHeight="1">
      <c r="A22" s="26" t="s">
        <v>246</v>
      </c>
      <c r="B22" s="27">
        <v>525046</v>
      </c>
      <c r="C22" s="79">
        <f>B22/'- 3 -'!$D22*100</f>
        <v>2.8266822750462217</v>
      </c>
      <c r="D22" s="27">
        <f>B22/'- 7 -'!$E22</f>
        <v>329.07928549044186</v>
      </c>
      <c r="E22" s="600"/>
    </row>
    <row r="23" spans="1:5" ht="14.1" customHeight="1">
      <c r="A23" s="330" t="s">
        <v>247</v>
      </c>
      <c r="B23" s="331">
        <v>306448</v>
      </c>
      <c r="C23" s="337">
        <f>B23/'- 3 -'!$D23*100</f>
        <v>1.9065829834382837</v>
      </c>
      <c r="D23" s="331">
        <f>B23/'- 7 -'!$E23</f>
        <v>258.49683677773089</v>
      </c>
      <c r="E23" s="600"/>
    </row>
    <row r="24" spans="1:5" ht="14.1" customHeight="1">
      <c r="A24" s="26" t="s">
        <v>248</v>
      </c>
      <c r="B24" s="27">
        <v>732080</v>
      </c>
      <c r="C24" s="79">
        <f>B24/'- 3 -'!$D24*100</f>
        <v>1.4335212078720303</v>
      </c>
      <c r="D24" s="27">
        <f>B24/'- 7 -'!$E24</f>
        <v>172.50983811296746</v>
      </c>
      <c r="E24" s="600"/>
    </row>
    <row r="25" spans="1:5" ht="14.1" customHeight="1">
      <c r="A25" s="330" t="s">
        <v>249</v>
      </c>
      <c r="B25" s="331">
        <v>3377329</v>
      </c>
      <c r="C25" s="337">
        <f>B25/'- 3 -'!$D25*100</f>
        <v>2.2545682870246595</v>
      </c>
      <c r="D25" s="331">
        <f>B25/'- 7 -'!$E25</f>
        <v>246.41604284317589</v>
      </c>
      <c r="E25" s="600"/>
    </row>
    <row r="26" spans="1:5" ht="14.1" customHeight="1">
      <c r="A26" s="26" t="s">
        <v>250</v>
      </c>
      <c r="B26" s="27">
        <v>1014942</v>
      </c>
      <c r="C26" s="79">
        <f>B26/'- 3 -'!$D26*100</f>
        <v>2.7226396832200725</v>
      </c>
      <c r="D26" s="27">
        <f>B26/'- 7 -'!$E26</f>
        <v>326.61045856798069</v>
      </c>
      <c r="E26" s="600"/>
    </row>
    <row r="27" spans="1:5" ht="14.1" customHeight="1">
      <c r="A27" s="330" t="s">
        <v>251</v>
      </c>
      <c r="B27" s="331">
        <v>985484</v>
      </c>
      <c r="C27" s="337">
        <f>B27/'- 3 -'!$D27*100</f>
        <v>2.7028032158367807</v>
      </c>
      <c r="D27" s="331">
        <f>B27/'- 7 -'!$E27</f>
        <v>359.79175185466443</v>
      </c>
      <c r="E27" s="600"/>
    </row>
    <row r="28" spans="1:5" ht="14.1" customHeight="1">
      <c r="A28" s="26" t="s">
        <v>252</v>
      </c>
      <c r="B28" s="27">
        <v>418034</v>
      </c>
      <c r="C28" s="79">
        <f>B28/'- 3 -'!$D28*100</f>
        <v>1.6414024462524668</v>
      </c>
      <c r="D28" s="27">
        <f>B28/'- 7 -'!$E28</f>
        <v>210.64953388762913</v>
      </c>
      <c r="E28" s="600"/>
    </row>
    <row r="29" spans="1:5" ht="14.1" customHeight="1">
      <c r="A29" s="330" t="s">
        <v>253</v>
      </c>
      <c r="B29" s="331">
        <v>3019600</v>
      </c>
      <c r="C29" s="337">
        <f>B29/'- 3 -'!$D29*100</f>
        <v>2.1869160857643655</v>
      </c>
      <c r="D29" s="331">
        <f>B29/'- 7 -'!$E29</f>
        <v>248.06940291150468</v>
      </c>
      <c r="E29" s="600"/>
    </row>
    <row r="30" spans="1:5" ht="14.1" customHeight="1">
      <c r="A30" s="26" t="s">
        <v>254</v>
      </c>
      <c r="B30" s="27">
        <v>166946</v>
      </c>
      <c r="C30" s="79">
        <f>B30/'- 3 -'!$D30*100</f>
        <v>1.2538754090401814</v>
      </c>
      <c r="D30" s="27">
        <f>B30/'- 7 -'!$E30</f>
        <v>154.8951568008907</v>
      </c>
      <c r="E30" s="600"/>
    </row>
    <row r="31" spans="1:5" ht="14.1" customHeight="1">
      <c r="A31" s="330" t="s">
        <v>255</v>
      </c>
      <c r="B31" s="331">
        <v>725192</v>
      </c>
      <c r="C31" s="337">
        <f>B31/'- 3 -'!$D31*100</f>
        <v>2.2218829513732858</v>
      </c>
      <c r="D31" s="331">
        <f>B31/'- 7 -'!$E31</f>
        <v>227.97610814209369</v>
      </c>
      <c r="E31" s="600"/>
    </row>
    <row r="32" spans="1:5" ht="14.1" customHeight="1">
      <c r="A32" s="26" t="s">
        <v>256</v>
      </c>
      <c r="B32" s="27">
        <v>323095</v>
      </c>
      <c r="C32" s="79">
        <f>B32/'- 3 -'!$D32*100</f>
        <v>1.3090513978968878</v>
      </c>
      <c r="D32" s="27">
        <f>B32/'- 7 -'!$E32</f>
        <v>156.65212121212122</v>
      </c>
      <c r="E32" s="600"/>
    </row>
    <row r="33" spans="1:5" ht="14.1" customHeight="1">
      <c r="A33" s="330" t="s">
        <v>257</v>
      </c>
      <c r="B33" s="331">
        <v>390254</v>
      </c>
      <c r="C33" s="337">
        <f>B33/'- 3 -'!$D33*100</f>
        <v>1.5458254209206799</v>
      </c>
      <c r="D33" s="331">
        <f>B33/'- 7 -'!$E33</f>
        <v>192.81324110671937</v>
      </c>
      <c r="E33" s="600"/>
    </row>
    <row r="34" spans="1:5" ht="14.1" customHeight="1">
      <c r="A34" s="26" t="s">
        <v>258</v>
      </c>
      <c r="B34" s="27">
        <v>578343</v>
      </c>
      <c r="C34" s="79">
        <f>B34/'- 3 -'!$D34*100</f>
        <v>2.3879306450831073</v>
      </c>
      <c r="D34" s="27">
        <f>B34/'- 7 -'!$E34</f>
        <v>283.65859520224438</v>
      </c>
      <c r="E34" s="600"/>
    </row>
    <row r="35" spans="1:5" ht="14.1" customHeight="1">
      <c r="A35" s="330" t="s">
        <v>259</v>
      </c>
      <c r="B35" s="331">
        <v>2718870</v>
      </c>
      <c r="C35" s="337">
        <f>B35/'- 3 -'!$D35*100</f>
        <v>1.6375524251880567</v>
      </c>
      <c r="D35" s="331">
        <f>B35/'- 7 -'!$E35</f>
        <v>172.2548150025342</v>
      </c>
      <c r="E35" s="600"/>
    </row>
    <row r="36" spans="1:5" ht="14.1" customHeight="1">
      <c r="A36" s="26" t="s">
        <v>260</v>
      </c>
      <c r="B36" s="27">
        <v>451620</v>
      </c>
      <c r="C36" s="79">
        <f>B36/'- 3 -'!$D36*100</f>
        <v>2.197649047875192</v>
      </c>
      <c r="D36" s="27">
        <f>B36/'- 7 -'!$E36</f>
        <v>273.7920581994544</v>
      </c>
      <c r="E36" s="600"/>
    </row>
    <row r="37" spans="1:5" ht="14.1" customHeight="1">
      <c r="A37" s="330" t="s">
        <v>261</v>
      </c>
      <c r="B37" s="331">
        <v>939213</v>
      </c>
      <c r="C37" s="337">
        <f>B37/'- 3 -'!$D37*100</f>
        <v>2.3718656583986459</v>
      </c>
      <c r="D37" s="331">
        <f>B37/'- 7 -'!$E37</f>
        <v>251.90103258683118</v>
      </c>
      <c r="E37" s="600"/>
    </row>
    <row r="38" spans="1:5" ht="14.1" customHeight="1">
      <c r="A38" s="26" t="s">
        <v>262</v>
      </c>
      <c r="B38" s="27">
        <v>2697343</v>
      </c>
      <c r="C38" s="79">
        <f>B38/'- 3 -'!$D38*100</f>
        <v>2.4514374466355302</v>
      </c>
      <c r="D38" s="27">
        <f>B38/'- 7 -'!$E38</f>
        <v>260.57256849182733</v>
      </c>
      <c r="E38" s="600"/>
    </row>
    <row r="39" spans="1:5" ht="14.1" customHeight="1">
      <c r="A39" s="330" t="s">
        <v>263</v>
      </c>
      <c r="B39" s="331">
        <v>221462</v>
      </c>
      <c r="C39" s="337">
        <f>B39/'- 3 -'!$D39*100</f>
        <v>1.133836385702609</v>
      </c>
      <c r="D39" s="331">
        <f>B39/'- 7 -'!$E39</f>
        <v>139.63556116015133</v>
      </c>
      <c r="E39" s="600"/>
    </row>
    <row r="40" spans="1:5" ht="14.1" customHeight="1">
      <c r="A40" s="26" t="s">
        <v>264</v>
      </c>
      <c r="B40" s="27">
        <v>2099751</v>
      </c>
      <c r="C40" s="79">
        <f>B40/'- 3 -'!$D40*100</f>
        <v>2.2630203117440884</v>
      </c>
      <c r="D40" s="27">
        <f>B40/'- 7 -'!$E40</f>
        <v>261.30281120499768</v>
      </c>
      <c r="E40" s="600"/>
    </row>
    <row r="41" spans="1:5" ht="14.1" customHeight="1">
      <c r="A41" s="330" t="s">
        <v>265</v>
      </c>
      <c r="B41" s="331">
        <v>1063831</v>
      </c>
      <c r="C41" s="337">
        <f>B41/'- 3 -'!$D41*100</f>
        <v>1.8372918727004188</v>
      </c>
      <c r="D41" s="331">
        <f>B41/'- 7 -'!$E41</f>
        <v>237.7807331247206</v>
      </c>
      <c r="E41" s="600"/>
    </row>
    <row r="42" spans="1:5" ht="14.1" customHeight="1">
      <c r="A42" s="26" t="s">
        <v>266</v>
      </c>
      <c r="B42" s="27">
        <v>190814</v>
      </c>
      <c r="C42" s="79">
        <f>B42/'- 3 -'!$D42*100</f>
        <v>0.96964250714690459</v>
      </c>
      <c r="D42" s="27">
        <f>B42/'- 7 -'!$E42</f>
        <v>133.55777979981801</v>
      </c>
      <c r="E42" s="600"/>
    </row>
    <row r="43" spans="1:5" ht="14.1" customHeight="1">
      <c r="A43" s="330" t="s">
        <v>267</v>
      </c>
      <c r="B43" s="331">
        <v>189409</v>
      </c>
      <c r="C43" s="337">
        <f>B43/'- 3 -'!$D43*100</f>
        <v>1.6264685823964695</v>
      </c>
      <c r="D43" s="331">
        <f>B43/'- 7 -'!$E43</f>
        <v>194.1660686827268</v>
      </c>
      <c r="E43" s="600"/>
    </row>
    <row r="44" spans="1:5" ht="14.1" customHeight="1">
      <c r="A44" s="26" t="s">
        <v>268</v>
      </c>
      <c r="B44" s="27">
        <v>54466</v>
      </c>
      <c r="C44" s="79">
        <f>B44/'- 3 -'!$D44*100</f>
        <v>0.55839626901975137</v>
      </c>
      <c r="D44" s="27">
        <f>B44/'- 7 -'!$E44</f>
        <v>76.122990915443751</v>
      </c>
      <c r="E44" s="600"/>
    </row>
    <row r="45" spans="1:5" ht="14.1" customHeight="1">
      <c r="A45" s="330" t="s">
        <v>269</v>
      </c>
      <c r="B45" s="331">
        <v>426996</v>
      </c>
      <c r="C45" s="337">
        <f>B45/'- 3 -'!$D45*100</f>
        <v>2.6204581266506892</v>
      </c>
      <c r="D45" s="331">
        <f>B45/'- 7 -'!$E45</f>
        <v>265.21490683229814</v>
      </c>
      <c r="E45" s="600"/>
    </row>
    <row r="46" spans="1:5" ht="14.1" customHeight="1">
      <c r="A46" s="26" t="s">
        <v>270</v>
      </c>
      <c r="B46" s="27">
        <v>5579895</v>
      </c>
      <c r="C46" s="79">
        <f>B46/'- 3 -'!$D46*100</f>
        <v>1.6064716506011343</v>
      </c>
      <c r="D46" s="27">
        <f>B46/'- 7 -'!$E46</f>
        <v>185.21243402927607</v>
      </c>
      <c r="E46" s="600"/>
    </row>
    <row r="47" spans="1:5" ht="5.0999999999999996" customHeight="1">
      <c r="A47" s="28"/>
      <c r="B47" s="29"/>
      <c r="C47"/>
      <c r="D47" s="29"/>
      <c r="E47" s="600"/>
    </row>
    <row r="48" spans="1:5" ht="14.1" customHeight="1">
      <c r="A48" s="332" t="s">
        <v>271</v>
      </c>
      <c r="B48" s="333">
        <f>SUM(B11:B46)</f>
        <v>37745285</v>
      </c>
      <c r="C48" s="340">
        <f>B48/'- 3 -'!$D48*100</f>
        <v>1.8882779588042384</v>
      </c>
      <c r="D48" s="333">
        <f>B48/'- 7 -'!$E48</f>
        <v>219.1166035608039</v>
      </c>
      <c r="E48" s="600"/>
    </row>
    <row r="49" spans="1:5" ht="5.0999999999999996" customHeight="1">
      <c r="A49" s="28" t="s">
        <v>17</v>
      </c>
      <c r="B49" s="29"/>
      <c r="C49"/>
      <c r="D49" s="29"/>
      <c r="E49" s="600"/>
    </row>
    <row r="50" spans="1:5" ht="14.1" customHeight="1">
      <c r="A50" s="26" t="s">
        <v>272</v>
      </c>
      <c r="B50" s="27">
        <v>101848</v>
      </c>
      <c r="C50" s="79">
        <f>B50/'- 3 -'!$D50*100</f>
        <v>3.211317681386257</v>
      </c>
      <c r="D50" s="27">
        <f>B50/'- 7 -'!$E50</f>
        <v>609.86826347305384</v>
      </c>
      <c r="E50" s="600"/>
    </row>
    <row r="51" spans="1:5" ht="14.1" customHeight="1">
      <c r="A51" s="330" t="s">
        <v>273</v>
      </c>
      <c r="B51" s="331">
        <v>358033</v>
      </c>
      <c r="C51" s="337">
        <f>B51/'- 3 -'!$D51*100</f>
        <v>1.97965642635392</v>
      </c>
      <c r="D51" s="331">
        <f>B51/'- 7 -'!$E51</f>
        <v>495.2869079238601</v>
      </c>
      <c r="E51" s="600"/>
    </row>
    <row r="52" spans="1:5" ht="50.1" customHeight="1">
      <c r="A52" s="206"/>
      <c r="B52" s="206"/>
      <c r="C52" s="206"/>
      <c r="D52" s="206"/>
      <c r="E52" s="206"/>
    </row>
    <row r="53" spans="1:5" ht="15" customHeight="1">
      <c r="A53" s="719"/>
      <c r="B53" s="206"/>
      <c r="C53" s="206"/>
      <c r="D53" s="206"/>
      <c r="E53" s="206"/>
    </row>
    <row r="54" spans="1:5" ht="14.45" customHeight="1"/>
    <row r="55" spans="1:5" ht="14.45" customHeight="1"/>
    <row r="56" spans="1:5" ht="14.45" customHeight="1"/>
    <row r="57" spans="1:5" ht="14.45" customHeight="1"/>
    <row r="58" spans="1:5" ht="14.45" customHeight="1"/>
    <row r="59" spans="1:5" ht="14.45" customHeight="1"/>
  </sheetData>
  <phoneticPr fontId="0" type="noConversion"/>
  <pageMargins left="0.5" right="0.5" top="0.6" bottom="0.2" header="0.3" footer="0.5"/>
  <pageSetup scale="88" orientation="portrait" r:id="rId1"/>
  <headerFooter alignWithMargins="0">
    <oddHeader>&amp;C&amp;"Arial,Regular"&amp;11&amp;A</oddHeader>
  </headerFooter>
</worksheet>
</file>

<file path=xl/worksheets/sheet21.xml><?xml version="1.0" encoding="utf-8"?>
<worksheet xmlns="http://schemas.openxmlformats.org/spreadsheetml/2006/main" xmlns:r="http://schemas.openxmlformats.org/officeDocument/2006/relationships">
  <sheetPr codeName="Sheet171">
    <pageSetUpPr fitToPage="1"/>
  </sheetPr>
  <dimension ref="A1:F52"/>
  <sheetViews>
    <sheetView showGridLines="0" showZeros="0" workbookViewId="0"/>
  </sheetViews>
  <sheetFormatPr defaultColWidth="15.83203125" defaultRowHeight="12"/>
  <cols>
    <col min="1" max="1" width="32.83203125" style="1" customWidth="1"/>
    <col min="2" max="2" width="23.83203125" style="1" customWidth="1"/>
    <col min="3" max="3" width="12.83203125" style="1" customWidth="1"/>
    <col min="4" max="4" width="22.83203125" style="1" customWidth="1"/>
    <col min="5" max="5" width="12.83203125" style="1" customWidth="1"/>
    <col min="6" max="6" width="27.83203125" style="1" customWidth="1"/>
    <col min="7" max="16384" width="15.83203125" style="1"/>
  </cols>
  <sheetData>
    <row r="1" spans="1:6" ht="6.95" customHeight="1">
      <c r="A1" s="6"/>
      <c r="B1" s="7"/>
      <c r="C1" s="7"/>
      <c r="D1" s="7"/>
      <c r="E1" s="7"/>
    </row>
    <row r="2" spans="1:6" ht="15.95" customHeight="1">
      <c r="A2" s="152"/>
      <c r="B2" s="8" t="s">
        <v>492</v>
      </c>
      <c r="C2" s="9"/>
      <c r="D2" s="9"/>
      <c r="E2" s="153"/>
      <c r="F2" s="523" t="s">
        <v>461</v>
      </c>
    </row>
    <row r="3" spans="1:6" ht="15.95" customHeight="1">
      <c r="A3" s="154"/>
      <c r="B3" s="10" t="str">
        <f>OPYEAR</f>
        <v>OPERATING FUND 2012/2013 ACTUAL</v>
      </c>
      <c r="C3" s="11"/>
      <c r="D3" s="11"/>
      <c r="E3" s="74"/>
      <c r="F3" s="74"/>
    </row>
    <row r="4" spans="1:6" ht="15.95" customHeight="1">
      <c r="B4" s="7"/>
      <c r="C4" s="7"/>
      <c r="D4" s="7"/>
      <c r="E4" s="7"/>
    </row>
    <row r="5" spans="1:6" ht="15.95" customHeight="1">
      <c r="B5" s="174" t="s">
        <v>319</v>
      </c>
      <c r="C5" s="194"/>
      <c r="D5" s="46"/>
      <c r="E5" s="205"/>
    </row>
    <row r="6" spans="1:6" ht="15.95" customHeight="1">
      <c r="B6" s="357" t="s">
        <v>44</v>
      </c>
      <c r="C6" s="360"/>
      <c r="D6" s="391"/>
      <c r="E6" s="392"/>
    </row>
    <row r="7" spans="1:6" ht="15.95" customHeight="1">
      <c r="B7" s="344" t="s">
        <v>221</v>
      </c>
      <c r="C7" s="345"/>
      <c r="D7" s="344" t="s">
        <v>175</v>
      </c>
      <c r="E7" s="346"/>
    </row>
    <row r="8" spans="1:6" ht="15.95" customHeight="1">
      <c r="A8" s="75"/>
      <c r="B8" s="157"/>
      <c r="C8" s="155"/>
      <c r="D8" s="157"/>
      <c r="E8" s="155"/>
    </row>
    <row r="9" spans="1:6" ht="15.95" customHeight="1">
      <c r="A9" s="42" t="s">
        <v>94</v>
      </c>
      <c r="B9" s="87" t="s">
        <v>95</v>
      </c>
      <c r="C9" s="87" t="s">
        <v>96</v>
      </c>
      <c r="D9" s="87" t="s">
        <v>95</v>
      </c>
      <c r="E9" s="87" t="s">
        <v>96</v>
      </c>
    </row>
    <row r="10" spans="1:6" ht="5.0999999999999996" customHeight="1">
      <c r="A10" s="5"/>
    </row>
    <row r="11" spans="1:6" ht="14.1" customHeight="1">
      <c r="A11" s="330" t="s">
        <v>236</v>
      </c>
      <c r="B11" s="331">
        <v>0</v>
      </c>
      <c r="C11" s="337">
        <f>B11/'- 3 -'!$D11*100</f>
        <v>0</v>
      </c>
      <c r="D11" s="331">
        <v>0</v>
      </c>
      <c r="E11" s="337">
        <f>D11/'- 3 -'!$D11*100</f>
        <v>0</v>
      </c>
    </row>
    <row r="12" spans="1:6" ht="14.1" customHeight="1">
      <c r="A12" s="26" t="s">
        <v>237</v>
      </c>
      <c r="B12" s="27">
        <v>123737</v>
      </c>
      <c r="C12" s="79">
        <f>B12/'- 3 -'!$D12*100</f>
        <v>0.41902597431403998</v>
      </c>
      <c r="D12" s="27">
        <v>405908</v>
      </c>
      <c r="E12" s="79">
        <f>D12/'- 3 -'!$D12*100</f>
        <v>1.3745766842727991</v>
      </c>
    </row>
    <row r="13" spans="1:6" ht="14.1" customHeight="1">
      <c r="A13" s="330" t="s">
        <v>238</v>
      </c>
      <c r="B13" s="331">
        <v>0</v>
      </c>
      <c r="C13" s="337">
        <f>B13/'- 3 -'!$D13*100</f>
        <v>0</v>
      </c>
      <c r="D13" s="331">
        <v>0</v>
      </c>
      <c r="E13" s="337">
        <f>D13/'- 3 -'!$D13*100</f>
        <v>0</v>
      </c>
    </row>
    <row r="14" spans="1:6" ht="14.1" customHeight="1">
      <c r="A14" s="26" t="s">
        <v>656</v>
      </c>
      <c r="B14" s="27">
        <v>62827</v>
      </c>
      <c r="C14" s="79">
        <f>B14/'- 3 -'!$D14*100</f>
        <v>8.9927074148277095E-2</v>
      </c>
      <c r="D14" s="27">
        <v>179587</v>
      </c>
      <c r="E14" s="79">
        <f>D14/'- 3 -'!$D14*100</f>
        <v>0.25705084541784007</v>
      </c>
    </row>
    <row r="15" spans="1:6" ht="14.1" customHeight="1">
      <c r="A15" s="330" t="s">
        <v>239</v>
      </c>
      <c r="B15" s="331">
        <v>0</v>
      </c>
      <c r="C15" s="337">
        <f>B15/'- 3 -'!$D15*100</f>
        <v>0</v>
      </c>
      <c r="D15" s="331">
        <v>0</v>
      </c>
      <c r="E15" s="337">
        <f>D15/'- 3 -'!$D15*100</f>
        <v>0</v>
      </c>
    </row>
    <row r="16" spans="1:6" ht="14.1" customHeight="1">
      <c r="A16" s="26" t="s">
        <v>240</v>
      </c>
      <c r="B16" s="27">
        <v>21695</v>
      </c>
      <c r="C16" s="79">
        <f>B16/'- 3 -'!$D16*100</f>
        <v>0.16979111271288946</v>
      </c>
      <c r="D16" s="27">
        <v>70605</v>
      </c>
      <c r="E16" s="79">
        <f>D16/'- 3 -'!$D16*100</f>
        <v>0.55257439562542332</v>
      </c>
    </row>
    <row r="17" spans="1:5" ht="14.1" customHeight="1">
      <c r="A17" s="330" t="s">
        <v>241</v>
      </c>
      <c r="B17" s="331">
        <v>0</v>
      </c>
      <c r="C17" s="337">
        <f>B17/'- 3 -'!$D17*100</f>
        <v>0</v>
      </c>
      <c r="D17" s="331">
        <v>0</v>
      </c>
      <c r="E17" s="337">
        <f>D17/'- 3 -'!$D17*100</f>
        <v>0</v>
      </c>
    </row>
    <row r="18" spans="1:5" ht="14.1" customHeight="1">
      <c r="A18" s="26" t="s">
        <v>242</v>
      </c>
      <c r="B18" s="27">
        <v>241282</v>
      </c>
      <c r="C18" s="79">
        <f>B18/'- 3 -'!$D18*100</f>
        <v>0.21417898391999451</v>
      </c>
      <c r="D18" s="27">
        <v>1630806</v>
      </c>
      <c r="E18" s="79">
        <f>D18/'- 3 -'!$D18*100</f>
        <v>1.4476188528387139</v>
      </c>
    </row>
    <row r="19" spans="1:5" ht="14.1" customHeight="1">
      <c r="A19" s="330" t="s">
        <v>243</v>
      </c>
      <c r="B19" s="331">
        <v>0</v>
      </c>
      <c r="C19" s="337">
        <f>B19/'- 3 -'!$D19*100</f>
        <v>0</v>
      </c>
      <c r="D19" s="331">
        <v>0</v>
      </c>
      <c r="E19" s="337">
        <f>D19/'- 3 -'!$D19*100</f>
        <v>0</v>
      </c>
    </row>
    <row r="20" spans="1:5" ht="14.1" customHeight="1">
      <c r="A20" s="26" t="s">
        <v>244</v>
      </c>
      <c r="B20" s="27">
        <v>0</v>
      </c>
      <c r="C20" s="79">
        <f>B20/'- 3 -'!$D20*100</f>
        <v>0</v>
      </c>
      <c r="D20" s="27">
        <v>0</v>
      </c>
      <c r="E20" s="79">
        <f>D20/'- 3 -'!$D20*100</f>
        <v>0</v>
      </c>
    </row>
    <row r="21" spans="1:5" ht="14.1" customHeight="1">
      <c r="A21" s="330" t="s">
        <v>245</v>
      </c>
      <c r="B21" s="331">
        <v>0</v>
      </c>
      <c r="C21" s="337">
        <f>B21/'- 3 -'!$D21*100</f>
        <v>0</v>
      </c>
      <c r="D21" s="331">
        <v>0</v>
      </c>
      <c r="E21" s="337">
        <f>D21/'- 3 -'!$D21*100</f>
        <v>0</v>
      </c>
    </row>
    <row r="22" spans="1:5" ht="14.1" customHeight="1">
      <c r="A22" s="26" t="s">
        <v>246</v>
      </c>
      <c r="B22" s="27">
        <v>138497</v>
      </c>
      <c r="C22" s="79">
        <f>B22/'- 3 -'!$D22*100</f>
        <v>0.74562422158644492</v>
      </c>
      <c r="D22" s="27">
        <v>456449</v>
      </c>
      <c r="E22" s="79">
        <f>D22/'- 3 -'!$D22*100</f>
        <v>2.4573776350311647</v>
      </c>
    </row>
    <row r="23" spans="1:5" ht="14.1" customHeight="1">
      <c r="A23" s="330" t="s">
        <v>247</v>
      </c>
      <c r="B23" s="331">
        <v>43552</v>
      </c>
      <c r="C23" s="337">
        <f>B23/'- 3 -'!$D23*100</f>
        <v>0.27096114869310334</v>
      </c>
      <c r="D23" s="331">
        <v>202576</v>
      </c>
      <c r="E23" s="337">
        <f>D23/'- 3 -'!$D23*100</f>
        <v>1.260337657458994</v>
      </c>
    </row>
    <row r="24" spans="1:5" ht="14.1" customHeight="1">
      <c r="A24" s="26" t="s">
        <v>248</v>
      </c>
      <c r="B24" s="27">
        <v>129231</v>
      </c>
      <c r="C24" s="79">
        <f>B24/'- 3 -'!$D24*100</f>
        <v>0.25305346302932785</v>
      </c>
      <c r="D24" s="27">
        <v>252176</v>
      </c>
      <c r="E24" s="79">
        <f>D24/'- 3 -'!$D24*100</f>
        <v>0.49379800584135219</v>
      </c>
    </row>
    <row r="25" spans="1:5" ht="14.1" customHeight="1">
      <c r="A25" s="330" t="s">
        <v>249</v>
      </c>
      <c r="B25" s="331">
        <v>0</v>
      </c>
      <c r="C25" s="337">
        <f>B25/'- 3 -'!$D25*100</f>
        <v>0</v>
      </c>
      <c r="D25" s="331">
        <v>0</v>
      </c>
      <c r="E25" s="337">
        <f>D25/'- 3 -'!$D25*100</f>
        <v>0</v>
      </c>
    </row>
    <row r="26" spans="1:5" ht="14.1" customHeight="1">
      <c r="A26" s="26" t="s">
        <v>250</v>
      </c>
      <c r="B26" s="27">
        <v>0</v>
      </c>
      <c r="C26" s="79">
        <f>B26/'- 3 -'!$D26*100</f>
        <v>0</v>
      </c>
      <c r="D26" s="27">
        <v>0</v>
      </c>
      <c r="E26" s="79">
        <f>D26/'- 3 -'!$D26*100</f>
        <v>0</v>
      </c>
    </row>
    <row r="27" spans="1:5" ht="14.1" customHeight="1">
      <c r="A27" s="330" t="s">
        <v>251</v>
      </c>
      <c r="B27" s="331">
        <v>0</v>
      </c>
      <c r="C27" s="337">
        <f>B27/'- 3 -'!$D27*100</f>
        <v>0</v>
      </c>
      <c r="D27" s="331">
        <v>0</v>
      </c>
      <c r="E27" s="337">
        <f>D27/'- 3 -'!$D27*100</f>
        <v>0</v>
      </c>
    </row>
    <row r="28" spans="1:5" ht="14.1" customHeight="1">
      <c r="A28" s="26" t="s">
        <v>252</v>
      </c>
      <c r="B28" s="27">
        <v>0</v>
      </c>
      <c r="C28" s="79">
        <f>B28/'- 3 -'!$D28*100</f>
        <v>0</v>
      </c>
      <c r="D28" s="27">
        <v>178066</v>
      </c>
      <c r="E28" s="79">
        <f>D28/'- 3 -'!$D28*100</f>
        <v>0.69917271799516723</v>
      </c>
    </row>
    <row r="29" spans="1:5" ht="14.1" customHeight="1">
      <c r="A29" s="330" t="s">
        <v>253</v>
      </c>
      <c r="B29" s="331">
        <v>0</v>
      </c>
      <c r="C29" s="337">
        <f>B29/'- 3 -'!$D29*100</f>
        <v>0</v>
      </c>
      <c r="D29" s="331">
        <v>0</v>
      </c>
      <c r="E29" s="337">
        <f>D29/'- 3 -'!$D29*100</f>
        <v>0</v>
      </c>
    </row>
    <row r="30" spans="1:5" ht="14.1" customHeight="1">
      <c r="A30" s="26" t="s">
        <v>254</v>
      </c>
      <c r="B30" s="27">
        <v>0</v>
      </c>
      <c r="C30" s="79">
        <f>B30/'- 3 -'!$D30*100</f>
        <v>0</v>
      </c>
      <c r="D30" s="27">
        <v>0</v>
      </c>
      <c r="E30" s="79">
        <f>D30/'- 3 -'!$D30*100</f>
        <v>0</v>
      </c>
    </row>
    <row r="31" spans="1:5" ht="14.1" customHeight="1">
      <c r="A31" s="330" t="s">
        <v>255</v>
      </c>
      <c r="B31" s="331">
        <v>0</v>
      </c>
      <c r="C31" s="337">
        <f>B31/'- 3 -'!$D31*100</f>
        <v>0</v>
      </c>
      <c r="D31" s="331">
        <v>0</v>
      </c>
      <c r="E31" s="337">
        <f>D31/'- 3 -'!$D31*100</f>
        <v>0</v>
      </c>
    </row>
    <row r="32" spans="1:5" ht="14.1" customHeight="1">
      <c r="A32" s="26" t="s">
        <v>256</v>
      </c>
      <c r="B32" s="27">
        <v>66825</v>
      </c>
      <c r="C32" s="79">
        <f>B32/'- 3 -'!$D32*100</f>
        <v>0.27074810710304875</v>
      </c>
      <c r="D32" s="27">
        <v>188016</v>
      </c>
      <c r="E32" s="79">
        <f>D32/'- 3 -'!$D32*100</f>
        <v>0.76176544863579221</v>
      </c>
    </row>
    <row r="33" spans="1:6" ht="14.1" customHeight="1">
      <c r="A33" s="330" t="s">
        <v>257</v>
      </c>
      <c r="B33" s="331">
        <v>0</v>
      </c>
      <c r="C33" s="337">
        <f>B33/'- 3 -'!$D33*100</f>
        <v>0</v>
      </c>
      <c r="D33" s="331">
        <v>0</v>
      </c>
      <c r="E33" s="337">
        <f>D33/'- 3 -'!$D33*100</f>
        <v>0</v>
      </c>
    </row>
    <row r="34" spans="1:6" ht="14.1" customHeight="1">
      <c r="A34" s="26" t="s">
        <v>258</v>
      </c>
      <c r="B34" s="27">
        <v>0</v>
      </c>
      <c r="C34" s="79">
        <f>B34/'- 3 -'!$D34*100</f>
        <v>0</v>
      </c>
      <c r="D34" s="27">
        <v>0</v>
      </c>
      <c r="E34" s="79">
        <f>D34/'- 3 -'!$D34*100</f>
        <v>0</v>
      </c>
    </row>
    <row r="35" spans="1:6" ht="14.1" customHeight="1">
      <c r="A35" s="330" t="s">
        <v>259</v>
      </c>
      <c r="B35" s="331">
        <v>260683</v>
      </c>
      <c r="C35" s="337">
        <f>B35/'- 3 -'!$D35*100</f>
        <v>0.15700716799821182</v>
      </c>
      <c r="D35" s="331">
        <v>761139</v>
      </c>
      <c r="E35" s="337">
        <f>D35/'- 3 -'!$D35*100</f>
        <v>0.45842758769459824</v>
      </c>
    </row>
    <row r="36" spans="1:6" ht="14.1" customHeight="1">
      <c r="A36" s="26" t="s">
        <v>260</v>
      </c>
      <c r="B36" s="27">
        <v>28788</v>
      </c>
      <c r="C36" s="79">
        <f>B36/'- 3 -'!$D36*100</f>
        <v>0.14008662324571772</v>
      </c>
      <c r="D36" s="27">
        <v>86249</v>
      </c>
      <c r="E36" s="79">
        <f>D36/'- 3 -'!$D36*100</f>
        <v>0.41970026289842666</v>
      </c>
    </row>
    <row r="37" spans="1:6" ht="14.1" customHeight="1">
      <c r="A37" s="330" t="s">
        <v>261</v>
      </c>
      <c r="B37" s="331">
        <v>75571</v>
      </c>
      <c r="C37" s="337">
        <f>B37/'- 3 -'!$D37*100</f>
        <v>0.19084516469729876</v>
      </c>
      <c r="D37" s="331">
        <v>229787</v>
      </c>
      <c r="E37" s="337">
        <f>D37/'- 3 -'!$D37*100</f>
        <v>0.58029849889902463</v>
      </c>
    </row>
    <row r="38" spans="1:6" ht="14.1" customHeight="1">
      <c r="A38" s="26" t="s">
        <v>262</v>
      </c>
      <c r="B38" s="27">
        <v>195263</v>
      </c>
      <c r="C38" s="79">
        <f>B38/'- 3 -'!$D38*100</f>
        <v>0.17746168364290105</v>
      </c>
      <c r="D38" s="27">
        <v>542797</v>
      </c>
      <c r="E38" s="79">
        <f>D38/'- 3 -'!$D38*100</f>
        <v>0.493312452929207</v>
      </c>
    </row>
    <row r="39" spans="1:6" ht="14.1" customHeight="1">
      <c r="A39" s="330" t="s">
        <v>263</v>
      </c>
      <c r="B39" s="331">
        <v>0</v>
      </c>
      <c r="C39" s="337">
        <f>B39/'- 3 -'!$D39*100</f>
        <v>0</v>
      </c>
      <c r="D39" s="331">
        <v>0</v>
      </c>
      <c r="E39" s="337">
        <f>D39/'- 3 -'!$D39*100</f>
        <v>0</v>
      </c>
    </row>
    <row r="40" spans="1:6" ht="14.1" customHeight="1">
      <c r="A40" s="26" t="s">
        <v>264</v>
      </c>
      <c r="B40" s="27">
        <v>0</v>
      </c>
      <c r="C40" s="79">
        <f>B40/'- 3 -'!$D40*100</f>
        <v>0</v>
      </c>
      <c r="D40" s="27">
        <v>0</v>
      </c>
      <c r="E40" s="79">
        <f>D40/'- 3 -'!$D40*100</f>
        <v>0</v>
      </c>
    </row>
    <row r="41" spans="1:6" ht="14.1" customHeight="1">
      <c r="A41" s="330" t="s">
        <v>265</v>
      </c>
      <c r="B41" s="331">
        <v>362369</v>
      </c>
      <c r="C41" s="337">
        <f>B41/'- 3 -'!$D41*100</f>
        <v>0.62583024805498066</v>
      </c>
      <c r="D41" s="331">
        <v>609997</v>
      </c>
      <c r="E41" s="337">
        <f>D41/'- 3 -'!$D41*100</f>
        <v>1.0534967776570128</v>
      </c>
    </row>
    <row r="42" spans="1:6" ht="14.1" customHeight="1">
      <c r="A42" s="26" t="s">
        <v>266</v>
      </c>
      <c r="B42" s="27">
        <v>0</v>
      </c>
      <c r="C42" s="79">
        <f>B42/'- 3 -'!$D42*100</f>
        <v>0</v>
      </c>
      <c r="D42" s="27">
        <v>0</v>
      </c>
      <c r="E42" s="79">
        <f>D42/'- 3 -'!$D42*100</f>
        <v>0</v>
      </c>
    </row>
    <row r="43" spans="1:6" ht="14.1" customHeight="1">
      <c r="A43" s="330" t="s">
        <v>267</v>
      </c>
      <c r="B43" s="331">
        <v>0</v>
      </c>
      <c r="C43" s="337">
        <f>B43/'- 3 -'!$D43*100</f>
        <v>0</v>
      </c>
      <c r="D43" s="331">
        <v>241216</v>
      </c>
      <c r="E43" s="337">
        <f>D43/'- 3 -'!$D43*100</f>
        <v>2.0713389837407239</v>
      </c>
    </row>
    <row r="44" spans="1:6" ht="14.1" customHeight="1">
      <c r="A44" s="26" t="s">
        <v>268</v>
      </c>
      <c r="B44" s="27">
        <v>0</v>
      </c>
      <c r="C44" s="79">
        <f>B44/'- 3 -'!$D44*100</f>
        <v>0</v>
      </c>
      <c r="D44" s="27">
        <v>0</v>
      </c>
      <c r="E44" s="79">
        <f>D44/'- 3 -'!$D44*100</f>
        <v>0</v>
      </c>
    </row>
    <row r="45" spans="1:6" ht="14.1" customHeight="1">
      <c r="A45" s="330" t="s">
        <v>269</v>
      </c>
      <c r="B45" s="331">
        <v>172717</v>
      </c>
      <c r="C45" s="337">
        <f>B45/'- 3 -'!$D45*100</f>
        <v>1.0599576255063914</v>
      </c>
      <c r="D45" s="331">
        <v>203783</v>
      </c>
      <c r="E45" s="337">
        <f>D45/'- 3 -'!$D45*100</f>
        <v>1.2506084797591954</v>
      </c>
    </row>
    <row r="46" spans="1:6" ht="14.1" customHeight="1">
      <c r="A46" s="26" t="s">
        <v>270</v>
      </c>
      <c r="B46" s="27">
        <v>117069</v>
      </c>
      <c r="C46" s="79">
        <f>B46/'- 3 -'!$D46*100</f>
        <v>3.3704582194507997E-2</v>
      </c>
      <c r="D46" s="27">
        <v>657295</v>
      </c>
      <c r="E46" s="79">
        <f>D46/'- 3 -'!$D46*100</f>
        <v>0.18923757231666055</v>
      </c>
    </row>
    <row r="47" spans="1:6" ht="5.0999999999999996" customHeight="1">
      <c r="A47"/>
      <c r="B47"/>
      <c r="C47"/>
      <c r="D47"/>
      <c r="E47"/>
      <c r="F47"/>
    </row>
    <row r="48" spans="1:6" ht="14.1" customHeight="1">
      <c r="A48" s="332" t="s">
        <v>271</v>
      </c>
      <c r="B48" s="333">
        <f>SUM(B11:B46)</f>
        <v>2040106</v>
      </c>
      <c r="C48" s="340">
        <f>B48/'- 3 -'!$D48*100</f>
        <v>0.10206009024502742</v>
      </c>
      <c r="D48" s="333">
        <f>SUM(D11:D46)</f>
        <v>6896452</v>
      </c>
      <c r="E48" s="340">
        <f>D48/'- 3 -'!$D48*100</f>
        <v>0.34500781503044436</v>
      </c>
    </row>
    <row r="49" spans="1:5" ht="5.0999999999999996" customHeight="1">
      <c r="A49" s="28" t="s">
        <v>17</v>
      </c>
      <c r="B49"/>
      <c r="C49"/>
      <c r="D49"/>
      <c r="E49"/>
    </row>
    <row r="50" spans="1:5" ht="14.1" customHeight="1">
      <c r="A50" s="26" t="s">
        <v>272</v>
      </c>
      <c r="B50" s="27">
        <v>0</v>
      </c>
      <c r="C50" s="79">
        <f>B50/'- 3 -'!$D50*100</f>
        <v>0</v>
      </c>
      <c r="D50" s="27">
        <v>0</v>
      </c>
      <c r="E50" s="79">
        <f>D50/'- 3 -'!$D50*100</f>
        <v>0</v>
      </c>
    </row>
    <row r="51" spans="1:5" ht="14.1" customHeight="1">
      <c r="A51" s="330" t="s">
        <v>273</v>
      </c>
      <c r="B51" s="331">
        <v>986277</v>
      </c>
      <c r="C51" s="337">
        <f>B51/'- 3 -'!$D51*100</f>
        <v>5.4533788818769926</v>
      </c>
      <c r="D51" s="331">
        <v>1455217</v>
      </c>
      <c r="E51" s="337">
        <f>D51/'- 3 -'!$D51*100</f>
        <v>8.0462686003510093</v>
      </c>
    </row>
    <row r="52" spans="1:5"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22.xml><?xml version="1.0" encoding="utf-8"?>
<worksheet xmlns="http://schemas.openxmlformats.org/spreadsheetml/2006/main" xmlns:r="http://schemas.openxmlformats.org/officeDocument/2006/relationships">
  <sheetPr codeName="Sheet20">
    <pageSetUpPr fitToPage="1"/>
  </sheetPr>
  <dimension ref="A1:J52"/>
  <sheetViews>
    <sheetView showGridLines="0" showZeros="0" workbookViewId="0"/>
  </sheetViews>
  <sheetFormatPr defaultColWidth="15.83203125" defaultRowHeight="12"/>
  <cols>
    <col min="1" max="1" width="32.83203125" style="1" customWidth="1"/>
    <col min="2" max="2" width="13.83203125" style="1" customWidth="1"/>
    <col min="3" max="3" width="8.83203125" style="1" customWidth="1"/>
    <col min="4" max="4" width="14.83203125" style="1" customWidth="1"/>
    <col min="5" max="5" width="10.5" style="1" customWidth="1"/>
    <col min="6" max="6" width="18.83203125" style="1" customWidth="1"/>
    <col min="7" max="7" width="8.83203125" style="1" customWidth="1"/>
    <col min="8" max="8" width="16.83203125" style="1" customWidth="1"/>
    <col min="9" max="9" width="8.83203125" style="1" customWidth="1"/>
    <col min="10" max="16384" width="15.83203125" style="1"/>
  </cols>
  <sheetData>
    <row r="1" spans="1:9" ht="6.95" customHeight="1">
      <c r="A1" s="6"/>
      <c r="B1" s="7"/>
      <c r="C1" s="7"/>
      <c r="D1" s="7"/>
      <c r="E1" s="7"/>
      <c r="F1" s="7"/>
      <c r="G1" s="7"/>
      <c r="H1" s="7"/>
      <c r="I1" s="7"/>
    </row>
    <row r="2" spans="1:9" ht="15.95" customHeight="1">
      <c r="A2" s="152"/>
      <c r="B2" s="8" t="s">
        <v>492</v>
      </c>
      <c r="C2" s="9"/>
      <c r="D2" s="9"/>
      <c r="E2" s="9"/>
      <c r="F2" s="9"/>
      <c r="G2" s="82"/>
      <c r="H2" s="82"/>
      <c r="I2" s="523" t="s">
        <v>460</v>
      </c>
    </row>
    <row r="3" spans="1:9" ht="15.95" customHeight="1">
      <c r="A3" s="154"/>
      <c r="B3" s="10" t="str">
        <f>OPYEAR</f>
        <v>OPERATING FUND 2012/2013 ACTUAL</v>
      </c>
      <c r="C3" s="11"/>
      <c r="D3" s="11"/>
      <c r="E3" s="11"/>
      <c r="F3" s="11"/>
      <c r="G3" s="84"/>
      <c r="H3" s="84"/>
      <c r="I3" s="74"/>
    </row>
    <row r="4" spans="1:9" ht="15.95" customHeight="1">
      <c r="B4" s="7"/>
      <c r="C4" s="7"/>
      <c r="D4" s="7"/>
      <c r="E4" s="7"/>
      <c r="F4" s="7"/>
      <c r="G4" s="7"/>
      <c r="H4" s="7"/>
      <c r="I4" s="7"/>
    </row>
    <row r="5" spans="1:9" ht="15.95" customHeight="1">
      <c r="B5" s="185" t="s">
        <v>27</v>
      </c>
      <c r="C5" s="186"/>
      <c r="D5" s="187"/>
      <c r="E5" s="187"/>
      <c r="F5" s="187"/>
      <c r="G5" s="187"/>
      <c r="H5" s="187"/>
      <c r="I5" s="188"/>
    </row>
    <row r="6" spans="1:9" ht="15.95" customHeight="1">
      <c r="B6" s="357"/>
      <c r="C6" s="358"/>
      <c r="D6" s="357" t="s">
        <v>448</v>
      </c>
      <c r="E6" s="358"/>
      <c r="F6" s="391"/>
      <c r="G6" s="392"/>
      <c r="H6" s="357"/>
      <c r="I6" s="358"/>
    </row>
    <row r="7" spans="1:9" ht="15.95" customHeight="1">
      <c r="B7" s="393" t="s">
        <v>233</v>
      </c>
      <c r="C7" s="394"/>
      <c r="D7" s="393" t="s">
        <v>539</v>
      </c>
      <c r="E7" s="394"/>
      <c r="F7" s="393" t="s">
        <v>51</v>
      </c>
      <c r="G7" s="394"/>
      <c r="H7" s="393" t="s">
        <v>195</v>
      </c>
      <c r="I7" s="394"/>
    </row>
    <row r="8" spans="1:9" ht="15.95" customHeight="1">
      <c r="A8" s="75"/>
      <c r="B8" s="344" t="s">
        <v>90</v>
      </c>
      <c r="C8" s="346"/>
      <c r="D8" s="344" t="s">
        <v>411</v>
      </c>
      <c r="E8" s="346"/>
      <c r="F8" s="344" t="s">
        <v>75</v>
      </c>
      <c r="G8" s="346"/>
      <c r="H8" s="344" t="s">
        <v>90</v>
      </c>
      <c r="I8" s="346"/>
    </row>
    <row r="9" spans="1:9" ht="15.95" customHeight="1">
      <c r="A9" s="42" t="s">
        <v>94</v>
      </c>
      <c r="B9" s="189" t="s">
        <v>95</v>
      </c>
      <c r="C9" s="189" t="s">
        <v>96</v>
      </c>
      <c r="D9" s="189" t="s">
        <v>95</v>
      </c>
      <c r="E9" s="189" t="s">
        <v>96</v>
      </c>
      <c r="F9" s="189" t="s">
        <v>95</v>
      </c>
      <c r="G9" s="189" t="s">
        <v>96</v>
      </c>
      <c r="H9" s="189" t="s">
        <v>95</v>
      </c>
      <c r="I9" s="189" t="s">
        <v>96</v>
      </c>
    </row>
    <row r="10" spans="1:9" ht="5.0999999999999996" customHeight="1">
      <c r="A10" s="5"/>
    </row>
    <row r="11" spans="1:9" ht="14.1" customHeight="1">
      <c r="A11" s="330" t="s">
        <v>236</v>
      </c>
      <c r="B11" s="331">
        <v>0</v>
      </c>
      <c r="C11" s="337">
        <f>B11/'- 3 -'!$D11*100</f>
        <v>0</v>
      </c>
      <c r="D11" s="331">
        <v>0</v>
      </c>
      <c r="E11" s="337">
        <f>D11/'- 3 -'!$D11*100</f>
        <v>0</v>
      </c>
      <c r="F11" s="331">
        <v>0</v>
      </c>
      <c r="G11" s="337">
        <f>F11/'- 3 -'!$D11*100</f>
        <v>0</v>
      </c>
      <c r="H11" s="331">
        <v>19037</v>
      </c>
      <c r="I11" s="337">
        <f>H11/'- 3 -'!$D11*100</f>
        <v>0.12166620257074418</v>
      </c>
    </row>
    <row r="12" spans="1:9" ht="14.1" customHeight="1">
      <c r="A12" s="26" t="s">
        <v>237</v>
      </c>
      <c r="B12" s="27">
        <v>0</v>
      </c>
      <c r="C12" s="79">
        <f>B12/'- 3 -'!$D12*100</f>
        <v>0</v>
      </c>
      <c r="D12" s="27">
        <v>0</v>
      </c>
      <c r="E12" s="79">
        <f>D12/'- 3 -'!$D12*100</f>
        <v>0</v>
      </c>
      <c r="F12" s="27">
        <v>0</v>
      </c>
      <c r="G12" s="79">
        <f>F12/'- 3 -'!$D12*100</f>
        <v>0</v>
      </c>
      <c r="H12" s="27">
        <v>58379</v>
      </c>
      <c r="I12" s="79">
        <f>H12/'- 3 -'!$D12*100</f>
        <v>0.19769605982429944</v>
      </c>
    </row>
    <row r="13" spans="1:9" ht="14.1" customHeight="1">
      <c r="A13" s="330" t="s">
        <v>238</v>
      </c>
      <c r="B13" s="331">
        <v>0</v>
      </c>
      <c r="C13" s="337">
        <f>B13/'- 3 -'!$D13*100</f>
        <v>0</v>
      </c>
      <c r="D13" s="331">
        <v>0</v>
      </c>
      <c r="E13" s="337">
        <f>D13/'- 3 -'!$D13*100</f>
        <v>0</v>
      </c>
      <c r="F13" s="331">
        <v>136071</v>
      </c>
      <c r="G13" s="337">
        <f>F13/'- 3 -'!$D13*100</f>
        <v>0.16917270728064027</v>
      </c>
      <c r="H13" s="331">
        <v>145750</v>
      </c>
      <c r="I13" s="337">
        <f>H13/'- 3 -'!$D13*100</f>
        <v>0.1812062973458953</v>
      </c>
    </row>
    <row r="14" spans="1:9" ht="14.1" customHeight="1">
      <c r="A14" s="26" t="s">
        <v>656</v>
      </c>
      <c r="B14" s="27">
        <v>0</v>
      </c>
      <c r="C14" s="79">
        <f>B14/'- 3 -'!$D14*100</f>
        <v>0</v>
      </c>
      <c r="D14" s="27">
        <v>0</v>
      </c>
      <c r="E14" s="79">
        <f>D14/'- 3 -'!$D14*100</f>
        <v>0</v>
      </c>
      <c r="F14" s="27">
        <v>0</v>
      </c>
      <c r="G14" s="79">
        <f>F14/'- 3 -'!$D14*100</f>
        <v>0</v>
      </c>
      <c r="H14" s="27">
        <v>690880</v>
      </c>
      <c r="I14" s="79">
        <f>H14/'- 3 -'!$D14*100</f>
        <v>0.98888721389787315</v>
      </c>
    </row>
    <row r="15" spans="1:9" ht="14.1" customHeight="1">
      <c r="A15" s="330" t="s">
        <v>239</v>
      </c>
      <c r="B15" s="331">
        <v>13505</v>
      </c>
      <c r="C15" s="337">
        <f>B15/'- 3 -'!$D15*100</f>
        <v>7.2622180163556663E-2</v>
      </c>
      <c r="D15" s="331">
        <v>0</v>
      </c>
      <c r="E15" s="337">
        <f>D15/'- 3 -'!$D15*100</f>
        <v>0</v>
      </c>
      <c r="F15" s="331">
        <v>0</v>
      </c>
      <c r="G15" s="337">
        <f>F15/'- 3 -'!$D15*100</f>
        <v>0</v>
      </c>
      <c r="H15" s="331">
        <v>63441</v>
      </c>
      <c r="I15" s="337">
        <f>H15/'- 3 -'!$D15*100</f>
        <v>0.34114948032256187</v>
      </c>
    </row>
    <row r="16" spans="1:9" ht="14.1" customHeight="1">
      <c r="A16" s="26" t="s">
        <v>240</v>
      </c>
      <c r="B16" s="27">
        <v>0</v>
      </c>
      <c r="C16" s="79">
        <f>B16/'- 3 -'!$D16*100</f>
        <v>0</v>
      </c>
      <c r="D16" s="27">
        <v>0</v>
      </c>
      <c r="E16" s="79">
        <f>D16/'- 3 -'!$D16*100</f>
        <v>0</v>
      </c>
      <c r="F16" s="27">
        <v>0</v>
      </c>
      <c r="G16" s="79">
        <f>F16/'- 3 -'!$D16*100</f>
        <v>0</v>
      </c>
      <c r="H16" s="27">
        <v>11748</v>
      </c>
      <c r="I16" s="79">
        <f>H16/'- 3 -'!$D16*100</f>
        <v>9.1943120172898143E-2</v>
      </c>
    </row>
    <row r="17" spans="1:9" ht="14.1" customHeight="1">
      <c r="A17" s="330" t="s">
        <v>241</v>
      </c>
      <c r="B17" s="331">
        <v>0</v>
      </c>
      <c r="C17" s="337">
        <f>B17/'- 3 -'!$D17*100</f>
        <v>0</v>
      </c>
      <c r="D17" s="331">
        <v>0</v>
      </c>
      <c r="E17" s="337">
        <f>D17/'- 3 -'!$D17*100</f>
        <v>0</v>
      </c>
      <c r="F17" s="331">
        <v>67466</v>
      </c>
      <c r="G17" s="337">
        <f>F17/'- 3 -'!$D17*100</f>
        <v>0.41917373454620716</v>
      </c>
      <c r="H17" s="331">
        <v>277402</v>
      </c>
      <c r="I17" s="337">
        <f>H17/'- 3 -'!$D17*100</f>
        <v>1.7235293675419761</v>
      </c>
    </row>
    <row r="18" spans="1:9" ht="14.1" customHeight="1">
      <c r="A18" s="26" t="s">
        <v>242</v>
      </c>
      <c r="B18" s="27">
        <v>0</v>
      </c>
      <c r="C18" s="79">
        <f>B18/'- 3 -'!$D18*100</f>
        <v>0</v>
      </c>
      <c r="D18" s="27">
        <v>0</v>
      </c>
      <c r="E18" s="79">
        <f>D18/'- 3 -'!$D18*100</f>
        <v>0</v>
      </c>
      <c r="F18" s="27">
        <v>944862</v>
      </c>
      <c r="G18" s="79">
        <f>F18/'- 3 -'!$D18*100</f>
        <v>0.83872639941899463</v>
      </c>
      <c r="H18" s="27">
        <v>1371487</v>
      </c>
      <c r="I18" s="79">
        <f>H18/'- 3 -'!$D18*100</f>
        <v>1.2174289508520384</v>
      </c>
    </row>
    <row r="19" spans="1:9" ht="14.1" customHeight="1">
      <c r="A19" s="330" t="s">
        <v>243</v>
      </c>
      <c r="B19" s="331">
        <v>0</v>
      </c>
      <c r="C19" s="337">
        <f>B19/'- 3 -'!$D19*100</f>
        <v>0</v>
      </c>
      <c r="D19" s="331">
        <v>0</v>
      </c>
      <c r="E19" s="337">
        <f>D19/'- 3 -'!$D19*100</f>
        <v>0</v>
      </c>
      <c r="F19" s="331">
        <v>0</v>
      </c>
      <c r="G19" s="337">
        <f>F19/'- 3 -'!$D19*100</f>
        <v>0</v>
      </c>
      <c r="H19" s="331">
        <v>57409</v>
      </c>
      <c r="I19" s="337">
        <f>H19/'- 3 -'!$D19*100</f>
        <v>0.14734573882355018</v>
      </c>
    </row>
    <row r="20" spans="1:9" ht="14.1" customHeight="1">
      <c r="A20" s="26" t="s">
        <v>244</v>
      </c>
      <c r="B20" s="27">
        <v>0</v>
      </c>
      <c r="C20" s="79">
        <f>B20/'- 3 -'!$D20*100</f>
        <v>0</v>
      </c>
      <c r="D20" s="27">
        <v>0</v>
      </c>
      <c r="E20" s="79">
        <f>D20/'- 3 -'!$D20*100</f>
        <v>0</v>
      </c>
      <c r="F20" s="27">
        <v>0</v>
      </c>
      <c r="G20" s="79">
        <f>F20/'- 3 -'!$D20*100</f>
        <v>0</v>
      </c>
      <c r="H20" s="27">
        <v>139768</v>
      </c>
      <c r="I20" s="79">
        <f>H20/'- 3 -'!$D20*100</f>
        <v>0.20656303163733153</v>
      </c>
    </row>
    <row r="21" spans="1:9" ht="14.1" customHeight="1">
      <c r="A21" s="330" t="s">
        <v>245</v>
      </c>
      <c r="B21" s="331">
        <v>172068</v>
      </c>
      <c r="C21" s="337">
        <f>B21/'- 3 -'!$D21*100</f>
        <v>0.52681819604110525</v>
      </c>
      <c r="D21" s="331">
        <v>0</v>
      </c>
      <c r="E21" s="337">
        <f>D21/'- 3 -'!$D21*100</f>
        <v>0</v>
      </c>
      <c r="F21" s="331">
        <v>0</v>
      </c>
      <c r="G21" s="337">
        <f>F21/'- 3 -'!$D21*100</f>
        <v>0</v>
      </c>
      <c r="H21" s="331">
        <v>81988</v>
      </c>
      <c r="I21" s="337">
        <f>H21/'- 3 -'!$D21*100</f>
        <v>0.25102151624368352</v>
      </c>
    </row>
    <row r="22" spans="1:9" ht="14.1" customHeight="1">
      <c r="A22" s="26" t="s">
        <v>246</v>
      </c>
      <c r="B22" s="27">
        <v>0</v>
      </c>
      <c r="C22" s="79">
        <f>B22/'- 3 -'!$D22*100</f>
        <v>0</v>
      </c>
      <c r="D22" s="27">
        <v>0</v>
      </c>
      <c r="E22" s="79">
        <f>D22/'- 3 -'!$D22*100</f>
        <v>0</v>
      </c>
      <c r="F22" s="27">
        <v>57757</v>
      </c>
      <c r="G22" s="79">
        <f>F22/'- 3 -'!$D22*100</f>
        <v>0.31094549460398635</v>
      </c>
      <c r="H22" s="27">
        <v>0</v>
      </c>
      <c r="I22" s="79">
        <f>H22/'- 3 -'!$D22*100</f>
        <v>0</v>
      </c>
    </row>
    <row r="23" spans="1:9" ht="14.1" customHeight="1">
      <c r="A23" s="330" t="s">
        <v>247</v>
      </c>
      <c r="B23" s="331">
        <v>127783</v>
      </c>
      <c r="C23" s="337">
        <f>B23/'- 3 -'!$D23*100</f>
        <v>0.79500891953184305</v>
      </c>
      <c r="D23" s="331">
        <v>0</v>
      </c>
      <c r="E23" s="337">
        <f>D23/'- 3 -'!$D23*100</f>
        <v>0</v>
      </c>
      <c r="F23" s="331">
        <v>149808</v>
      </c>
      <c r="G23" s="337">
        <f>F23/'- 3 -'!$D23*100</f>
        <v>0.93203866098953947</v>
      </c>
      <c r="H23" s="331">
        <v>38127</v>
      </c>
      <c r="I23" s="337">
        <f>H23/'- 3 -'!$D23*100</f>
        <v>0.23720921464506686</v>
      </c>
    </row>
    <row r="24" spans="1:9" ht="14.1" customHeight="1">
      <c r="A24" s="26" t="s">
        <v>248</v>
      </c>
      <c r="B24" s="27">
        <v>267817</v>
      </c>
      <c r="C24" s="79">
        <f>B24/'- 3 -'!$D24*100</f>
        <v>0.52442540341036981</v>
      </c>
      <c r="D24" s="27">
        <v>0</v>
      </c>
      <c r="E24" s="79">
        <f>D24/'- 3 -'!$D24*100</f>
        <v>0</v>
      </c>
      <c r="F24" s="27">
        <v>182622</v>
      </c>
      <c r="G24" s="79">
        <f>F24/'- 3 -'!$D24*100</f>
        <v>0.35760095894438576</v>
      </c>
      <c r="H24" s="27">
        <v>0</v>
      </c>
      <c r="I24" s="79">
        <f>H24/'- 3 -'!$D24*100</f>
        <v>0</v>
      </c>
    </row>
    <row r="25" spans="1:9" ht="14.1" customHeight="1">
      <c r="A25" s="330" t="s">
        <v>249</v>
      </c>
      <c r="B25" s="331">
        <v>354774</v>
      </c>
      <c r="C25" s="337">
        <f>B25/'- 3 -'!$D25*100</f>
        <v>0.23683277805060937</v>
      </c>
      <c r="D25" s="331">
        <v>159235</v>
      </c>
      <c r="E25" s="337">
        <f>D25/'- 3 -'!$D25*100</f>
        <v>0.1062988477534678</v>
      </c>
      <c r="F25" s="331">
        <v>102915</v>
      </c>
      <c r="G25" s="337">
        <f>F25/'- 3 -'!$D25*100</f>
        <v>6.8701892903872505E-2</v>
      </c>
      <c r="H25" s="331">
        <v>513819</v>
      </c>
      <c r="I25" s="337">
        <f>H25/'- 3 -'!$D25*100</f>
        <v>0.3430047894862252</v>
      </c>
    </row>
    <row r="26" spans="1:9" ht="14.1" customHeight="1">
      <c r="A26" s="26" t="s">
        <v>250</v>
      </c>
      <c r="B26" s="27">
        <v>0</v>
      </c>
      <c r="C26" s="79">
        <f>B26/'- 3 -'!$D26*100</f>
        <v>0</v>
      </c>
      <c r="D26" s="27">
        <v>0</v>
      </c>
      <c r="E26" s="79">
        <f>D26/'- 3 -'!$D26*100</f>
        <v>0</v>
      </c>
      <c r="F26" s="27">
        <v>0</v>
      </c>
      <c r="G26" s="79">
        <f>F26/'- 3 -'!$D26*100</f>
        <v>0</v>
      </c>
      <c r="H26" s="27">
        <v>115183</v>
      </c>
      <c r="I26" s="79">
        <f>H26/'- 3 -'!$D26*100</f>
        <v>0.30898495345777161</v>
      </c>
    </row>
    <row r="27" spans="1:9" ht="14.1" customHeight="1">
      <c r="A27" s="330" t="s">
        <v>251</v>
      </c>
      <c r="B27" s="331">
        <v>0</v>
      </c>
      <c r="C27" s="337">
        <f>B27/'- 3 -'!$D27*100</f>
        <v>0</v>
      </c>
      <c r="D27" s="331">
        <v>0</v>
      </c>
      <c r="E27" s="337">
        <f>D27/'- 3 -'!$D27*100</f>
        <v>0</v>
      </c>
      <c r="F27" s="331">
        <v>0</v>
      </c>
      <c r="G27" s="337">
        <f>F27/'- 3 -'!$D27*100</f>
        <v>0</v>
      </c>
      <c r="H27" s="331">
        <v>29483</v>
      </c>
      <c r="I27" s="337">
        <f>H27/'- 3 -'!$D27*100</f>
        <v>8.086051849904799E-2</v>
      </c>
    </row>
    <row r="28" spans="1:9" ht="14.1" customHeight="1">
      <c r="A28" s="26" t="s">
        <v>252</v>
      </c>
      <c r="B28" s="27">
        <v>0</v>
      </c>
      <c r="C28" s="79">
        <f>B28/'- 3 -'!$D28*100</f>
        <v>0</v>
      </c>
      <c r="D28" s="27">
        <v>0</v>
      </c>
      <c r="E28" s="79">
        <f>D28/'- 3 -'!$D28*100</f>
        <v>0</v>
      </c>
      <c r="F28" s="27">
        <v>0</v>
      </c>
      <c r="G28" s="79">
        <f>F28/'- 3 -'!$D28*100</f>
        <v>0</v>
      </c>
      <c r="H28" s="27">
        <v>72909</v>
      </c>
      <c r="I28" s="79">
        <f>H28/'- 3 -'!$D28*100</f>
        <v>0.28627578367745471</v>
      </c>
    </row>
    <row r="29" spans="1:9" ht="14.1" customHeight="1">
      <c r="A29" s="330" t="s">
        <v>253</v>
      </c>
      <c r="B29" s="331">
        <v>0</v>
      </c>
      <c r="C29" s="337">
        <f>B29/'- 3 -'!$D29*100</f>
        <v>0</v>
      </c>
      <c r="D29" s="331">
        <v>0</v>
      </c>
      <c r="E29" s="337">
        <f>D29/'- 3 -'!$D29*100</f>
        <v>0</v>
      </c>
      <c r="F29" s="331">
        <v>782176</v>
      </c>
      <c r="G29" s="337">
        <f>F29/'- 3 -'!$D29*100</f>
        <v>0.56648340054935364</v>
      </c>
      <c r="H29" s="331">
        <v>241696</v>
      </c>
      <c r="I29" s="337">
        <f>H29/'- 3 -'!$D29*100</f>
        <v>0.17504598962276596</v>
      </c>
    </row>
    <row r="30" spans="1:9" ht="14.1" customHeight="1">
      <c r="A30" s="26" t="s">
        <v>254</v>
      </c>
      <c r="B30" s="27">
        <v>0</v>
      </c>
      <c r="C30" s="79">
        <f>B30/'- 3 -'!$D30*100</f>
        <v>0</v>
      </c>
      <c r="D30" s="27">
        <v>0</v>
      </c>
      <c r="E30" s="79">
        <f>D30/'- 3 -'!$D30*100</f>
        <v>0</v>
      </c>
      <c r="F30" s="27">
        <v>0</v>
      </c>
      <c r="G30" s="79">
        <f>F30/'- 3 -'!$D30*100</f>
        <v>0</v>
      </c>
      <c r="H30" s="27">
        <v>10401</v>
      </c>
      <c r="I30" s="79">
        <f>H30/'- 3 -'!$D30*100</f>
        <v>7.8118422300785445E-2</v>
      </c>
    </row>
    <row r="31" spans="1:9" ht="14.1" customHeight="1">
      <c r="A31" s="330" t="s">
        <v>255</v>
      </c>
      <c r="B31" s="331">
        <v>0</v>
      </c>
      <c r="C31" s="337">
        <f>B31/'- 3 -'!$D31*100</f>
        <v>0</v>
      </c>
      <c r="D31" s="331">
        <v>0</v>
      </c>
      <c r="E31" s="337">
        <f>D31/'- 3 -'!$D31*100</f>
        <v>0</v>
      </c>
      <c r="F31" s="331">
        <v>0</v>
      </c>
      <c r="G31" s="337">
        <f>F31/'- 3 -'!$D31*100</f>
        <v>0</v>
      </c>
      <c r="H31" s="331">
        <v>44580</v>
      </c>
      <c r="I31" s="337">
        <f>H31/'- 3 -'!$D31*100</f>
        <v>0.13658664460201034</v>
      </c>
    </row>
    <row r="32" spans="1:9" ht="14.1" customHeight="1">
      <c r="A32" s="26" t="s">
        <v>256</v>
      </c>
      <c r="B32" s="27">
        <v>0</v>
      </c>
      <c r="C32" s="79">
        <f>B32/'- 3 -'!$D32*100</f>
        <v>0</v>
      </c>
      <c r="D32" s="27">
        <v>0</v>
      </c>
      <c r="E32" s="79">
        <f>D32/'- 3 -'!$D32*100</f>
        <v>0</v>
      </c>
      <c r="F32" s="27">
        <v>0</v>
      </c>
      <c r="G32" s="79">
        <f>F32/'- 3 -'!$D32*100</f>
        <v>0</v>
      </c>
      <c r="H32" s="27">
        <v>31396</v>
      </c>
      <c r="I32" s="79">
        <f>H32/'- 3 -'!$D32*100</f>
        <v>0.12720400404949223</v>
      </c>
    </row>
    <row r="33" spans="1:10" ht="14.1" customHeight="1">
      <c r="A33" s="330" t="s">
        <v>257</v>
      </c>
      <c r="B33" s="331">
        <v>0</v>
      </c>
      <c r="C33" s="337">
        <f>B33/'- 3 -'!$D33*100</f>
        <v>0</v>
      </c>
      <c r="D33" s="331">
        <v>0</v>
      </c>
      <c r="E33" s="337">
        <f>D33/'- 3 -'!$D33*100</f>
        <v>0</v>
      </c>
      <c r="F33" s="331">
        <v>0</v>
      </c>
      <c r="G33" s="337">
        <f>F33/'- 3 -'!$D33*100</f>
        <v>0</v>
      </c>
      <c r="H33" s="331">
        <v>32596</v>
      </c>
      <c r="I33" s="337">
        <f>H33/'- 3 -'!$D33*100</f>
        <v>0.12911520553365366</v>
      </c>
    </row>
    <row r="34" spans="1:10" ht="14.1" customHeight="1">
      <c r="A34" s="26" t="s">
        <v>258</v>
      </c>
      <c r="B34" s="27">
        <v>0</v>
      </c>
      <c r="C34" s="79">
        <f>B34/'- 3 -'!$D34*100</f>
        <v>0</v>
      </c>
      <c r="D34" s="27">
        <v>0</v>
      </c>
      <c r="E34" s="79">
        <f>D34/'- 3 -'!$D34*100</f>
        <v>0</v>
      </c>
      <c r="F34" s="27">
        <v>0</v>
      </c>
      <c r="G34" s="79">
        <f>F34/'- 3 -'!$D34*100</f>
        <v>0</v>
      </c>
      <c r="H34" s="27">
        <v>30010</v>
      </c>
      <c r="I34" s="79">
        <f>H34/'- 3 -'!$D34*100</f>
        <v>0.12390881995449768</v>
      </c>
    </row>
    <row r="35" spans="1:10" ht="14.1" customHeight="1">
      <c r="A35" s="330" t="s">
        <v>259</v>
      </c>
      <c r="B35" s="331">
        <v>333242</v>
      </c>
      <c r="C35" s="337">
        <f>B35/'- 3 -'!$D35*100</f>
        <v>0.20070884053835542</v>
      </c>
      <c r="D35" s="331">
        <v>121174</v>
      </c>
      <c r="E35" s="337">
        <f>D35/'- 3 -'!$D35*100</f>
        <v>7.2982076219068062E-2</v>
      </c>
      <c r="F35" s="331">
        <v>546071</v>
      </c>
      <c r="G35" s="337">
        <f>F35/'- 3 -'!$D35*100</f>
        <v>0.32889394872681199</v>
      </c>
      <c r="H35" s="331">
        <v>292743</v>
      </c>
      <c r="I35" s="337">
        <f>H35/'- 3 -'!$D35*100</f>
        <v>0.17631663507516993</v>
      </c>
    </row>
    <row r="36" spans="1:10" ht="14.1" customHeight="1">
      <c r="A36" s="26" t="s">
        <v>260</v>
      </c>
      <c r="B36" s="27">
        <v>0</v>
      </c>
      <c r="C36" s="79">
        <f>B36/'- 3 -'!$D36*100</f>
        <v>0</v>
      </c>
      <c r="D36" s="27">
        <v>0</v>
      </c>
      <c r="E36" s="79">
        <f>D36/'- 3 -'!$D36*100</f>
        <v>0</v>
      </c>
      <c r="F36" s="27">
        <v>0</v>
      </c>
      <c r="G36" s="79">
        <f>F36/'- 3 -'!$D36*100</f>
        <v>0</v>
      </c>
      <c r="H36" s="27">
        <v>22309</v>
      </c>
      <c r="I36" s="79">
        <f>H36/'- 3 -'!$D36*100</f>
        <v>0.10855886056651091</v>
      </c>
    </row>
    <row r="37" spans="1:10" ht="14.1" customHeight="1">
      <c r="A37" s="330" t="s">
        <v>261</v>
      </c>
      <c r="B37" s="331">
        <v>0</v>
      </c>
      <c r="C37" s="337">
        <f>B37/'- 3 -'!$D37*100</f>
        <v>0</v>
      </c>
      <c r="D37" s="331">
        <v>0</v>
      </c>
      <c r="E37" s="337">
        <f>D37/'- 3 -'!$D37*100</f>
        <v>0</v>
      </c>
      <c r="F37" s="331">
        <v>0</v>
      </c>
      <c r="G37" s="337">
        <f>F37/'- 3 -'!$D37*100</f>
        <v>0</v>
      </c>
      <c r="H37" s="331">
        <v>122166</v>
      </c>
      <c r="I37" s="337">
        <f>H37/'- 3 -'!$D37*100</f>
        <v>0.30851504400378715</v>
      </c>
    </row>
    <row r="38" spans="1:10" ht="14.1" customHeight="1">
      <c r="A38" s="26" t="s">
        <v>262</v>
      </c>
      <c r="B38" s="27">
        <v>67632</v>
      </c>
      <c r="C38" s="79">
        <f>B38/'- 3 -'!$D38*100</f>
        <v>6.1466271583129839E-2</v>
      </c>
      <c r="D38" s="27">
        <v>352724</v>
      </c>
      <c r="E38" s="79">
        <f>D38/'- 3 -'!$D38*100</f>
        <v>0.32056761855168991</v>
      </c>
      <c r="F38" s="27">
        <v>479169</v>
      </c>
      <c r="G38" s="79">
        <f>F38/'- 3 -'!$D38*100</f>
        <v>0.43548515330341764</v>
      </c>
      <c r="H38" s="27">
        <v>314542</v>
      </c>
      <c r="I38" s="79">
        <f>H38/'- 3 -'!$D38*100</f>
        <v>0.28586651283860931</v>
      </c>
    </row>
    <row r="39" spans="1:10" ht="14.1" customHeight="1">
      <c r="A39" s="330" t="s">
        <v>263</v>
      </c>
      <c r="B39" s="331">
        <v>0</v>
      </c>
      <c r="C39" s="337">
        <f>B39/'- 3 -'!$D39*100</f>
        <v>0</v>
      </c>
      <c r="D39" s="331">
        <v>0</v>
      </c>
      <c r="E39" s="337">
        <f>D39/'- 3 -'!$D39*100</f>
        <v>0</v>
      </c>
      <c r="F39" s="331">
        <v>0</v>
      </c>
      <c r="G39" s="337">
        <f>F39/'- 3 -'!$D39*100</f>
        <v>0</v>
      </c>
      <c r="H39" s="331">
        <v>66205</v>
      </c>
      <c r="I39" s="337">
        <f>H39/'- 3 -'!$D39*100</f>
        <v>0.33895493545367256</v>
      </c>
    </row>
    <row r="40" spans="1:10" ht="14.1" customHeight="1">
      <c r="A40" s="26" t="s">
        <v>264</v>
      </c>
      <c r="B40" s="27">
        <v>507169</v>
      </c>
      <c r="C40" s="79">
        <f>B40/'- 3 -'!$D40*100</f>
        <v>0.5466046919310612</v>
      </c>
      <c r="D40" s="27">
        <v>0</v>
      </c>
      <c r="E40" s="79">
        <f>D40/'- 3 -'!$D40*100</f>
        <v>0</v>
      </c>
      <c r="F40" s="27">
        <v>324942</v>
      </c>
      <c r="G40" s="79">
        <f>F40/'- 3 -'!$D40*100</f>
        <v>0.35020835619973395</v>
      </c>
      <c r="H40" s="27">
        <v>85812</v>
      </c>
      <c r="I40" s="79">
        <f>H40/'- 3 -'!$D40*100</f>
        <v>9.2484441722558403E-2</v>
      </c>
    </row>
    <row r="41" spans="1:10" ht="14.1" customHeight="1">
      <c r="A41" s="330" t="s">
        <v>265</v>
      </c>
      <c r="B41" s="331">
        <v>0</v>
      </c>
      <c r="C41" s="337">
        <f>B41/'- 3 -'!$D41*100</f>
        <v>0</v>
      </c>
      <c r="D41" s="331">
        <v>0</v>
      </c>
      <c r="E41" s="337">
        <f>D41/'- 3 -'!$D41*100</f>
        <v>0</v>
      </c>
      <c r="F41" s="331">
        <v>0</v>
      </c>
      <c r="G41" s="337">
        <f>F41/'- 3 -'!$D41*100</f>
        <v>0</v>
      </c>
      <c r="H41" s="331">
        <v>279445</v>
      </c>
      <c r="I41" s="337">
        <f>H41/'- 3 -'!$D41*100</f>
        <v>0.4826161555423451</v>
      </c>
    </row>
    <row r="42" spans="1:10" ht="14.1" customHeight="1">
      <c r="A42" s="26" t="s">
        <v>266</v>
      </c>
      <c r="B42" s="27">
        <v>193</v>
      </c>
      <c r="C42" s="79">
        <f>B42/'- 3 -'!$D42*100</f>
        <v>9.8075090863014558E-4</v>
      </c>
      <c r="D42" s="27">
        <v>0</v>
      </c>
      <c r="E42" s="79">
        <f>D42/'- 3 -'!$D42*100</f>
        <v>0</v>
      </c>
      <c r="F42" s="27">
        <v>97</v>
      </c>
      <c r="G42" s="79">
        <f>F42/'- 3 -'!$D42*100</f>
        <v>4.9291625977784521E-4</v>
      </c>
      <c r="H42" s="27">
        <v>160435</v>
      </c>
      <c r="I42" s="79">
        <f>H42/'- 3 -'!$D42*100</f>
        <v>0.81526824883977922</v>
      </c>
    </row>
    <row r="43" spans="1:10" ht="14.1" customHeight="1">
      <c r="A43" s="330" t="s">
        <v>267</v>
      </c>
      <c r="B43" s="331">
        <v>0</v>
      </c>
      <c r="C43" s="337">
        <f>B43/'- 3 -'!$D43*100</f>
        <v>0</v>
      </c>
      <c r="D43" s="331">
        <v>0</v>
      </c>
      <c r="E43" s="337">
        <f>D43/'- 3 -'!$D43*100</f>
        <v>0</v>
      </c>
      <c r="F43" s="331">
        <v>0</v>
      </c>
      <c r="G43" s="337">
        <f>F43/'- 3 -'!$D43*100</f>
        <v>0</v>
      </c>
      <c r="H43" s="331">
        <v>13744</v>
      </c>
      <c r="I43" s="337">
        <f>H43/'- 3 -'!$D43*100</f>
        <v>0.11802070755062893</v>
      </c>
    </row>
    <row r="44" spans="1:10" ht="14.1" customHeight="1">
      <c r="A44" s="26" t="s">
        <v>268</v>
      </c>
      <c r="B44" s="27">
        <v>0</v>
      </c>
      <c r="C44" s="79">
        <f>B44/'- 3 -'!$D44*100</f>
        <v>0</v>
      </c>
      <c r="D44" s="27">
        <v>0</v>
      </c>
      <c r="E44" s="79">
        <f>D44/'- 3 -'!$D44*100</f>
        <v>0</v>
      </c>
      <c r="F44" s="27">
        <v>0</v>
      </c>
      <c r="G44" s="79">
        <f>F44/'- 3 -'!$D44*100</f>
        <v>0</v>
      </c>
      <c r="H44" s="27">
        <v>10629</v>
      </c>
      <c r="I44" s="79">
        <f>H44/'- 3 -'!$D44*100</f>
        <v>0.10897062283646564</v>
      </c>
    </row>
    <row r="45" spans="1:10" ht="14.1" customHeight="1">
      <c r="A45" s="330" t="s">
        <v>269</v>
      </c>
      <c r="B45" s="331">
        <v>0</v>
      </c>
      <c r="C45" s="337">
        <f>B45/'- 3 -'!$D45*100</f>
        <v>0</v>
      </c>
      <c r="D45" s="331">
        <v>0</v>
      </c>
      <c r="E45" s="337">
        <f>D45/'- 3 -'!$D45*100</f>
        <v>0</v>
      </c>
      <c r="F45" s="331">
        <v>4500</v>
      </c>
      <c r="G45" s="337">
        <f>F45/'- 3 -'!$D45*100</f>
        <v>2.7616327951381515E-2</v>
      </c>
      <c r="H45" s="331">
        <v>43320</v>
      </c>
      <c r="I45" s="337">
        <f>H45/'- 3 -'!$D45*100</f>
        <v>0.26585318374529943</v>
      </c>
    </row>
    <row r="46" spans="1:10" ht="14.1" customHeight="1">
      <c r="A46" s="26" t="s">
        <v>270</v>
      </c>
      <c r="B46" s="27">
        <v>0</v>
      </c>
      <c r="C46" s="79">
        <f>B46/'- 3 -'!$D46*100</f>
        <v>0</v>
      </c>
      <c r="D46" s="27">
        <v>2946238</v>
      </c>
      <c r="E46" s="79">
        <f>D46/'- 3 -'!$D46*100</f>
        <v>0.84823241708379538</v>
      </c>
      <c r="F46" s="27">
        <v>202041</v>
      </c>
      <c r="G46" s="79">
        <f>F46/'- 3 -'!$D46*100</f>
        <v>5.8168323733529717E-2</v>
      </c>
      <c r="H46" s="27">
        <v>4975138</v>
      </c>
      <c r="I46" s="79">
        <f>H46/'- 3 -'!$D46*100</f>
        <v>1.4323599556673425</v>
      </c>
    </row>
    <row r="47" spans="1:10" ht="5.0999999999999996" customHeight="1">
      <c r="A47"/>
      <c r="B47"/>
      <c r="C47"/>
      <c r="D47"/>
      <c r="E47"/>
      <c r="F47"/>
      <c r="G47"/>
      <c r="H47"/>
      <c r="I47"/>
      <c r="J47"/>
    </row>
    <row r="48" spans="1:10" ht="14.1" customHeight="1">
      <c r="A48" s="332" t="s">
        <v>271</v>
      </c>
      <c r="B48" s="333">
        <f>SUM(B11:B46)</f>
        <v>1844183</v>
      </c>
      <c r="C48" s="340">
        <f>B48/'- 3 -'!$D48*100</f>
        <v>9.2258678425702081E-2</v>
      </c>
      <c r="D48" s="333">
        <f>SUM(D11:D46)</f>
        <v>3579371</v>
      </c>
      <c r="E48" s="340">
        <f>D48/'- 3 -'!$D48*100</f>
        <v>0.17906467961980113</v>
      </c>
      <c r="F48" s="333">
        <f>SUM(F11:F46)</f>
        <v>3980497</v>
      </c>
      <c r="G48" s="340">
        <f>F48/'- 3 -'!$D48*100</f>
        <v>0.19913175248740062</v>
      </c>
      <c r="H48" s="333">
        <f>SUM(H11:H46)</f>
        <v>10463977</v>
      </c>
      <c r="I48" s="340">
        <f>H48/'- 3 -'!$D48*100</f>
        <v>0.52347987650734384</v>
      </c>
    </row>
    <row r="49" spans="1:9" ht="5.0999999999999996" customHeight="1">
      <c r="A49" s="28" t="s">
        <v>17</v>
      </c>
      <c r="B49"/>
      <c r="C49"/>
      <c r="D49"/>
      <c r="E49"/>
      <c r="F49"/>
      <c r="G49"/>
      <c r="H49"/>
      <c r="I49"/>
    </row>
    <row r="50" spans="1:9" ht="14.1" customHeight="1">
      <c r="A50" s="26" t="s">
        <v>272</v>
      </c>
      <c r="B50" s="27">
        <v>0</v>
      </c>
      <c r="C50" s="79">
        <f>B50/'- 3 -'!$D50*100</f>
        <v>0</v>
      </c>
      <c r="D50" s="27">
        <v>0</v>
      </c>
      <c r="E50" s="79">
        <f>D50/'- 3 -'!$D50*100</f>
        <v>0</v>
      </c>
      <c r="F50" s="27">
        <v>0</v>
      </c>
      <c r="G50" s="79">
        <f>F50/'- 3 -'!$D50*100</f>
        <v>0</v>
      </c>
      <c r="H50" s="27">
        <v>11324</v>
      </c>
      <c r="I50" s="79">
        <f>H50/'- 3 -'!$D50*100</f>
        <v>0.35705130610338909</v>
      </c>
    </row>
    <row r="51" spans="1:9" ht="14.1" customHeight="1">
      <c r="A51" s="330" t="s">
        <v>273</v>
      </c>
      <c r="B51" s="331">
        <v>45654</v>
      </c>
      <c r="C51" s="337">
        <f>B51/'- 3 -'!$D51*100</f>
        <v>0.25243269332369322</v>
      </c>
      <c r="D51" s="331">
        <v>3513180</v>
      </c>
      <c r="E51" s="337">
        <f>D51/'- 3 -'!$D51*100</f>
        <v>19.4252746644529</v>
      </c>
      <c r="F51" s="331">
        <v>2527598</v>
      </c>
      <c r="G51" s="337">
        <f>F51/'- 3 -'!$D51*100</f>
        <v>13.975738616103309</v>
      </c>
      <c r="H51" s="331">
        <v>0</v>
      </c>
      <c r="I51" s="337">
        <f>H51/'- 3 -'!$D51*100</f>
        <v>0</v>
      </c>
    </row>
    <row r="52" spans="1:9"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23.xml><?xml version="1.0" encoding="utf-8"?>
<worksheet xmlns="http://schemas.openxmlformats.org/spreadsheetml/2006/main" xmlns:r="http://schemas.openxmlformats.org/officeDocument/2006/relationships">
  <sheetPr codeName="Sheet21">
    <pageSetUpPr fitToPage="1"/>
  </sheetPr>
  <dimension ref="A1:J52"/>
  <sheetViews>
    <sheetView showGridLines="0" showZeros="0" workbookViewId="0"/>
  </sheetViews>
  <sheetFormatPr defaultColWidth="15.83203125" defaultRowHeight="12"/>
  <cols>
    <col min="1" max="1" width="32.83203125" style="1" customWidth="1"/>
    <col min="2" max="2" width="14.83203125" style="1" customWidth="1"/>
    <col min="3" max="3" width="7.83203125" style="1" customWidth="1"/>
    <col min="4" max="4" width="9.83203125" style="1" customWidth="1"/>
    <col min="5" max="5" width="16.83203125" style="1" customWidth="1"/>
    <col min="6" max="6" width="7.83203125" style="1" customWidth="1"/>
    <col min="7" max="7" width="9.83203125" style="1" customWidth="1"/>
    <col min="8" max="8" width="14.83203125" style="1" customWidth="1"/>
    <col min="9" max="9" width="7.83203125" style="1" customWidth="1"/>
    <col min="10" max="10" width="9.83203125" style="1" customWidth="1"/>
    <col min="11" max="16384" width="15.83203125" style="1"/>
  </cols>
  <sheetData>
    <row r="1" spans="1:10" ht="6.95" customHeight="1">
      <c r="A1" s="6"/>
      <c r="B1" s="7"/>
      <c r="C1" s="7"/>
      <c r="D1" s="7"/>
      <c r="E1" s="7"/>
      <c r="F1" s="7"/>
      <c r="G1" s="7"/>
      <c r="H1" s="7"/>
      <c r="I1" s="7"/>
      <c r="J1" s="7"/>
    </row>
    <row r="2" spans="1:10" ht="15.95" customHeight="1">
      <c r="A2" s="152"/>
      <c r="B2" s="8" t="s">
        <v>492</v>
      </c>
      <c r="C2" s="9"/>
      <c r="D2" s="9"/>
      <c r="E2" s="9"/>
      <c r="F2" s="9"/>
      <c r="G2" s="82"/>
      <c r="H2" s="82"/>
      <c r="I2" s="173"/>
      <c r="J2" s="523" t="s">
        <v>459</v>
      </c>
    </row>
    <row r="3" spans="1:10" ht="15.95" customHeight="1">
      <c r="A3" s="154"/>
      <c r="B3" s="10" t="str">
        <f>OPYEAR</f>
        <v>OPERATING FUND 2012/2013 ACTUAL</v>
      </c>
      <c r="C3" s="11"/>
      <c r="D3" s="11"/>
      <c r="E3" s="11"/>
      <c r="F3" s="11"/>
      <c r="G3" s="84"/>
      <c r="H3" s="84"/>
      <c r="I3" s="84"/>
      <c r="J3" s="74"/>
    </row>
    <row r="4" spans="1:10" ht="15.95" customHeight="1">
      <c r="B4" s="7"/>
      <c r="C4" s="7"/>
      <c r="D4" s="7"/>
      <c r="E4" s="7"/>
      <c r="F4" s="7"/>
      <c r="G4" s="7"/>
      <c r="H4" s="7"/>
      <c r="I4" s="7"/>
      <c r="J4" s="7"/>
    </row>
    <row r="5" spans="1:10" ht="15.95" customHeight="1">
      <c r="B5" s="185" t="s">
        <v>194</v>
      </c>
      <c r="C5" s="186"/>
      <c r="D5" s="187"/>
      <c r="E5" s="187"/>
      <c r="F5" s="187"/>
      <c r="G5" s="187"/>
      <c r="H5" s="187"/>
      <c r="I5" s="187"/>
      <c r="J5" s="188"/>
    </row>
    <row r="6" spans="1:10" ht="15.95" customHeight="1">
      <c r="B6" s="357"/>
      <c r="C6" s="360"/>
      <c r="D6" s="358"/>
      <c r="E6" s="357" t="s">
        <v>28</v>
      </c>
      <c r="F6" s="360"/>
      <c r="G6" s="358"/>
      <c r="H6" s="357" t="s">
        <v>26</v>
      </c>
      <c r="I6" s="360"/>
      <c r="J6" s="358"/>
    </row>
    <row r="7" spans="1:10" ht="15.95" customHeight="1">
      <c r="B7" s="344" t="s">
        <v>52</v>
      </c>
      <c r="C7" s="345"/>
      <c r="D7" s="346"/>
      <c r="E7" s="344" t="s">
        <v>53</v>
      </c>
      <c r="F7" s="345"/>
      <c r="G7" s="346"/>
      <c r="H7" s="344" t="s">
        <v>54</v>
      </c>
      <c r="I7" s="345"/>
      <c r="J7" s="346"/>
    </row>
    <row r="8" spans="1:10" ht="15.95" customHeight="1">
      <c r="A8" s="75"/>
      <c r="B8" s="155"/>
      <c r="C8" s="156"/>
      <c r="D8" s="157" t="s">
        <v>74</v>
      </c>
      <c r="E8" s="155"/>
      <c r="F8" s="157"/>
      <c r="G8" s="157" t="s">
        <v>74</v>
      </c>
      <c r="H8" s="155"/>
      <c r="I8" s="157"/>
      <c r="J8" s="157" t="s">
        <v>74</v>
      </c>
    </row>
    <row r="9" spans="1:10" ht="15.95" customHeight="1">
      <c r="A9" s="42" t="s">
        <v>94</v>
      </c>
      <c r="B9" s="87" t="s">
        <v>95</v>
      </c>
      <c r="C9" s="87" t="s">
        <v>96</v>
      </c>
      <c r="D9" s="87" t="s">
        <v>97</v>
      </c>
      <c r="E9" s="87" t="s">
        <v>95</v>
      </c>
      <c r="F9" s="87" t="s">
        <v>96</v>
      </c>
      <c r="G9" s="87" t="s">
        <v>97</v>
      </c>
      <c r="H9" s="87" t="s">
        <v>95</v>
      </c>
      <c r="I9" s="87" t="s">
        <v>96</v>
      </c>
      <c r="J9" s="87" t="s">
        <v>97</v>
      </c>
    </row>
    <row r="10" spans="1:10" ht="5.0999999999999996" customHeight="1">
      <c r="A10" s="5"/>
    </row>
    <row r="11" spans="1:10" ht="14.1" customHeight="1">
      <c r="A11" s="330" t="s">
        <v>236</v>
      </c>
      <c r="B11" s="331">
        <v>102582</v>
      </c>
      <c r="C11" s="337">
        <f>B11/'- 3 -'!$D11*100</f>
        <v>0.65560552566644303</v>
      </c>
      <c r="D11" s="331">
        <f>B11/'- 7 -'!$E11</f>
        <v>68.319680319680316</v>
      </c>
      <c r="E11" s="331">
        <v>158392</v>
      </c>
      <c r="F11" s="337">
        <f>E11/'- 3 -'!$D11*100</f>
        <v>1.0122893921093297</v>
      </c>
      <c r="G11" s="331">
        <f>E11/'- 7 -'!$E11</f>
        <v>105.48917748917749</v>
      </c>
      <c r="H11" s="331">
        <v>323473</v>
      </c>
      <c r="I11" s="337">
        <f>H11/'- 3 -'!$D11*100</f>
        <v>2.0673284416749658</v>
      </c>
      <c r="J11" s="331">
        <f>H11/'- 7 -'!$E11</f>
        <v>215.43323343323343</v>
      </c>
    </row>
    <row r="12" spans="1:10" ht="14.1" customHeight="1">
      <c r="A12" s="26" t="s">
        <v>237</v>
      </c>
      <c r="B12" s="27">
        <v>122547</v>
      </c>
      <c r="C12" s="79">
        <f>B12/'- 3 -'!$D12*100</f>
        <v>0.41499612948643222</v>
      </c>
      <c r="D12" s="27">
        <f>B12/'- 7 -'!$E12</f>
        <v>53.588857792548538</v>
      </c>
      <c r="E12" s="27">
        <v>166208</v>
      </c>
      <c r="F12" s="79">
        <f>E12/'- 3 -'!$D12*100</f>
        <v>0.56285079756894019</v>
      </c>
      <c r="G12" s="27">
        <f>E12/'- 7 -'!$E12</f>
        <v>72.681476298758085</v>
      </c>
      <c r="H12" s="27">
        <v>554068</v>
      </c>
      <c r="I12" s="79">
        <f>H12/'- 3 -'!$D12*100</f>
        <v>1.8763092974310958</v>
      </c>
      <c r="J12" s="27">
        <f>H12/'- 7 -'!$E12</f>
        <v>242.28966241035505</v>
      </c>
    </row>
    <row r="13" spans="1:10" ht="14.1" customHeight="1">
      <c r="A13" s="330" t="s">
        <v>238</v>
      </c>
      <c r="B13" s="331">
        <v>276654</v>
      </c>
      <c r="C13" s="337">
        <f>B13/'- 3 -'!$D13*100</f>
        <v>0.34395503935458882</v>
      </c>
      <c r="D13" s="331">
        <f>B13/'- 7 -'!$E13</f>
        <v>35.24928330254189</v>
      </c>
      <c r="E13" s="331">
        <v>559329</v>
      </c>
      <c r="F13" s="337">
        <f>E13/'- 3 -'!$D13*100</f>
        <v>0.69539579477312019</v>
      </c>
      <c r="G13" s="331">
        <f>E13/'- 7 -'!$E13</f>
        <v>71.265719564247945</v>
      </c>
      <c r="H13" s="331">
        <v>1317134</v>
      </c>
      <c r="I13" s="337">
        <f>H13/'- 3 -'!$D13*100</f>
        <v>1.6375504305206754</v>
      </c>
      <c r="J13" s="331">
        <f>H13/'- 7 -'!$E13</f>
        <v>167.81983818564058</v>
      </c>
    </row>
    <row r="14" spans="1:10" ht="14.1" customHeight="1">
      <c r="A14" s="26" t="s">
        <v>656</v>
      </c>
      <c r="B14" s="27">
        <v>650894</v>
      </c>
      <c r="C14" s="79">
        <f>B14/'- 3 -'!$D14*100</f>
        <v>0.93165347701893564</v>
      </c>
      <c r="D14" s="27">
        <f>B14/'- 7 -'!$E14</f>
        <v>127.77659992147625</v>
      </c>
      <c r="E14" s="27">
        <v>1215802</v>
      </c>
      <c r="F14" s="79">
        <f>E14/'- 3 -'!$D14*100</f>
        <v>1.7402313751034362</v>
      </c>
      <c r="G14" s="27">
        <f>E14/'- 7 -'!$E14</f>
        <v>238.67334118570867</v>
      </c>
      <c r="H14" s="27">
        <v>830910</v>
      </c>
      <c r="I14" s="79">
        <f>H14/'- 3 -'!$D14*100</f>
        <v>1.1893183691811628</v>
      </c>
      <c r="J14" s="27">
        <f>H14/'- 7 -'!$E14</f>
        <v>163.11542991755005</v>
      </c>
    </row>
    <row r="15" spans="1:10" ht="14.1" customHeight="1">
      <c r="A15" s="330" t="s">
        <v>239</v>
      </c>
      <c r="B15" s="331">
        <v>136899</v>
      </c>
      <c r="C15" s="337">
        <f>B15/'- 3 -'!$D15*100</f>
        <v>0.73616466806447567</v>
      </c>
      <c r="D15" s="331">
        <f>B15/'- 7 -'!$E15</f>
        <v>88.665155440414509</v>
      </c>
      <c r="E15" s="331">
        <v>215810</v>
      </c>
      <c r="F15" s="337">
        <f>E15/'- 3 -'!$D15*100</f>
        <v>1.1605029767565467</v>
      </c>
      <c r="G15" s="331">
        <f>E15/'- 7 -'!$E15</f>
        <v>139.77331606217618</v>
      </c>
      <c r="H15" s="331">
        <v>419547</v>
      </c>
      <c r="I15" s="337">
        <f>H15/'- 3 -'!$D15*100</f>
        <v>2.2560842518385567</v>
      </c>
      <c r="J15" s="331">
        <f>H15/'- 7 -'!$E15</f>
        <v>271.7273316062176</v>
      </c>
    </row>
    <row r="16" spans="1:10" ht="14.1" customHeight="1">
      <c r="A16" s="26" t="s">
        <v>240</v>
      </c>
      <c r="B16" s="27">
        <v>99607</v>
      </c>
      <c r="C16" s="79">
        <f>B16/'- 3 -'!$D16*100</f>
        <v>0.77955212555855169</v>
      </c>
      <c r="D16" s="27">
        <f>B16/'- 7 -'!$E16</f>
        <v>100.35969773299747</v>
      </c>
      <c r="E16" s="27">
        <v>192555</v>
      </c>
      <c r="F16" s="79">
        <f>E16/'- 3 -'!$D16*100</f>
        <v>1.50698906238444</v>
      </c>
      <c r="G16" s="27">
        <f>E16/'- 7 -'!$E16</f>
        <v>194.01007556675063</v>
      </c>
      <c r="H16" s="27">
        <v>311354</v>
      </c>
      <c r="I16" s="79">
        <f>H16/'- 3 -'!$D16*100</f>
        <v>2.4367431254947678</v>
      </c>
      <c r="J16" s="27">
        <f>H16/'- 7 -'!$E16</f>
        <v>313.70680100755669</v>
      </c>
    </row>
    <row r="17" spans="1:10" ht="14.1" customHeight="1">
      <c r="A17" s="330" t="s">
        <v>241</v>
      </c>
      <c r="B17" s="331">
        <v>221897</v>
      </c>
      <c r="C17" s="337">
        <f>B17/'- 3 -'!$D17*100</f>
        <v>1.3786706515074219</v>
      </c>
      <c r="D17" s="331">
        <f>B17/'- 7 -'!$E17</f>
        <v>171.28667997309304</v>
      </c>
      <c r="E17" s="331">
        <v>152452</v>
      </c>
      <c r="F17" s="337">
        <f>E17/'- 3 -'!$D17*100</f>
        <v>0.94720117064948828</v>
      </c>
      <c r="G17" s="331">
        <f>E17/'- 7 -'!$E17</f>
        <v>117.68071193057132</v>
      </c>
      <c r="H17" s="331">
        <v>294495</v>
      </c>
      <c r="I17" s="337">
        <f>H17/'- 3 -'!$D17*100</f>
        <v>1.8297300707791373</v>
      </c>
      <c r="J17" s="331">
        <f>H17/'- 7 -'!$E17</f>
        <v>227.3265110329389</v>
      </c>
    </row>
    <row r="18" spans="1:10" ht="14.1" customHeight="1">
      <c r="A18" s="26" t="s">
        <v>242</v>
      </c>
      <c r="B18" s="27">
        <v>997253</v>
      </c>
      <c r="C18" s="79">
        <f>B18/'- 3 -'!$D18*100</f>
        <v>0.88523235985762017</v>
      </c>
      <c r="D18" s="27">
        <f>B18/'- 7 -'!$E18</f>
        <v>172.65460526315789</v>
      </c>
      <c r="E18" s="27">
        <v>2033374</v>
      </c>
      <c r="F18" s="79">
        <f>E18/'- 3 -'!$D18*100</f>
        <v>1.8049667080401146</v>
      </c>
      <c r="G18" s="27">
        <f>E18/'- 7 -'!$E18</f>
        <v>352.03843490304712</v>
      </c>
      <c r="H18" s="27">
        <v>2769330</v>
      </c>
      <c r="I18" s="79">
        <f>H18/'- 3 -'!$D18*100</f>
        <v>2.4582533530854289</v>
      </c>
      <c r="J18" s="27">
        <f>H18/'- 7 -'!$E18</f>
        <v>479.4546398891967</v>
      </c>
    </row>
    <row r="19" spans="1:10" ht="14.1" customHeight="1">
      <c r="A19" s="330" t="s">
        <v>243</v>
      </c>
      <c r="B19" s="331">
        <v>155427</v>
      </c>
      <c r="C19" s="337">
        <f>B19/'- 3 -'!$D19*100</f>
        <v>0.39891839516674971</v>
      </c>
      <c r="D19" s="331">
        <f>B19/'- 7 -'!$E19</f>
        <v>37.100947652352417</v>
      </c>
      <c r="E19" s="331">
        <v>361707</v>
      </c>
      <c r="F19" s="337">
        <f>E19/'- 3 -'!$D19*100</f>
        <v>0.92835592246250354</v>
      </c>
      <c r="G19" s="331">
        <f>E19/'- 7 -'!$E19</f>
        <v>86.340677440145129</v>
      </c>
      <c r="H19" s="331">
        <v>690746</v>
      </c>
      <c r="I19" s="337">
        <f>H19/'- 3 -'!$D19*100</f>
        <v>1.7728662702609694</v>
      </c>
      <c r="J19" s="331">
        <f>H19/'- 7 -'!$E19</f>
        <v>164.8833934070131</v>
      </c>
    </row>
    <row r="20" spans="1:10" ht="14.1" customHeight="1">
      <c r="A20" s="26" t="s">
        <v>244</v>
      </c>
      <c r="B20" s="27">
        <v>252678</v>
      </c>
      <c r="C20" s="79">
        <f>B20/'- 3 -'!$D20*100</f>
        <v>0.37343264343810934</v>
      </c>
      <c r="D20" s="27">
        <f>B20/'- 7 -'!$E20</f>
        <v>34.189567688248424</v>
      </c>
      <c r="E20" s="27">
        <v>618275</v>
      </c>
      <c r="F20" s="79">
        <f>E20/'- 3 -'!$D20*100</f>
        <v>0.91374819977084287</v>
      </c>
      <c r="G20" s="27">
        <f>E20/'- 7 -'!$E20</f>
        <v>83.658074555172178</v>
      </c>
      <c r="H20" s="27">
        <v>1029070</v>
      </c>
      <c r="I20" s="79">
        <f>H20/'- 3 -'!$D20*100</f>
        <v>1.520861849400641</v>
      </c>
      <c r="J20" s="27">
        <f>H20/'- 7 -'!$E20</f>
        <v>139.24227048237603</v>
      </c>
    </row>
    <row r="21" spans="1:10" ht="14.1" customHeight="1">
      <c r="A21" s="330" t="s">
        <v>245</v>
      </c>
      <c r="B21" s="331">
        <v>193698</v>
      </c>
      <c r="C21" s="337">
        <f>B21/'- 3 -'!$D21*100</f>
        <v>0.593042465401876</v>
      </c>
      <c r="D21" s="331">
        <f>B21/'- 7 -'!$E21</f>
        <v>70.21859706362153</v>
      </c>
      <c r="E21" s="331">
        <v>411237</v>
      </c>
      <c r="F21" s="337">
        <f>E21/'- 3 -'!$D21*100</f>
        <v>1.2590785880312201</v>
      </c>
      <c r="G21" s="331">
        <f>E21/'- 7 -'!$E21</f>
        <v>149.07993474714519</v>
      </c>
      <c r="H21" s="331">
        <v>636295</v>
      </c>
      <c r="I21" s="337">
        <f>H21/'- 3 -'!$D21*100</f>
        <v>1.9481355281050228</v>
      </c>
      <c r="J21" s="331">
        <f>H21/'- 7 -'!$E21</f>
        <v>230.66702918252673</v>
      </c>
    </row>
    <row r="22" spans="1:10" ht="14.1" customHeight="1">
      <c r="A22" s="26" t="s">
        <v>246</v>
      </c>
      <c r="B22" s="27">
        <v>85834</v>
      </c>
      <c r="C22" s="79">
        <f>B22/'- 3 -'!$D22*100</f>
        <v>0.462103218377661</v>
      </c>
      <c r="D22" s="27">
        <f>B22/'- 7 -'!$E22</f>
        <v>53.797555625195862</v>
      </c>
      <c r="E22" s="27">
        <v>133222</v>
      </c>
      <c r="F22" s="79">
        <f>E22/'- 3 -'!$D22*100</f>
        <v>0.71722528320605761</v>
      </c>
      <c r="G22" s="27">
        <f>E22/'- 7 -'!$E22</f>
        <v>83.498589783766846</v>
      </c>
      <c r="H22" s="27">
        <v>475115</v>
      </c>
      <c r="I22" s="79">
        <f>H22/'- 3 -'!$D22*100</f>
        <v>2.5578694992602276</v>
      </c>
      <c r="J22" s="27">
        <f>H22/'- 7 -'!$E22</f>
        <v>297.78439360701975</v>
      </c>
    </row>
    <row r="23" spans="1:10" ht="14.1" customHeight="1">
      <c r="A23" s="330" t="s">
        <v>247</v>
      </c>
      <c r="B23" s="331">
        <v>95870</v>
      </c>
      <c r="C23" s="337">
        <f>B23/'- 3 -'!$D23*100</f>
        <v>0.59646044556410316</v>
      </c>
      <c r="D23" s="331">
        <f>B23/'- 7 -'!$E23</f>
        <v>80.868831716575286</v>
      </c>
      <c r="E23" s="331">
        <v>181740</v>
      </c>
      <c r="F23" s="337">
        <f>E23/'- 3 -'!$D23*100</f>
        <v>1.1307053444958808</v>
      </c>
      <c r="G23" s="331">
        <f>E23/'- 7 -'!$E23</f>
        <v>153.3024040489245</v>
      </c>
      <c r="H23" s="331">
        <v>330966</v>
      </c>
      <c r="I23" s="337">
        <f>H23/'- 3 -'!$D23*100</f>
        <v>2.059123060671419</v>
      </c>
      <c r="J23" s="331">
        <f>H23/'- 7 -'!$E23</f>
        <v>279.17840573597636</v>
      </c>
    </row>
    <row r="24" spans="1:10" ht="14.1" customHeight="1">
      <c r="A24" s="26" t="s">
        <v>248</v>
      </c>
      <c r="B24" s="27">
        <v>284305</v>
      </c>
      <c r="C24" s="79">
        <f>B24/'- 3 -'!$D24*100</f>
        <v>0.55671135258995952</v>
      </c>
      <c r="D24" s="27">
        <f>B24/'- 7 -'!$E24</f>
        <v>66.994603765581928</v>
      </c>
      <c r="E24" s="27">
        <v>298448</v>
      </c>
      <c r="F24" s="79">
        <f>E24/'- 3 -'!$D24*100</f>
        <v>0.58440544400474226</v>
      </c>
      <c r="G24" s="27">
        <f>E24/'- 7 -'!$E24</f>
        <v>70.327308716450275</v>
      </c>
      <c r="H24" s="27">
        <v>963598</v>
      </c>
      <c r="I24" s="79">
        <f>H24/'- 3 -'!$D24*100</f>
        <v>1.8868677861204688</v>
      </c>
      <c r="J24" s="27">
        <f>H24/'- 7 -'!$E24</f>
        <v>227.06553243631737</v>
      </c>
    </row>
    <row r="25" spans="1:10" ht="14.1" customHeight="1">
      <c r="A25" s="330" t="s">
        <v>249</v>
      </c>
      <c r="B25" s="331">
        <v>364051</v>
      </c>
      <c r="C25" s="337">
        <f>B25/'- 3 -'!$D25*100</f>
        <v>0.24302572815962384</v>
      </c>
      <c r="D25" s="331">
        <f>B25/'- 7 -'!$E25</f>
        <v>26.561820543127727</v>
      </c>
      <c r="E25" s="331">
        <v>1093471</v>
      </c>
      <c r="F25" s="337">
        <f>E25/'- 3 -'!$D25*100</f>
        <v>0.72995702798902373</v>
      </c>
      <c r="G25" s="331">
        <f>E25/'- 7 -'!$E25</f>
        <v>79.781625297319394</v>
      </c>
      <c r="H25" s="331">
        <v>3160006</v>
      </c>
      <c r="I25" s="337">
        <f>H25/'- 3 -'!$D25*100</f>
        <v>2.1094922391060056</v>
      </c>
      <c r="J25" s="331">
        <f>H25/'- 7 -'!$E25</f>
        <v>230.55976302003532</v>
      </c>
    </row>
    <row r="26" spans="1:10" ht="14.1" customHeight="1">
      <c r="A26" s="26" t="s">
        <v>250</v>
      </c>
      <c r="B26" s="27">
        <v>213361</v>
      </c>
      <c r="C26" s="79">
        <f>B26/'- 3 -'!$D26*100</f>
        <v>0.57235302652911979</v>
      </c>
      <c r="D26" s="27">
        <f>B26/'- 7 -'!$E26</f>
        <v>68.660016090104591</v>
      </c>
      <c r="E26" s="27">
        <v>336589</v>
      </c>
      <c r="F26" s="79">
        <f>E26/'- 3 -'!$D26*100</f>
        <v>0.9029191503902303</v>
      </c>
      <c r="G26" s="27">
        <f>E26/'- 7 -'!$E26</f>
        <v>108.31504424778761</v>
      </c>
      <c r="H26" s="27">
        <v>579839</v>
      </c>
      <c r="I26" s="79">
        <f>H26/'- 3 -'!$D26*100</f>
        <v>1.5554511206341286</v>
      </c>
      <c r="J26" s="27">
        <f>H26/'- 7 -'!$E26</f>
        <v>186.59340305711987</v>
      </c>
    </row>
    <row r="27" spans="1:10" ht="14.1" customHeight="1">
      <c r="A27" s="330" t="s">
        <v>251</v>
      </c>
      <c r="B27" s="331">
        <v>229064</v>
      </c>
      <c r="C27" s="337">
        <f>B27/'- 3 -'!$D27*100</f>
        <v>0.62823436588766157</v>
      </c>
      <c r="D27" s="331">
        <f>B27/'- 7 -'!$E27</f>
        <v>83.629300776914548</v>
      </c>
      <c r="E27" s="331">
        <v>487323</v>
      </c>
      <c r="F27" s="337">
        <f>E27/'- 3 -'!$D27*100</f>
        <v>1.3365393771499359</v>
      </c>
      <c r="G27" s="331">
        <f>E27/'- 7 -'!$E27</f>
        <v>177.9174455283603</v>
      </c>
      <c r="H27" s="331">
        <v>888234</v>
      </c>
      <c r="I27" s="337">
        <f>H27/'- 3 -'!$D27*100</f>
        <v>2.4360839055890984</v>
      </c>
      <c r="J27" s="331">
        <f>H27/'- 7 -'!$E27</f>
        <v>324.28661136748644</v>
      </c>
    </row>
    <row r="28" spans="1:10" ht="14.1" customHeight="1">
      <c r="A28" s="26" t="s">
        <v>252</v>
      </c>
      <c r="B28" s="27">
        <v>195041</v>
      </c>
      <c r="C28" s="79">
        <f>B28/'- 3 -'!$D28*100</f>
        <v>0.7658247284180888</v>
      </c>
      <c r="D28" s="27">
        <f>B28/'- 7 -'!$E28</f>
        <v>98.282186948853621</v>
      </c>
      <c r="E28" s="27">
        <v>362288</v>
      </c>
      <c r="F28" s="79">
        <f>E28/'- 3 -'!$D28*100</f>
        <v>1.4225168513755189</v>
      </c>
      <c r="G28" s="27">
        <f>E28/'- 7 -'!$E28</f>
        <v>182.55883093978332</v>
      </c>
      <c r="H28" s="27">
        <v>440885</v>
      </c>
      <c r="I28" s="79">
        <f>H28/'- 3 -'!$D28*100</f>
        <v>1.7311264574556586</v>
      </c>
      <c r="J28" s="27">
        <f>H28/'- 7 -'!$E28</f>
        <v>222.16427311665407</v>
      </c>
    </row>
    <row r="29" spans="1:10" ht="14.1" customHeight="1">
      <c r="A29" s="330" t="s">
        <v>253</v>
      </c>
      <c r="B29" s="331">
        <v>350520</v>
      </c>
      <c r="C29" s="337">
        <f>B29/'- 3 -'!$D29*100</f>
        <v>0.25386071876477856</v>
      </c>
      <c r="D29" s="331">
        <f>B29/'- 7 -'!$E29</f>
        <v>28.796293253590086</v>
      </c>
      <c r="E29" s="331">
        <v>2007631</v>
      </c>
      <c r="F29" s="337">
        <f>E29/'- 3 -'!$D29*100</f>
        <v>1.4540073281822754</v>
      </c>
      <c r="G29" s="331">
        <f>E29/'- 7 -'!$E29</f>
        <v>164.93304524990961</v>
      </c>
      <c r="H29" s="331">
        <v>1447010</v>
      </c>
      <c r="I29" s="337">
        <f>H29/'- 3 -'!$D29*100</f>
        <v>1.0479829928672322</v>
      </c>
      <c r="J29" s="331">
        <f>H29/'- 7 -'!$E29</f>
        <v>118.87631034142814</v>
      </c>
    </row>
    <row r="30" spans="1:10" ht="14.1" customHeight="1">
      <c r="A30" s="26" t="s">
        <v>254</v>
      </c>
      <c r="B30" s="27">
        <v>91413</v>
      </c>
      <c r="C30" s="79">
        <f>B30/'- 3 -'!$D30*100</f>
        <v>0.68657238128850107</v>
      </c>
      <c r="D30" s="27">
        <f>B30/'- 7 -'!$E30</f>
        <v>84.81443681573576</v>
      </c>
      <c r="E30" s="27">
        <v>140798</v>
      </c>
      <c r="F30" s="79">
        <f>E30/'- 3 -'!$D30*100</f>
        <v>1.0574865515917691</v>
      </c>
      <c r="G30" s="27">
        <f>E30/'- 7 -'!$E30</f>
        <v>130.6346260901837</v>
      </c>
      <c r="H30" s="27">
        <v>266269</v>
      </c>
      <c r="I30" s="79">
        <f>H30/'- 3 -'!$D30*100</f>
        <v>1.9998571471596807</v>
      </c>
      <c r="J30" s="27">
        <f>H30/'- 7 -'!$E30</f>
        <v>247.04861755427723</v>
      </c>
    </row>
    <row r="31" spans="1:10" ht="14.1" customHeight="1">
      <c r="A31" s="330" t="s">
        <v>255</v>
      </c>
      <c r="B31" s="331">
        <v>129960</v>
      </c>
      <c r="C31" s="337">
        <f>B31/'- 3 -'!$D31*100</f>
        <v>0.39817856286400316</v>
      </c>
      <c r="D31" s="331">
        <f>B31/'- 7 -'!$E31</f>
        <v>40.855077019805094</v>
      </c>
      <c r="E31" s="331">
        <v>313029</v>
      </c>
      <c r="F31" s="337">
        <f>E31/'- 3 -'!$D31*100</f>
        <v>0.95907538746349696</v>
      </c>
      <c r="G31" s="331">
        <f>E31/'- 7 -'!$E31</f>
        <v>98.405847217856021</v>
      </c>
      <c r="H31" s="331">
        <v>544038</v>
      </c>
      <c r="I31" s="337">
        <f>H31/'- 3 -'!$D31*100</f>
        <v>1.6668534086134699</v>
      </c>
      <c r="J31" s="331">
        <f>H31/'- 7 -'!$E31</f>
        <v>171.0273498899717</v>
      </c>
    </row>
    <row r="32" spans="1:10" ht="14.1" customHeight="1">
      <c r="A32" s="26" t="s">
        <v>256</v>
      </c>
      <c r="B32" s="27">
        <v>156351</v>
      </c>
      <c r="C32" s="79">
        <f>B32/'- 3 -'!$D32*100</f>
        <v>0.63347156443948782</v>
      </c>
      <c r="D32" s="27">
        <f>B32/'- 7 -'!$E32</f>
        <v>75.806545454545457</v>
      </c>
      <c r="E32" s="27">
        <v>201765</v>
      </c>
      <c r="F32" s="79">
        <f>E32/'- 3 -'!$D32*100</f>
        <v>0.81747088409497382</v>
      </c>
      <c r="G32" s="27">
        <f>E32/'- 7 -'!$E32</f>
        <v>97.825454545454548</v>
      </c>
      <c r="H32" s="27">
        <v>561590</v>
      </c>
      <c r="I32" s="79">
        <f>H32/'- 3 -'!$D32*100</f>
        <v>2.2753375154208926</v>
      </c>
      <c r="J32" s="27">
        <f>H32/'- 7 -'!$E32</f>
        <v>272.28606060606063</v>
      </c>
    </row>
    <row r="33" spans="1:10" ht="14.1" customHeight="1">
      <c r="A33" s="330" t="s">
        <v>257</v>
      </c>
      <c r="B33" s="331">
        <v>205662</v>
      </c>
      <c r="C33" s="337">
        <f>B33/'- 3 -'!$D33*100</f>
        <v>0.81464263714757268</v>
      </c>
      <c r="D33" s="331">
        <f>B33/'- 7 -'!$E33</f>
        <v>101.61166007905139</v>
      </c>
      <c r="E33" s="331">
        <v>248321</v>
      </c>
      <c r="F33" s="337">
        <f>E33/'- 3 -'!$D33*100</f>
        <v>0.98361814189846641</v>
      </c>
      <c r="G33" s="331">
        <f>E33/'- 7 -'!$E33</f>
        <v>122.68824110671937</v>
      </c>
      <c r="H33" s="331">
        <v>367021</v>
      </c>
      <c r="I33" s="337">
        <f>H33/'- 3 -'!$D33*100</f>
        <v>1.4537977620004634</v>
      </c>
      <c r="J33" s="331">
        <f>H33/'- 7 -'!$E33</f>
        <v>181.33448616600791</v>
      </c>
    </row>
    <row r="34" spans="1:10" ht="14.1" customHeight="1">
      <c r="A34" s="26" t="s">
        <v>258</v>
      </c>
      <c r="B34" s="27">
        <v>155873</v>
      </c>
      <c r="C34" s="79">
        <f>B34/'- 3 -'!$D34*100</f>
        <v>0.64358678749641507</v>
      </c>
      <c r="D34" s="27">
        <f>B34/'- 7 -'!$E34</f>
        <v>76.450681014483521</v>
      </c>
      <c r="E34" s="27">
        <v>284780</v>
      </c>
      <c r="F34" s="79">
        <f>E34/'- 3 -'!$D34*100</f>
        <v>1.1758331804945634</v>
      </c>
      <c r="G34" s="27">
        <f>E34/'- 7 -'!$E34</f>
        <v>139.67540843702639</v>
      </c>
      <c r="H34" s="27">
        <v>486531</v>
      </c>
      <c r="I34" s="79">
        <f>H34/'- 3 -'!$D34*100</f>
        <v>2.0088464538914264</v>
      </c>
      <c r="J34" s="27">
        <f>H34/'- 7 -'!$E34</f>
        <v>238.62776930358484</v>
      </c>
    </row>
    <row r="35" spans="1:10" ht="14.1" customHeight="1">
      <c r="A35" s="330" t="s">
        <v>259</v>
      </c>
      <c r="B35" s="331">
        <v>398090</v>
      </c>
      <c r="C35" s="337">
        <f>B35/'- 3 -'!$D35*100</f>
        <v>0.23976624294030735</v>
      </c>
      <c r="D35" s="331">
        <f>B35/'- 7 -'!$E35</f>
        <v>25.22110998479473</v>
      </c>
      <c r="E35" s="331">
        <v>1422497</v>
      </c>
      <c r="F35" s="337">
        <f>E35/'- 3 -'!$D35*100</f>
        <v>0.85675792228857395</v>
      </c>
      <c r="G35" s="331">
        <f>E35/'- 7 -'!$E35</f>
        <v>90.122719209325894</v>
      </c>
      <c r="H35" s="331">
        <v>2165978</v>
      </c>
      <c r="I35" s="337">
        <f>H35/'- 3 -'!$D35*100</f>
        <v>1.3045502458021077</v>
      </c>
      <c r="J35" s="331">
        <f>H35/'- 7 -'!$E35</f>
        <v>137.22617840851495</v>
      </c>
    </row>
    <row r="36" spans="1:10" ht="14.1" customHeight="1">
      <c r="A36" s="26" t="s">
        <v>260</v>
      </c>
      <c r="B36" s="27">
        <v>203795</v>
      </c>
      <c r="C36" s="79">
        <f>B36/'- 3 -'!$D36*100</f>
        <v>0.99169631041965545</v>
      </c>
      <c r="D36" s="27">
        <f>B36/'- 7 -'!$E36</f>
        <v>123.54956047287057</v>
      </c>
      <c r="E36" s="27">
        <v>195352</v>
      </c>
      <c r="F36" s="79">
        <f>E36/'- 3 -'!$D36*100</f>
        <v>0.95061143616428545</v>
      </c>
      <c r="G36" s="27">
        <f>E36/'- 7 -'!$E36</f>
        <v>118.43103970900273</v>
      </c>
      <c r="H36" s="27">
        <v>473323</v>
      </c>
      <c r="I36" s="79">
        <f>H36/'- 3 -'!$D36*100</f>
        <v>2.3032590237089359</v>
      </c>
      <c r="J36" s="27">
        <f>H36/'- 7 -'!$E36</f>
        <v>286.94937859957565</v>
      </c>
    </row>
    <row r="37" spans="1:10" ht="14.1" customHeight="1">
      <c r="A37" s="330" t="s">
        <v>261</v>
      </c>
      <c r="B37" s="331">
        <v>155581</v>
      </c>
      <c r="C37" s="337">
        <f>B37/'- 3 -'!$D37*100</f>
        <v>0.39290047199018724</v>
      </c>
      <c r="D37" s="331">
        <f>B37/'- 7 -'!$E37</f>
        <v>41.727504358321042</v>
      </c>
      <c r="E37" s="331">
        <v>372559</v>
      </c>
      <c r="F37" s="337">
        <f>E37/'- 3 -'!$D37*100</f>
        <v>0.94085143394239745</v>
      </c>
      <c r="G37" s="331">
        <f>E37/'- 7 -'!$E37</f>
        <v>99.921952527826207</v>
      </c>
      <c r="H37" s="331">
        <v>671152</v>
      </c>
      <c r="I37" s="337">
        <f>H37/'- 3 -'!$D37*100</f>
        <v>1.6949109311365662</v>
      </c>
      <c r="J37" s="331">
        <f>H37/'- 7 -'!$E37</f>
        <v>180.0059004961781</v>
      </c>
    </row>
    <row r="38" spans="1:10" ht="14.1" customHeight="1">
      <c r="A38" s="26" t="s">
        <v>262</v>
      </c>
      <c r="B38" s="27">
        <v>356510</v>
      </c>
      <c r="C38" s="79">
        <f>B38/'- 3 -'!$D38*100</f>
        <v>0.32400846466320116</v>
      </c>
      <c r="D38" s="27">
        <f>B38/'- 7 -'!$E38</f>
        <v>34.440086556667566</v>
      </c>
      <c r="E38" s="27">
        <v>1133911</v>
      </c>
      <c r="F38" s="79">
        <f>E38/'- 3 -'!$D38*100</f>
        <v>1.0305370457342433</v>
      </c>
      <c r="G38" s="27">
        <f>E38/'- 7 -'!$E38</f>
        <v>109.53968468642529</v>
      </c>
      <c r="H38" s="27">
        <v>1511515</v>
      </c>
      <c r="I38" s="79">
        <f>H38/'- 3 -'!$D38*100</f>
        <v>1.3737164580668102</v>
      </c>
      <c r="J38" s="27">
        <f>H38/'- 7 -'!$E38</f>
        <v>146.01752386104562</v>
      </c>
    </row>
    <row r="39" spans="1:10" ht="14.1" customHeight="1">
      <c r="A39" s="330" t="s">
        <v>263</v>
      </c>
      <c r="B39" s="331">
        <v>166216</v>
      </c>
      <c r="C39" s="337">
        <f>B39/'- 3 -'!$D39*100</f>
        <v>0.85098910280745621</v>
      </c>
      <c r="D39" s="331">
        <f>B39/'- 7 -'!$E39</f>
        <v>104.80201765447667</v>
      </c>
      <c r="E39" s="331">
        <v>217146</v>
      </c>
      <c r="F39" s="337">
        <f>E39/'- 3 -'!$D39*100</f>
        <v>1.1117394217056593</v>
      </c>
      <c r="G39" s="331">
        <f>E39/'- 7 -'!$E39</f>
        <v>136.91424968474149</v>
      </c>
      <c r="H39" s="331">
        <v>400461</v>
      </c>
      <c r="I39" s="337">
        <f>H39/'- 3 -'!$D39*100</f>
        <v>2.05027161704876</v>
      </c>
      <c r="J39" s="331">
        <f>H39/'- 7 -'!$E39</f>
        <v>252.49747793190417</v>
      </c>
    </row>
    <row r="40" spans="1:10" ht="14.1" customHeight="1">
      <c r="A40" s="26" t="s">
        <v>264</v>
      </c>
      <c r="B40" s="27">
        <v>352114</v>
      </c>
      <c r="C40" s="79">
        <f>B40/'- 3 -'!$D40*100</f>
        <v>0.37949315611682433</v>
      </c>
      <c r="D40" s="27">
        <f>B40/'- 7 -'!$E40</f>
        <v>43.818709011038244</v>
      </c>
      <c r="E40" s="27">
        <v>1140912</v>
      </c>
      <c r="F40" s="79">
        <f>E40/'- 3 -'!$D40*100</f>
        <v>1.2296253364863603</v>
      </c>
      <c r="G40" s="27">
        <f>E40/'- 7 -'!$E40</f>
        <v>141.98041240962206</v>
      </c>
      <c r="H40" s="27">
        <v>1497715</v>
      </c>
      <c r="I40" s="79">
        <f>H40/'- 3 -'!$D40*100</f>
        <v>1.6141720928832977</v>
      </c>
      <c r="J40" s="27">
        <f>H40/'- 7 -'!$E40</f>
        <v>186.38264245803103</v>
      </c>
    </row>
    <row r="41" spans="1:10" ht="14.1" customHeight="1">
      <c r="A41" s="330" t="s">
        <v>265</v>
      </c>
      <c r="B41" s="331">
        <v>246326</v>
      </c>
      <c r="C41" s="337">
        <f>B41/'- 3 -'!$D41*100</f>
        <v>0.42541790738830076</v>
      </c>
      <c r="D41" s="331">
        <f>B41/'- 7 -'!$E41</f>
        <v>55.057219490388917</v>
      </c>
      <c r="E41" s="331">
        <v>805656</v>
      </c>
      <c r="F41" s="337">
        <f>E41/'- 3 -'!$D41*100</f>
        <v>1.3914101215252506</v>
      </c>
      <c r="G41" s="331">
        <f>E41/'- 7 -'!$E41</f>
        <v>180.07510058113544</v>
      </c>
      <c r="H41" s="331">
        <v>1107948</v>
      </c>
      <c r="I41" s="337">
        <f>H41/'- 3 -'!$D41*100</f>
        <v>1.9134842430561654</v>
      </c>
      <c r="J41" s="331">
        <f>H41/'- 7 -'!$E41</f>
        <v>247.64148413053195</v>
      </c>
    </row>
    <row r="42" spans="1:10" ht="14.1" customHeight="1">
      <c r="A42" s="26" t="s">
        <v>266</v>
      </c>
      <c r="B42" s="27">
        <v>151258</v>
      </c>
      <c r="C42" s="79">
        <f>B42/'- 3 -'!$D42*100</f>
        <v>0.76863430537605471</v>
      </c>
      <c r="D42" s="27">
        <f>B42/'- 7 -'!$E42</f>
        <v>105.87107160355568</v>
      </c>
      <c r="E42" s="27">
        <v>208316</v>
      </c>
      <c r="F42" s="79">
        <f>E42/'- 3 -'!$D42*100</f>
        <v>1.0585808615657897</v>
      </c>
      <c r="G42" s="27">
        <f>E42/'- 7 -'!$E42</f>
        <v>145.80807727304543</v>
      </c>
      <c r="H42" s="27">
        <v>376481</v>
      </c>
      <c r="I42" s="79">
        <f>H42/'- 3 -'!$D42*100</f>
        <v>1.91312996286003</v>
      </c>
      <c r="J42" s="27">
        <f>H42/'- 7 -'!$E42</f>
        <v>263.51298383145519</v>
      </c>
    </row>
    <row r="43" spans="1:10" ht="14.1" customHeight="1">
      <c r="A43" s="330" t="s">
        <v>267</v>
      </c>
      <c r="B43" s="331">
        <v>107511</v>
      </c>
      <c r="C43" s="337">
        <f>B43/'- 3 -'!$D43*100</f>
        <v>0.92320461943216447</v>
      </c>
      <c r="D43" s="331">
        <f>B43/'- 7 -'!$E43</f>
        <v>110.21117375704767</v>
      </c>
      <c r="E43" s="331">
        <v>137097</v>
      </c>
      <c r="F43" s="337">
        <f>E43/'- 3 -'!$D43*100</f>
        <v>1.1772617100602865</v>
      </c>
      <c r="G43" s="331">
        <f>E43/'- 7 -'!$E43</f>
        <v>140.54023577652487</v>
      </c>
      <c r="H43" s="331">
        <v>290015</v>
      </c>
      <c r="I43" s="337">
        <f>H43/'- 3 -'!$D43*100</f>
        <v>2.4903794747013719</v>
      </c>
      <c r="J43" s="331">
        <f>H43/'- 7 -'!$E43</f>
        <v>297.29882111737572</v>
      </c>
    </row>
    <row r="44" spans="1:10" ht="14.1" customHeight="1">
      <c r="A44" s="26" t="s">
        <v>268</v>
      </c>
      <c r="B44" s="27">
        <v>80987</v>
      </c>
      <c r="C44" s="79">
        <f>B44/'- 3 -'!$D44*100</f>
        <v>0.83029483786403635</v>
      </c>
      <c r="D44" s="27">
        <f>B44/'- 7 -'!$E44</f>
        <v>113.18937805730259</v>
      </c>
      <c r="E44" s="27">
        <v>47503</v>
      </c>
      <c r="F44" s="79">
        <f>E44/'- 3 -'!$D44*100</f>
        <v>0.487010207601903</v>
      </c>
      <c r="G44" s="27">
        <f>E44/'- 7 -'!$E44</f>
        <v>66.391334730957368</v>
      </c>
      <c r="H44" s="27">
        <v>210331</v>
      </c>
      <c r="I44" s="79">
        <f>H44/'- 3 -'!$D44*100</f>
        <v>2.156355261249097</v>
      </c>
      <c r="J44" s="27">
        <f>H44/'- 7 -'!$E44</f>
        <v>293.96366177498254</v>
      </c>
    </row>
    <row r="45" spans="1:10" ht="14.1" customHeight="1">
      <c r="A45" s="330" t="s">
        <v>269</v>
      </c>
      <c r="B45" s="331">
        <v>107825</v>
      </c>
      <c r="C45" s="337">
        <f>B45/'- 3 -'!$D45*100</f>
        <v>0.66171790252393603</v>
      </c>
      <c r="D45" s="331">
        <f>B45/'- 7 -'!$E45</f>
        <v>66.972049689440993</v>
      </c>
      <c r="E45" s="331">
        <v>152318</v>
      </c>
      <c r="F45" s="337">
        <f>E45/'- 3 -'!$D45*100</f>
        <v>0.93476974242189559</v>
      </c>
      <c r="G45" s="331">
        <f>E45/'- 7 -'!$E45</f>
        <v>94.60745341614907</v>
      </c>
      <c r="H45" s="331">
        <v>305748</v>
      </c>
      <c r="I45" s="337">
        <f>H45/'- 3 -'!$D45*100</f>
        <v>1.8763637863286657</v>
      </c>
      <c r="J45" s="331">
        <f>H45/'- 7 -'!$E45</f>
        <v>189.9055900621118</v>
      </c>
    </row>
    <row r="46" spans="1:10" ht="14.1" customHeight="1">
      <c r="A46" s="26" t="s">
        <v>270</v>
      </c>
      <c r="B46" s="27">
        <v>707008</v>
      </c>
      <c r="C46" s="79">
        <f>B46/'- 3 -'!$D46*100</f>
        <v>0.20355012213459336</v>
      </c>
      <c r="D46" s="27">
        <f>B46/'- 7 -'!$E46</f>
        <v>23.467587214126862</v>
      </c>
      <c r="E46" s="27">
        <v>1963657</v>
      </c>
      <c r="F46" s="79">
        <f>E46/'- 3 -'!$D46*100</f>
        <v>0.56534384643518776</v>
      </c>
      <c r="G46" s="27">
        <f>E46/'- 7 -'!$E46</f>
        <v>65.17930759783583</v>
      </c>
      <c r="H46" s="27">
        <v>5243592</v>
      </c>
      <c r="I46" s="79">
        <f>H46/'- 3 -'!$D46*100</f>
        <v>1.5096488187177186</v>
      </c>
      <c r="J46" s="27">
        <f>H46/'- 7 -'!$E46</f>
        <v>174.04959006870914</v>
      </c>
    </row>
    <row r="47" spans="1:10" ht="5.0999999999999996" customHeight="1">
      <c r="A47" s="28"/>
      <c r="B47" s="29"/>
      <c r="C47"/>
      <c r="D47" s="29"/>
      <c r="E47" s="29"/>
      <c r="F47"/>
      <c r="G47" s="29"/>
      <c r="H47"/>
      <c r="I47"/>
      <c r="J47"/>
    </row>
    <row r="48" spans="1:10" ht="14.1" customHeight="1">
      <c r="A48" s="332" t="s">
        <v>271</v>
      </c>
      <c r="B48" s="333">
        <f>SUM(B11:B46)</f>
        <v>8800662</v>
      </c>
      <c r="C48" s="340">
        <f>B48/'- 3 -'!$D48*100</f>
        <v>0.44026945557533942</v>
      </c>
      <c r="D48" s="333">
        <f>B48/'- 7 -'!$E48</f>
        <v>51.08906096553865</v>
      </c>
      <c r="E48" s="333">
        <f>SUM(E11:E46)</f>
        <v>19971470</v>
      </c>
      <c r="F48" s="340">
        <f>E48/'- 3 -'!$D48*100</f>
        <v>0.99910986513732991</v>
      </c>
      <c r="G48" s="333">
        <f>E48/'- 7 -'!$E48</f>
        <v>115.93714750111141</v>
      </c>
      <c r="H48" s="333">
        <f>SUM(H11:H46)</f>
        <v>33941783</v>
      </c>
      <c r="I48" s="340">
        <f>H48/'- 3 -'!$D48*100</f>
        <v>1.6980007097950487</v>
      </c>
      <c r="J48" s="333">
        <f>H48/'- 7 -'!$E48</f>
        <v>197.0367480271465</v>
      </c>
    </row>
    <row r="49" spans="1:10" ht="5.0999999999999996" customHeight="1">
      <c r="A49" s="28" t="s">
        <v>17</v>
      </c>
      <c r="B49" s="29"/>
      <c r="C49"/>
      <c r="D49" s="29"/>
      <c r="E49" s="29"/>
      <c r="F49"/>
      <c r="H49"/>
      <c r="I49"/>
      <c r="J49"/>
    </row>
    <row r="50" spans="1:10" ht="14.1" customHeight="1">
      <c r="A50" s="26" t="s">
        <v>272</v>
      </c>
      <c r="B50" s="27">
        <v>25833</v>
      </c>
      <c r="C50" s="79">
        <f>B50/'- 3 -'!$D50*100</f>
        <v>0.81452723336001864</v>
      </c>
      <c r="D50" s="27">
        <f>B50/'- 7 -'!$E50</f>
        <v>154.68862275449101</v>
      </c>
      <c r="E50" s="27">
        <v>88682</v>
      </c>
      <c r="F50" s="79">
        <f>E50/'- 3 -'!$D50*100</f>
        <v>2.7961872066284665</v>
      </c>
      <c r="G50" s="27">
        <f>E50/'- 7 -'!$E50</f>
        <v>531.02994011976045</v>
      </c>
      <c r="H50" s="27">
        <v>131671</v>
      </c>
      <c r="I50" s="79">
        <f>H50/'- 3 -'!$D50*100</f>
        <v>4.1516515830041811</v>
      </c>
      <c r="J50" s="27">
        <f>H50/'- 7 -'!$E50</f>
        <v>788.44910179640715</v>
      </c>
    </row>
    <row r="51" spans="1:10" ht="14.1" customHeight="1">
      <c r="A51" s="330" t="s">
        <v>273</v>
      </c>
      <c r="B51" s="331">
        <v>61030</v>
      </c>
      <c r="C51" s="337">
        <f>B51/'- 3 -'!$D51*100</f>
        <v>0.33745054701767641</v>
      </c>
      <c r="D51" s="331">
        <f>B51/'- 7 -'!$E51</f>
        <v>84.426184152279774</v>
      </c>
      <c r="E51" s="331">
        <v>314499</v>
      </c>
      <c r="F51" s="337">
        <f>E51/'- 3 -'!$D51*100</f>
        <v>1.7389457576030185</v>
      </c>
      <c r="G51" s="331">
        <f>E51/'- 7 -'!$E51</f>
        <v>435.06391102257635</v>
      </c>
      <c r="H51" s="331">
        <v>677771</v>
      </c>
      <c r="I51" s="337">
        <f>H51/'- 3 -'!$D51*100</f>
        <v>3.7475699607196065</v>
      </c>
      <c r="J51" s="331">
        <f>H51/'- 7 -'!$E51</f>
        <v>937.59821823815844</v>
      </c>
    </row>
    <row r="52" spans="1:10"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24.xml><?xml version="1.0" encoding="utf-8"?>
<worksheet xmlns="http://schemas.openxmlformats.org/spreadsheetml/2006/main" xmlns:r="http://schemas.openxmlformats.org/officeDocument/2006/relationships">
  <sheetPr codeName="Sheet22">
    <pageSetUpPr fitToPage="1"/>
  </sheetPr>
  <dimension ref="A1:E52"/>
  <sheetViews>
    <sheetView showGridLines="0" showZeros="0" workbookViewId="0"/>
  </sheetViews>
  <sheetFormatPr defaultColWidth="15.83203125" defaultRowHeight="12"/>
  <cols>
    <col min="1" max="1" width="35.83203125" style="1" customWidth="1"/>
    <col min="2" max="2" width="20.83203125" style="1" customWidth="1"/>
    <col min="3" max="4" width="15.83203125" style="1" customWidth="1"/>
    <col min="5" max="5" width="44.83203125" style="1" customWidth="1"/>
    <col min="6" max="16384" width="15.83203125" style="1"/>
  </cols>
  <sheetData>
    <row r="1" spans="1:5" ht="6.95" customHeight="1">
      <c r="A1" s="6"/>
      <c r="B1" s="7"/>
      <c r="C1" s="7"/>
      <c r="D1" s="7"/>
      <c r="E1" s="7"/>
    </row>
    <row r="2" spans="1:5" ht="15.95" customHeight="1">
      <c r="A2" s="152"/>
      <c r="B2" s="8" t="s">
        <v>492</v>
      </c>
      <c r="C2" s="9"/>
      <c r="D2" s="9"/>
      <c r="E2" s="523" t="s">
        <v>458</v>
      </c>
    </row>
    <row r="3" spans="1:5" ht="15.95" customHeight="1">
      <c r="A3" s="154"/>
      <c r="B3" s="10" t="str">
        <f>OPYEAR</f>
        <v>OPERATING FUND 2012/2013 ACTUAL</v>
      </c>
      <c r="C3" s="11"/>
      <c r="D3" s="11"/>
      <c r="E3" s="74"/>
    </row>
    <row r="4" spans="1:5" ht="15.95" customHeight="1">
      <c r="B4" s="7"/>
      <c r="C4" s="7"/>
      <c r="D4" s="7"/>
      <c r="E4" s="7"/>
    </row>
    <row r="5" spans="1:5" ht="15.95" customHeight="1">
      <c r="B5" s="185" t="s">
        <v>194</v>
      </c>
      <c r="C5" s="175"/>
      <c r="D5" s="177"/>
      <c r="E5" s="50"/>
    </row>
    <row r="6" spans="1:5" ht="15.95" customHeight="1">
      <c r="B6" s="357" t="s">
        <v>29</v>
      </c>
      <c r="C6" s="360"/>
      <c r="D6" s="358"/>
      <c r="E6" s="78"/>
    </row>
    <row r="7" spans="1:5" ht="15.95" customHeight="1">
      <c r="B7" s="344" t="s">
        <v>55</v>
      </c>
      <c r="C7" s="345"/>
      <c r="D7" s="346"/>
      <c r="E7" s="78"/>
    </row>
    <row r="8" spans="1:5" ht="15.95" customHeight="1">
      <c r="A8" s="75"/>
      <c r="B8" s="157"/>
      <c r="C8" s="77"/>
      <c r="D8" s="19" t="s">
        <v>74</v>
      </c>
      <c r="E8" s="78"/>
    </row>
    <row r="9" spans="1:5" ht="15.95" customHeight="1">
      <c r="A9" s="42" t="s">
        <v>94</v>
      </c>
      <c r="B9" s="87" t="s">
        <v>95</v>
      </c>
      <c r="C9" s="87" t="s">
        <v>96</v>
      </c>
      <c r="D9" s="87" t="s">
        <v>97</v>
      </c>
    </row>
    <row r="10" spans="1:5" ht="5.0999999999999996" customHeight="1">
      <c r="A10" s="5"/>
    </row>
    <row r="11" spans="1:5" ht="14.1" customHeight="1">
      <c r="A11" s="330" t="s">
        <v>236</v>
      </c>
      <c r="B11" s="331">
        <v>0</v>
      </c>
      <c r="C11" s="337">
        <f>B11/'- 3 -'!$D11*100</f>
        <v>0</v>
      </c>
      <c r="D11" s="331">
        <f>B11/'- 7 -'!$E11</f>
        <v>0</v>
      </c>
    </row>
    <row r="12" spans="1:5" ht="14.1" customHeight="1">
      <c r="A12" s="26" t="s">
        <v>237</v>
      </c>
      <c r="B12" s="27">
        <v>86816</v>
      </c>
      <c r="C12" s="79">
        <f>B12/'- 3 -'!$D12*100</f>
        <v>0.29399580550722659</v>
      </c>
      <c r="D12" s="27">
        <f>B12/'- 7 -'!$E12</f>
        <v>37.963967115620079</v>
      </c>
    </row>
    <row r="13" spans="1:5" ht="14.1" customHeight="1">
      <c r="A13" s="330" t="s">
        <v>238</v>
      </c>
      <c r="B13" s="331">
        <v>205704</v>
      </c>
      <c r="C13" s="337">
        <f>B13/'- 3 -'!$D13*100</f>
        <v>0.25574518140130392</v>
      </c>
      <c r="D13" s="331">
        <f>B13/'- 7 -'!$E13</f>
        <v>26.209339364209722</v>
      </c>
    </row>
    <row r="14" spans="1:5" ht="14.1" customHeight="1">
      <c r="A14" s="26" t="s">
        <v>656</v>
      </c>
      <c r="B14" s="27">
        <v>101469</v>
      </c>
      <c r="C14" s="79">
        <f>B14/'- 3 -'!$D14*100</f>
        <v>0.14523708416368009</v>
      </c>
      <c r="D14" s="27">
        <f>B14/'- 7 -'!$E14</f>
        <v>19.919316843345111</v>
      </c>
    </row>
    <row r="15" spans="1:5" ht="14.1" customHeight="1">
      <c r="A15" s="330" t="s">
        <v>239</v>
      </c>
      <c r="B15" s="331">
        <v>0</v>
      </c>
      <c r="C15" s="337">
        <f>B15/'- 3 -'!$D15*100</f>
        <v>0</v>
      </c>
      <c r="D15" s="331">
        <f>B15/'- 7 -'!$E15</f>
        <v>0</v>
      </c>
    </row>
    <row r="16" spans="1:5" ht="14.1" customHeight="1">
      <c r="A16" s="26" t="s">
        <v>240</v>
      </c>
      <c r="B16" s="27">
        <v>43517</v>
      </c>
      <c r="C16" s="79">
        <f>B16/'- 3 -'!$D16*100</f>
        <v>0.34057616279911551</v>
      </c>
      <c r="D16" s="27">
        <f>B16/'- 7 -'!$E16</f>
        <v>43.845843828715367</v>
      </c>
    </row>
    <row r="17" spans="1:4" ht="14.1" customHeight="1">
      <c r="A17" s="330" t="s">
        <v>241</v>
      </c>
      <c r="B17" s="331">
        <v>75304</v>
      </c>
      <c r="C17" s="337">
        <f>B17/'- 3 -'!$D17*100</f>
        <v>0.46787209714919487</v>
      </c>
      <c r="D17" s="331">
        <f>B17/'- 7 -'!$E17</f>
        <v>58.128645942458888</v>
      </c>
    </row>
    <row r="18" spans="1:4" ht="14.1" customHeight="1">
      <c r="A18" s="26" t="s">
        <v>242</v>
      </c>
      <c r="B18" s="27">
        <v>382772</v>
      </c>
      <c r="C18" s="79">
        <f>B18/'- 3 -'!$D18*100</f>
        <v>0.33977552421243251</v>
      </c>
      <c r="D18" s="27">
        <f>B18/'- 7 -'!$E18</f>
        <v>66.269390581717445</v>
      </c>
    </row>
    <row r="19" spans="1:4" ht="14.1" customHeight="1">
      <c r="A19" s="330" t="s">
        <v>243</v>
      </c>
      <c r="B19" s="331">
        <v>78068</v>
      </c>
      <c r="C19" s="337">
        <f>B19/'- 3 -'!$D19*100</f>
        <v>0.20036905604481731</v>
      </c>
      <c r="D19" s="331">
        <f>B19/'- 7 -'!$E19</f>
        <v>18.635094168476833</v>
      </c>
    </row>
    <row r="20" spans="1:4" ht="14.1" customHeight="1">
      <c r="A20" s="26" t="s">
        <v>244</v>
      </c>
      <c r="B20" s="27">
        <v>158095</v>
      </c>
      <c r="C20" s="79">
        <f>B20/'- 3 -'!$D20*100</f>
        <v>0.23364849240673063</v>
      </c>
      <c r="D20" s="27">
        <f>B20/'- 7 -'!$E20</f>
        <v>21.391651444421893</v>
      </c>
    </row>
    <row r="21" spans="1:4" ht="14.1" customHeight="1">
      <c r="A21" s="330" t="s">
        <v>245</v>
      </c>
      <c r="B21" s="331">
        <v>106467</v>
      </c>
      <c r="C21" s="337">
        <f>B21/'- 3 -'!$D21*100</f>
        <v>0.32596852917397978</v>
      </c>
      <c r="D21" s="331">
        <f>B21/'- 7 -'!$E21</f>
        <v>38.595976073953238</v>
      </c>
    </row>
    <row r="22" spans="1:4" ht="14.1" customHeight="1">
      <c r="A22" s="26" t="s">
        <v>246</v>
      </c>
      <c r="B22" s="27">
        <v>52182</v>
      </c>
      <c r="C22" s="79">
        <f>B22/'- 3 -'!$D22*100</f>
        <v>0.28093145072329267</v>
      </c>
      <c r="D22" s="27">
        <f>B22/'- 7 -'!$E22</f>
        <v>32.705734879348164</v>
      </c>
    </row>
    <row r="23" spans="1:4" ht="14.1" customHeight="1">
      <c r="A23" s="330" t="s">
        <v>247</v>
      </c>
      <c r="B23" s="331">
        <v>0</v>
      </c>
      <c r="C23" s="337">
        <f>B23/'- 3 -'!$D23*100</f>
        <v>0</v>
      </c>
      <c r="D23" s="331">
        <f>B23/'- 7 -'!$E23</f>
        <v>0</v>
      </c>
    </row>
    <row r="24" spans="1:4" ht="14.1" customHeight="1">
      <c r="A24" s="26" t="s">
        <v>248</v>
      </c>
      <c r="B24" s="27">
        <v>226908</v>
      </c>
      <c r="C24" s="79">
        <f>B24/'- 3 -'!$D24*100</f>
        <v>0.44431951458286889</v>
      </c>
      <c r="D24" s="27">
        <f>B24/'- 7 -'!$E24</f>
        <v>53.469378137003091</v>
      </c>
    </row>
    <row r="25" spans="1:4" ht="14.1" customHeight="1">
      <c r="A25" s="330" t="s">
        <v>249</v>
      </c>
      <c r="B25" s="331">
        <v>343774</v>
      </c>
      <c r="C25" s="337">
        <f>B25/'- 3 -'!$D25*100</f>
        <v>0.22948962280654778</v>
      </c>
      <c r="D25" s="331">
        <f>B25/'- 7 -'!$E25</f>
        <v>25.082373885508325</v>
      </c>
    </row>
    <row r="26" spans="1:4" ht="14.1" customHeight="1">
      <c r="A26" s="26" t="s">
        <v>250</v>
      </c>
      <c r="B26" s="27">
        <v>22205</v>
      </c>
      <c r="C26" s="79">
        <f>B26/'- 3 -'!$D26*100</f>
        <v>5.9566176358749286E-2</v>
      </c>
      <c r="D26" s="27">
        <f>B26/'- 7 -'!$E26</f>
        <v>7.1456154465004023</v>
      </c>
    </row>
    <row r="27" spans="1:4" ht="14.1" customHeight="1">
      <c r="A27" s="330" t="s">
        <v>251</v>
      </c>
      <c r="B27" s="331">
        <v>162893</v>
      </c>
      <c r="C27" s="337">
        <f>B27/'- 3 -'!$D27*100</f>
        <v>0.44675278770360627</v>
      </c>
      <c r="D27" s="331">
        <f>B27/'- 7 -'!$E27</f>
        <v>59.470836497458961</v>
      </c>
    </row>
    <row r="28" spans="1:4" ht="14.1" customHeight="1">
      <c r="A28" s="26" t="s">
        <v>252</v>
      </c>
      <c r="B28" s="27">
        <v>60622</v>
      </c>
      <c r="C28" s="79">
        <f>B28/'- 3 -'!$D28*100</f>
        <v>0.23803111492538176</v>
      </c>
      <c r="D28" s="27">
        <f>B28/'- 7 -'!$E28</f>
        <v>30.547745023935502</v>
      </c>
    </row>
    <row r="29" spans="1:4" ht="14.1" customHeight="1">
      <c r="A29" s="330" t="s">
        <v>253</v>
      </c>
      <c r="B29" s="331">
        <v>668991</v>
      </c>
      <c r="C29" s="337">
        <f>B29/'- 3 -'!$D29*100</f>
        <v>0.48451025934944647</v>
      </c>
      <c r="D29" s="331">
        <f>B29/'- 7 -'!$E29</f>
        <v>54.959662843810584</v>
      </c>
    </row>
    <row r="30" spans="1:4" ht="14.1" customHeight="1">
      <c r="A30" s="26" t="s">
        <v>254</v>
      </c>
      <c r="B30" s="27">
        <v>35512</v>
      </c>
      <c r="C30" s="79">
        <f>B30/'- 3 -'!$D30*100</f>
        <v>0.26671872057931861</v>
      </c>
      <c r="D30" s="27">
        <f>B30/'- 7 -'!$E30</f>
        <v>32.948598997958804</v>
      </c>
    </row>
    <row r="31" spans="1:4" ht="14.1" customHeight="1">
      <c r="A31" s="330" t="s">
        <v>255</v>
      </c>
      <c r="B31" s="331">
        <v>128865</v>
      </c>
      <c r="C31" s="337">
        <f>B31/'- 3 -'!$D31*100</f>
        <v>0.39482364191651098</v>
      </c>
      <c r="D31" s="331">
        <f>B31/'- 7 -'!$E31</f>
        <v>40.510845646023263</v>
      </c>
    </row>
    <row r="32" spans="1:4" ht="14.1" customHeight="1">
      <c r="A32" s="26" t="s">
        <v>256</v>
      </c>
      <c r="B32" s="27">
        <v>52457</v>
      </c>
      <c r="C32" s="79">
        <f>B32/'- 3 -'!$D32*100</f>
        <v>0.21253473182648153</v>
      </c>
      <c r="D32" s="27">
        <f>B32/'- 7 -'!$E32</f>
        <v>25.433696969696971</v>
      </c>
    </row>
    <row r="33" spans="1:5" ht="14.1" customHeight="1">
      <c r="A33" s="330" t="s">
        <v>257</v>
      </c>
      <c r="B33" s="331">
        <v>56285</v>
      </c>
      <c r="C33" s="337">
        <f>B33/'- 3 -'!$D33*100</f>
        <v>0.22294911472149026</v>
      </c>
      <c r="D33" s="331">
        <f>B33/'- 7 -'!$E33</f>
        <v>27.80879446640316</v>
      </c>
    </row>
    <row r="34" spans="1:5" ht="14.1" customHeight="1">
      <c r="A34" s="26" t="s">
        <v>258</v>
      </c>
      <c r="B34" s="27">
        <v>43984</v>
      </c>
      <c r="C34" s="79">
        <f>B34/'- 3 -'!$D34*100</f>
        <v>0.18160631579069061</v>
      </c>
      <c r="D34" s="27">
        <f>B34/'- 7 -'!$E34</f>
        <v>21.572733916336009</v>
      </c>
    </row>
    <row r="35" spans="1:5" ht="14.1" customHeight="1">
      <c r="A35" s="330" t="s">
        <v>259</v>
      </c>
      <c r="B35" s="331">
        <v>942508</v>
      </c>
      <c r="C35" s="337">
        <f>B35/'- 3 -'!$D35*100</f>
        <v>0.56766460373579641</v>
      </c>
      <c r="D35" s="331">
        <f>B35/'- 7 -'!$E35</f>
        <v>59.712873796249369</v>
      </c>
    </row>
    <row r="36" spans="1:5" ht="14.1" customHeight="1">
      <c r="A36" s="26" t="s">
        <v>260</v>
      </c>
      <c r="B36" s="27">
        <v>0</v>
      </c>
      <c r="C36" s="79">
        <f>B36/'- 3 -'!$D36*100</f>
        <v>0</v>
      </c>
      <c r="D36" s="27">
        <f>B36/'- 7 -'!$E36</f>
        <v>0</v>
      </c>
    </row>
    <row r="37" spans="1:5" ht="14.1" customHeight="1">
      <c r="A37" s="330" t="s">
        <v>261</v>
      </c>
      <c r="B37" s="331">
        <v>192469</v>
      </c>
      <c r="C37" s="337">
        <f>B37/'- 3 -'!$D37*100</f>
        <v>0.48605652967572738</v>
      </c>
      <c r="D37" s="331">
        <f>B37/'- 7 -'!$E37</f>
        <v>51.621027222743727</v>
      </c>
    </row>
    <row r="38" spans="1:5" ht="14.1" customHeight="1">
      <c r="A38" s="26" t="s">
        <v>262</v>
      </c>
      <c r="B38" s="27">
        <v>354798</v>
      </c>
      <c r="C38" s="79">
        <f>B38/'- 3 -'!$D38*100</f>
        <v>0.3224525405895331</v>
      </c>
      <c r="D38" s="27">
        <f>B38/'- 7 -'!$E38</f>
        <v>34.274701495420999</v>
      </c>
    </row>
    <row r="39" spans="1:5" ht="14.1" customHeight="1">
      <c r="A39" s="330" t="s">
        <v>263</v>
      </c>
      <c r="B39" s="331">
        <v>50549</v>
      </c>
      <c r="C39" s="337">
        <f>B39/'- 3 -'!$D39*100</f>
        <v>0.25879968329050212</v>
      </c>
      <c r="D39" s="331">
        <f>B39/'- 7 -'!$E39</f>
        <v>31.872005044136191</v>
      </c>
    </row>
    <row r="40" spans="1:5" ht="14.1" customHeight="1">
      <c r="A40" s="26" t="s">
        <v>264</v>
      </c>
      <c r="B40" s="27">
        <v>218706</v>
      </c>
      <c r="C40" s="79">
        <f>B40/'- 3 -'!$D40*100</f>
        <v>0.2357118154963625</v>
      </c>
      <c r="D40" s="27">
        <f>B40/'- 7 -'!$E40</f>
        <v>27.216795052080094</v>
      </c>
    </row>
    <row r="41" spans="1:5" ht="14.1" customHeight="1">
      <c r="A41" s="330" t="s">
        <v>265</v>
      </c>
      <c r="B41" s="331">
        <v>145842</v>
      </c>
      <c r="C41" s="337">
        <f>B41/'- 3 -'!$D41*100</f>
        <v>0.25187677488094867</v>
      </c>
      <c r="D41" s="331">
        <f>B41/'- 7 -'!$E41</f>
        <v>32.59767545820295</v>
      </c>
    </row>
    <row r="42" spans="1:5" ht="14.1" customHeight="1">
      <c r="A42" s="26" t="s">
        <v>266</v>
      </c>
      <c r="B42" s="27">
        <v>28977</v>
      </c>
      <c r="C42" s="79">
        <f>B42/'- 3 -'!$D42*100</f>
        <v>0.14724983978951156</v>
      </c>
      <c r="D42" s="27">
        <f>B42/'- 7 -'!$E42</f>
        <v>20.282074613284802</v>
      </c>
    </row>
    <row r="43" spans="1:5" ht="14.1" customHeight="1">
      <c r="A43" s="330" t="s">
        <v>267</v>
      </c>
      <c r="B43" s="331">
        <v>20677</v>
      </c>
      <c r="C43" s="337">
        <f>B43/'- 3 -'!$D43*100</f>
        <v>0.17755487267348333</v>
      </c>
      <c r="D43" s="331">
        <f>B43/'- 7 -'!$E43</f>
        <v>21.196309584828292</v>
      </c>
    </row>
    <row r="44" spans="1:5" ht="14.1" customHeight="1">
      <c r="A44" s="26" t="s">
        <v>268</v>
      </c>
      <c r="B44" s="27">
        <v>0</v>
      </c>
      <c r="C44" s="79">
        <f>B44/'- 3 -'!$D44*100</f>
        <v>0</v>
      </c>
      <c r="D44" s="27">
        <f>B44/'- 7 -'!$E44</f>
        <v>0</v>
      </c>
    </row>
    <row r="45" spans="1:5" ht="14.1" customHeight="1">
      <c r="A45" s="330" t="s">
        <v>269</v>
      </c>
      <c r="B45" s="331">
        <v>54926</v>
      </c>
      <c r="C45" s="337">
        <f>B45/'- 3 -'!$D45*100</f>
        <v>0.3370787620127958</v>
      </c>
      <c r="D45" s="331">
        <f>B45/'- 7 -'!$E45</f>
        <v>34.115527950310558</v>
      </c>
    </row>
    <row r="46" spans="1:5" ht="14.1" customHeight="1">
      <c r="A46" s="26" t="s">
        <v>270</v>
      </c>
      <c r="B46" s="27">
        <v>1270090</v>
      </c>
      <c r="C46" s="79">
        <f>B46/'- 3 -'!$D46*100</f>
        <v>0.36566343608831259</v>
      </c>
      <c r="D46" s="27">
        <f>B46/'- 7 -'!$E46</f>
        <v>42.157865038005774</v>
      </c>
    </row>
    <row r="47" spans="1:5" ht="5.0999999999999996" customHeight="1">
      <c r="A47" s="28"/>
      <c r="B47" s="29"/>
      <c r="C47"/>
      <c r="D47" s="29"/>
    </row>
    <row r="48" spans="1:5" ht="14.1" customHeight="1">
      <c r="A48" s="332" t="s">
        <v>271</v>
      </c>
      <c r="B48" s="333">
        <f>SUM(B11:B46)</f>
        <v>6372432</v>
      </c>
      <c r="C48" s="340">
        <f>B48/'- 3 -'!$D48*100</f>
        <v>0.3187927416518066</v>
      </c>
      <c r="D48" s="333">
        <f>B48/'- 7 -'!$E48</f>
        <v>36.992849736389076</v>
      </c>
      <c r="E48" s="5"/>
    </row>
    <row r="49" spans="1:4" ht="5.0999999999999996" customHeight="1">
      <c r="A49" s="28" t="s">
        <v>17</v>
      </c>
      <c r="B49" s="29"/>
      <c r="C49"/>
      <c r="D49" s="29"/>
    </row>
    <row r="50" spans="1:4" ht="14.1" customHeight="1">
      <c r="A50" s="26" t="s">
        <v>272</v>
      </c>
      <c r="B50" s="27">
        <v>11606</v>
      </c>
      <c r="C50" s="79">
        <f>B50/'- 3 -'!$D50*100</f>
        <v>0.36594290521334633</v>
      </c>
      <c r="D50" s="27">
        <f>B50/'- 7 -'!$E50</f>
        <v>69.497005988023957</v>
      </c>
    </row>
    <row r="51" spans="1:4" ht="14.1" customHeight="1">
      <c r="A51" s="330" t="s">
        <v>273</v>
      </c>
      <c r="B51" s="331">
        <v>767473</v>
      </c>
      <c r="C51" s="337">
        <f>B51/'- 3 -'!$D51*100</f>
        <v>4.2435553608274157</v>
      </c>
      <c r="D51" s="331">
        <f>B51/'- 7 -'!$E51</f>
        <v>1061.6879703408588</v>
      </c>
    </row>
    <row r="52" spans="1:4"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25.xml><?xml version="1.0" encoding="utf-8"?>
<worksheet xmlns="http://schemas.openxmlformats.org/spreadsheetml/2006/main" xmlns:r="http://schemas.openxmlformats.org/officeDocument/2006/relationships">
  <sheetPr codeName="Sheet24">
    <pageSetUpPr fitToPage="1"/>
  </sheetPr>
  <dimension ref="A1:J52"/>
  <sheetViews>
    <sheetView showGridLines="0" showZeros="0" workbookViewId="0"/>
  </sheetViews>
  <sheetFormatPr defaultColWidth="15.83203125" defaultRowHeight="12"/>
  <cols>
    <col min="1" max="1" width="32.83203125" style="1" customWidth="1"/>
    <col min="2" max="2" width="15.83203125" style="1" customWidth="1"/>
    <col min="3" max="3" width="7.83203125" style="1" customWidth="1"/>
    <col min="4" max="4" width="9.83203125" style="1" customWidth="1"/>
    <col min="5" max="5" width="15.83203125" style="1" customWidth="1"/>
    <col min="6" max="6" width="7.83203125" style="1" customWidth="1"/>
    <col min="7" max="7" width="9.83203125" style="1" customWidth="1"/>
    <col min="8" max="8" width="14.83203125" style="1" customWidth="1"/>
    <col min="9" max="9" width="7.83203125" style="1" customWidth="1"/>
    <col min="10" max="10" width="9.83203125" style="1" customWidth="1"/>
    <col min="11" max="16384" width="15.83203125" style="1"/>
  </cols>
  <sheetData>
    <row r="1" spans="1:10" ht="6.95" customHeight="1">
      <c r="A1" s="6"/>
      <c r="B1" s="7"/>
      <c r="C1" s="7"/>
      <c r="D1" s="7"/>
      <c r="E1" s="7"/>
      <c r="F1" s="7"/>
      <c r="G1" s="7"/>
    </row>
    <row r="2" spans="1:10" ht="15.95" customHeight="1">
      <c r="A2" s="152"/>
      <c r="B2" s="8" t="s">
        <v>492</v>
      </c>
      <c r="C2" s="9"/>
      <c r="D2" s="9"/>
      <c r="E2" s="9"/>
      <c r="F2" s="9"/>
      <c r="G2" s="9"/>
      <c r="H2" s="82"/>
      <c r="I2" s="153"/>
      <c r="J2" s="523" t="s">
        <v>457</v>
      </c>
    </row>
    <row r="3" spans="1:10" ht="15.95" customHeight="1">
      <c r="A3" s="154"/>
      <c r="B3" s="10" t="str">
        <f>OPYEAR</f>
        <v>OPERATING FUND 2012/2013 ACTUAL</v>
      </c>
      <c r="C3" s="11"/>
      <c r="D3" s="11"/>
      <c r="E3" s="11"/>
      <c r="F3" s="11"/>
      <c r="G3" s="11"/>
      <c r="H3" s="84"/>
      <c r="I3" s="11"/>
      <c r="J3" s="11"/>
    </row>
    <row r="4" spans="1:10" ht="15.95" customHeight="1">
      <c r="B4" s="7"/>
      <c r="C4" s="7"/>
      <c r="D4" s="7"/>
      <c r="E4" s="7"/>
      <c r="F4" s="7"/>
      <c r="G4" s="7"/>
    </row>
    <row r="5" spans="1:10" ht="15.95" customHeight="1">
      <c r="B5" s="513" t="s">
        <v>444</v>
      </c>
      <c r="C5" s="187"/>
      <c r="D5" s="187"/>
      <c r="E5" s="187"/>
      <c r="F5" s="187"/>
      <c r="G5" s="187"/>
      <c r="H5" s="46"/>
      <c r="I5" s="46"/>
      <c r="J5" s="205"/>
    </row>
    <row r="6" spans="1:10" ht="15.95" customHeight="1">
      <c r="B6" s="357" t="s">
        <v>31</v>
      </c>
      <c r="C6" s="360"/>
      <c r="D6" s="358"/>
      <c r="E6" s="357" t="s">
        <v>31</v>
      </c>
      <c r="F6" s="360"/>
      <c r="G6" s="358"/>
      <c r="H6" s="357" t="s">
        <v>352</v>
      </c>
      <c r="I6" s="360"/>
      <c r="J6" s="358"/>
    </row>
    <row r="7" spans="1:10" ht="15.95" customHeight="1">
      <c r="B7" s="344" t="s">
        <v>365</v>
      </c>
      <c r="C7" s="345"/>
      <c r="D7" s="346"/>
      <c r="E7" s="344" t="s">
        <v>57</v>
      </c>
      <c r="F7" s="345"/>
      <c r="G7" s="346"/>
      <c r="H7" s="344" t="s">
        <v>275</v>
      </c>
      <c r="I7" s="345"/>
      <c r="J7" s="346"/>
    </row>
    <row r="8" spans="1:10" ht="15.95" customHeight="1">
      <c r="A8" s="75"/>
      <c r="B8" s="155"/>
      <c r="C8" s="156"/>
      <c r="D8" s="157" t="s">
        <v>74</v>
      </c>
      <c r="E8" s="155"/>
      <c r="F8" s="157"/>
      <c r="G8" s="157" t="s">
        <v>74</v>
      </c>
      <c r="H8" s="155"/>
      <c r="I8" s="157"/>
      <c r="J8" s="157" t="s">
        <v>74</v>
      </c>
    </row>
    <row r="9" spans="1:10" ht="15.95" customHeight="1">
      <c r="A9" s="42" t="s">
        <v>94</v>
      </c>
      <c r="B9" s="87" t="s">
        <v>95</v>
      </c>
      <c r="C9" s="87" t="s">
        <v>96</v>
      </c>
      <c r="D9" s="87" t="s">
        <v>97</v>
      </c>
      <c r="E9" s="87" t="s">
        <v>95</v>
      </c>
      <c r="F9" s="87" t="s">
        <v>96</v>
      </c>
      <c r="G9" s="87" t="s">
        <v>97</v>
      </c>
      <c r="H9" s="87" t="s">
        <v>95</v>
      </c>
      <c r="I9" s="87" t="s">
        <v>96</v>
      </c>
      <c r="J9" s="87" t="s">
        <v>97</v>
      </c>
    </row>
    <row r="10" spans="1:10" ht="5.0999999999999996" customHeight="1">
      <c r="A10" s="5"/>
    </row>
    <row r="11" spans="1:10" ht="14.1" customHeight="1">
      <c r="A11" s="330" t="s">
        <v>236</v>
      </c>
      <c r="B11" s="331">
        <v>0</v>
      </c>
      <c r="C11" s="337">
        <f>B11/'- 3 -'!$D11*100</f>
        <v>0</v>
      </c>
      <c r="D11" s="331">
        <f>B11/'- 7 -'!$E11</f>
        <v>0</v>
      </c>
      <c r="E11" s="331">
        <v>0</v>
      </c>
      <c r="F11" s="337">
        <f>E11/'- 3 -'!$D11*100</f>
        <v>0</v>
      </c>
      <c r="G11" s="331">
        <f>E11/'- 7 -'!$E11</f>
        <v>0</v>
      </c>
      <c r="H11" s="331">
        <v>205331</v>
      </c>
      <c r="I11" s="337">
        <f>H11/'- 3 -'!$D11*100</f>
        <v>1.3122783547856001</v>
      </c>
      <c r="J11" s="331">
        <f>H11/'- 7 -'!$E11</f>
        <v>136.75058275058274</v>
      </c>
    </row>
    <row r="12" spans="1:10" ht="14.1" customHeight="1">
      <c r="A12" s="26" t="s">
        <v>237</v>
      </c>
      <c r="B12" s="27">
        <v>0</v>
      </c>
      <c r="C12" s="79">
        <f>B12/'- 3 -'!$D12*100</f>
        <v>0</v>
      </c>
      <c r="D12" s="27">
        <f>B12/'- 7 -'!$E12</f>
        <v>0</v>
      </c>
      <c r="E12" s="27">
        <v>0</v>
      </c>
      <c r="F12" s="79">
        <f>E12/'- 3 -'!$D12*100</f>
        <v>0</v>
      </c>
      <c r="G12" s="27">
        <f>E12/'- 7 -'!$E12</f>
        <v>0</v>
      </c>
      <c r="H12" s="27">
        <v>231685</v>
      </c>
      <c r="I12" s="79">
        <f>H12/'- 3 -'!$D12*100</f>
        <v>0.78458369654144156</v>
      </c>
      <c r="J12" s="27">
        <f>H12/'- 7 -'!$E12</f>
        <v>101.31406331992302</v>
      </c>
    </row>
    <row r="13" spans="1:10" ht="14.1" customHeight="1">
      <c r="A13" s="330" t="s">
        <v>238</v>
      </c>
      <c r="B13" s="331">
        <v>0</v>
      </c>
      <c r="C13" s="337">
        <f>B13/'- 3 -'!$D13*100</f>
        <v>0</v>
      </c>
      <c r="D13" s="331">
        <f>B13/'- 7 -'!$E13</f>
        <v>0</v>
      </c>
      <c r="E13" s="331">
        <v>312132</v>
      </c>
      <c r="F13" s="337">
        <f>E13/'- 3 -'!$D13*100</f>
        <v>0.38806369813495017</v>
      </c>
      <c r="G13" s="331">
        <f>E13/'- 7 -'!$E13</f>
        <v>39.769637510352297</v>
      </c>
      <c r="H13" s="331">
        <v>938939</v>
      </c>
      <c r="I13" s="337">
        <f>H13/'- 3 -'!$D13*100</f>
        <v>1.1673527246906181</v>
      </c>
      <c r="J13" s="331">
        <f>H13/'- 7 -'!$E13</f>
        <v>119.6329234885647</v>
      </c>
    </row>
    <row r="14" spans="1:10" ht="14.1" customHeight="1">
      <c r="A14" s="26" t="s">
        <v>656</v>
      </c>
      <c r="B14" s="27">
        <v>154324</v>
      </c>
      <c r="C14" s="79">
        <f>B14/'- 3 -'!$D14*100</f>
        <v>0.2208907920298393</v>
      </c>
      <c r="D14" s="27">
        <f>B14/'- 7 -'!$E14</f>
        <v>30.295249312917157</v>
      </c>
      <c r="E14" s="27">
        <v>1026912</v>
      </c>
      <c r="F14" s="79">
        <f>E14/'- 3 -'!$D14*100</f>
        <v>1.469864732802068</v>
      </c>
      <c r="G14" s="27">
        <f>E14/'- 7 -'!$E14</f>
        <v>201.59246171967021</v>
      </c>
      <c r="H14" s="27">
        <v>714697</v>
      </c>
      <c r="I14" s="79">
        <f>H14/'- 3 -'!$D14*100</f>
        <v>1.0229775432943031</v>
      </c>
      <c r="J14" s="27">
        <f>H14/'- 7 -'!$E14</f>
        <v>140.30172752257559</v>
      </c>
    </row>
    <row r="15" spans="1:10" ht="14.1" customHeight="1">
      <c r="A15" s="330" t="s">
        <v>239</v>
      </c>
      <c r="B15" s="331">
        <v>0</v>
      </c>
      <c r="C15" s="337">
        <f>B15/'- 3 -'!$D15*100</f>
        <v>0</v>
      </c>
      <c r="D15" s="331">
        <f>B15/'- 7 -'!$E15</f>
        <v>0</v>
      </c>
      <c r="E15" s="331">
        <v>98035</v>
      </c>
      <c r="F15" s="337">
        <f>E15/'- 3 -'!$D15*100</f>
        <v>0.52717626303845067</v>
      </c>
      <c r="G15" s="331">
        <f>E15/'- 7 -'!$E15</f>
        <v>63.494170984455955</v>
      </c>
      <c r="H15" s="331">
        <v>196058</v>
      </c>
      <c r="I15" s="337">
        <f>H15/'- 3 -'!$D15*100</f>
        <v>1.054287996927552</v>
      </c>
      <c r="J15" s="331">
        <f>H15/'- 7 -'!$E15</f>
        <v>126.98056994818653</v>
      </c>
    </row>
    <row r="16" spans="1:10" ht="14.1" customHeight="1">
      <c r="A16" s="26" t="s">
        <v>240</v>
      </c>
      <c r="B16" s="27">
        <v>0</v>
      </c>
      <c r="C16" s="79">
        <f>B16/'- 3 -'!$D16*100</f>
        <v>0</v>
      </c>
      <c r="D16" s="27">
        <f>B16/'- 7 -'!$E16</f>
        <v>0</v>
      </c>
      <c r="E16" s="27">
        <v>0</v>
      </c>
      <c r="F16" s="79">
        <f>E16/'- 3 -'!$D16*100</f>
        <v>0</v>
      </c>
      <c r="G16" s="27">
        <f>E16/'- 7 -'!$E16</f>
        <v>0</v>
      </c>
      <c r="H16" s="27">
        <v>162840</v>
      </c>
      <c r="I16" s="79">
        <f>H16/'- 3 -'!$D16*100</f>
        <v>1.2744311958592724</v>
      </c>
      <c r="J16" s="27">
        <f>H16/'- 7 -'!$E16</f>
        <v>164.0705289672544</v>
      </c>
    </row>
    <row r="17" spans="1:10" ht="14.1" customHeight="1">
      <c r="A17" s="330" t="s">
        <v>241</v>
      </c>
      <c r="B17" s="331">
        <v>0</v>
      </c>
      <c r="C17" s="337">
        <f>B17/'- 3 -'!$D17*100</f>
        <v>0</v>
      </c>
      <c r="D17" s="331">
        <f>B17/'- 7 -'!$E17</f>
        <v>0</v>
      </c>
      <c r="E17" s="331">
        <v>104933</v>
      </c>
      <c r="F17" s="337">
        <f>E17/'- 3 -'!$D17*100</f>
        <v>0.65196035761920301</v>
      </c>
      <c r="G17" s="331">
        <f>E17/'- 7 -'!$E17</f>
        <v>80.999856643472299</v>
      </c>
      <c r="H17" s="331">
        <v>168081</v>
      </c>
      <c r="I17" s="337">
        <f>H17/'- 3 -'!$D17*100</f>
        <v>1.0443058796469487</v>
      </c>
      <c r="J17" s="331">
        <f>H17/'- 7 -'!$E17</f>
        <v>129.74504592922597</v>
      </c>
    </row>
    <row r="18" spans="1:10" ht="14.1" customHeight="1">
      <c r="A18" s="26" t="s">
        <v>242</v>
      </c>
      <c r="B18" s="27">
        <v>0</v>
      </c>
      <c r="C18" s="79">
        <f>B18/'- 3 -'!$D18*100</f>
        <v>0</v>
      </c>
      <c r="D18" s="27">
        <f>B18/'- 7 -'!$E18</f>
        <v>0</v>
      </c>
      <c r="E18" s="27">
        <v>2066892</v>
      </c>
      <c r="F18" s="79">
        <f>E18/'- 3 -'!$D18*100</f>
        <v>1.8347196576303466</v>
      </c>
      <c r="G18" s="27">
        <f>E18/'- 7 -'!$E18</f>
        <v>357.84141274238226</v>
      </c>
      <c r="H18" s="27">
        <v>1758178</v>
      </c>
      <c r="I18" s="79">
        <f>H18/'- 3 -'!$D18*100</f>
        <v>1.5606832568964453</v>
      </c>
      <c r="J18" s="27">
        <f>H18/'- 7 -'!$E18</f>
        <v>304.3936980609418</v>
      </c>
    </row>
    <row r="19" spans="1:10" ht="14.1" customHeight="1">
      <c r="A19" s="330" t="s">
        <v>243</v>
      </c>
      <c r="B19" s="331">
        <v>0</v>
      </c>
      <c r="C19" s="337">
        <f>B19/'- 3 -'!$D19*100</f>
        <v>0</v>
      </c>
      <c r="D19" s="331">
        <f>B19/'- 7 -'!$E19</f>
        <v>0</v>
      </c>
      <c r="E19" s="331">
        <v>173069</v>
      </c>
      <c r="F19" s="337">
        <f>E19/'- 3 -'!$D19*100</f>
        <v>0.44419829072885797</v>
      </c>
      <c r="G19" s="331">
        <f>E19/'- 7 -'!$E19</f>
        <v>41.312152388227148</v>
      </c>
      <c r="H19" s="331">
        <v>418027</v>
      </c>
      <c r="I19" s="337">
        <f>H19/'- 3 -'!$D19*100</f>
        <v>1.0729066376908187</v>
      </c>
      <c r="J19" s="331">
        <f>H19/'- 7 -'!$E19</f>
        <v>99.784450862912649</v>
      </c>
    </row>
    <row r="20" spans="1:10" ht="14.1" customHeight="1">
      <c r="A20" s="26" t="s">
        <v>244</v>
      </c>
      <c r="B20" s="27">
        <v>17964</v>
      </c>
      <c r="C20" s="79">
        <f>B20/'- 3 -'!$D20*100</f>
        <v>2.6548983317590751E-2</v>
      </c>
      <c r="D20" s="27">
        <f>B20/'- 7 -'!$E20</f>
        <v>2.4306880454637709</v>
      </c>
      <c r="E20" s="27">
        <v>418052</v>
      </c>
      <c r="F20" s="79">
        <f>E20/'- 3 -'!$D20*100</f>
        <v>0.61783876496801649</v>
      </c>
      <c r="G20" s="27">
        <f>E20/'- 7 -'!$E20</f>
        <v>56.566132196739055</v>
      </c>
      <c r="H20" s="27">
        <v>832209</v>
      </c>
      <c r="I20" s="79">
        <f>H20/'- 3 -'!$D20*100</f>
        <v>1.229921112099136</v>
      </c>
      <c r="J20" s="27">
        <f>H20/'- 7 -'!$E20</f>
        <v>112.60523645220215</v>
      </c>
    </row>
    <row r="21" spans="1:10" ht="14.1" customHeight="1">
      <c r="A21" s="330" t="s">
        <v>245</v>
      </c>
      <c r="B21" s="331">
        <v>0</v>
      </c>
      <c r="C21" s="337">
        <f>B21/'- 3 -'!$D21*100</f>
        <v>0</v>
      </c>
      <c r="D21" s="331">
        <f>B21/'- 7 -'!$E21</f>
        <v>0</v>
      </c>
      <c r="E21" s="331">
        <v>92701</v>
      </c>
      <c r="F21" s="337">
        <f>E21/'- 3 -'!$D21*100</f>
        <v>0.28382135894650079</v>
      </c>
      <c r="G21" s="331">
        <f>E21/'- 7 -'!$E21</f>
        <v>33.605582744245062</v>
      </c>
      <c r="H21" s="331">
        <v>518678</v>
      </c>
      <c r="I21" s="337">
        <f>H21/'- 3 -'!$D21*100</f>
        <v>1.5880291994223701</v>
      </c>
      <c r="J21" s="331">
        <f>H21/'- 7 -'!$E21</f>
        <v>188.0290012688055</v>
      </c>
    </row>
    <row r="22" spans="1:10" ht="14.1" customHeight="1">
      <c r="A22" s="26" t="s">
        <v>246</v>
      </c>
      <c r="B22" s="27">
        <v>21991</v>
      </c>
      <c r="C22" s="79">
        <f>B22/'- 3 -'!$D22*100</f>
        <v>0.11839261685745908</v>
      </c>
      <c r="D22" s="27">
        <f>B22/'- 7 -'!$E22</f>
        <v>13.783140081479161</v>
      </c>
      <c r="E22" s="27">
        <v>65389</v>
      </c>
      <c r="F22" s="79">
        <f>E22/'- 3 -'!$D22*100</f>
        <v>0.35203377853178081</v>
      </c>
      <c r="G22" s="27">
        <f>E22/'- 7 -'!$E22</f>
        <v>40.983390786587279</v>
      </c>
      <c r="H22" s="27">
        <v>180082</v>
      </c>
      <c r="I22" s="79">
        <f>H22/'- 3 -'!$D22*100</f>
        <v>0.96950476235391514</v>
      </c>
      <c r="J22" s="27">
        <f>H22/'- 7 -'!$E22</f>
        <v>112.86869319962395</v>
      </c>
    </row>
    <row r="23" spans="1:10" ht="14.1" customHeight="1">
      <c r="A23" s="330" t="s">
        <v>247</v>
      </c>
      <c r="B23" s="331">
        <v>0</v>
      </c>
      <c r="C23" s="337">
        <f>B23/'- 3 -'!$D23*100</f>
        <v>0</v>
      </c>
      <c r="D23" s="331">
        <f>B23/'- 7 -'!$E23</f>
        <v>0</v>
      </c>
      <c r="E23" s="331">
        <v>0</v>
      </c>
      <c r="F23" s="337">
        <f>E23/'- 3 -'!$D23*100</f>
        <v>0</v>
      </c>
      <c r="G23" s="331">
        <f>E23/'- 7 -'!$E23</f>
        <v>0</v>
      </c>
      <c r="H23" s="331">
        <v>187227</v>
      </c>
      <c r="I23" s="337">
        <f>H23/'- 3 -'!$D23*100</f>
        <v>1.1648430149330378</v>
      </c>
      <c r="J23" s="331">
        <f>H23/'- 7 -'!$E23</f>
        <v>157.93083087304936</v>
      </c>
    </row>
    <row r="24" spans="1:10" ht="14.1" customHeight="1">
      <c r="A24" s="26" t="s">
        <v>248</v>
      </c>
      <c r="B24" s="27">
        <v>0</v>
      </c>
      <c r="C24" s="79">
        <f>B24/'- 3 -'!$D24*100</f>
        <v>0</v>
      </c>
      <c r="D24" s="27">
        <f>B24/'- 7 -'!$E24</f>
        <v>0</v>
      </c>
      <c r="E24" s="27">
        <v>102655</v>
      </c>
      <c r="F24" s="79">
        <f>E24/'- 3 -'!$D24*100</f>
        <v>0.20101371379371555</v>
      </c>
      <c r="G24" s="27">
        <f>E24/'- 7 -'!$E24</f>
        <v>24.189975728727291</v>
      </c>
      <c r="H24" s="27">
        <v>695917</v>
      </c>
      <c r="I24" s="79">
        <f>H24/'- 3 -'!$D24*100</f>
        <v>1.3627086908789747</v>
      </c>
      <c r="J24" s="27">
        <f>H24/'- 7 -'!$E24</f>
        <v>163.98826495746636</v>
      </c>
    </row>
    <row r="25" spans="1:10" ht="14.1" customHeight="1">
      <c r="A25" s="330" t="s">
        <v>249</v>
      </c>
      <c r="B25" s="331">
        <v>63654</v>
      </c>
      <c r="C25" s="337">
        <f>B25/'- 3 -'!$D25*100</f>
        <v>4.249283671868144E-2</v>
      </c>
      <c r="D25" s="331">
        <f>B25/'- 7 -'!$E25</f>
        <v>4.6443111675349122</v>
      </c>
      <c r="E25" s="331">
        <v>1999797</v>
      </c>
      <c r="F25" s="337">
        <f>E25/'- 3 -'!$D25*100</f>
        <v>1.3349836206916923</v>
      </c>
      <c r="G25" s="331">
        <f>E25/'- 7 -'!$E25</f>
        <v>145.90881232762771</v>
      </c>
      <c r="H25" s="331">
        <v>3458291</v>
      </c>
      <c r="I25" s="337">
        <f>H25/'- 3 -'!$D25*100</f>
        <v>2.3086152447400878</v>
      </c>
      <c r="J25" s="331">
        <f>H25/'- 7 -'!$E25</f>
        <v>252.32317704913251</v>
      </c>
    </row>
    <row r="26" spans="1:10" ht="14.1" customHeight="1">
      <c r="A26" s="26" t="s">
        <v>250</v>
      </c>
      <c r="B26" s="27">
        <v>14194</v>
      </c>
      <c r="C26" s="79">
        <f>B26/'- 3 -'!$D26*100</f>
        <v>3.8076212890614157E-2</v>
      </c>
      <c r="D26" s="27">
        <f>B26/'- 7 -'!$E26</f>
        <v>4.5676588897827832</v>
      </c>
      <c r="E26" s="27">
        <v>200265</v>
      </c>
      <c r="F26" s="79">
        <f>E26/'- 3 -'!$D26*100</f>
        <v>0.53722226113420057</v>
      </c>
      <c r="G26" s="27">
        <f>E26/'- 7 -'!$E26</f>
        <v>64.445695897023327</v>
      </c>
      <c r="H26" s="27">
        <v>540194</v>
      </c>
      <c r="I26" s="79">
        <f>H26/'- 3 -'!$D26*100</f>
        <v>1.4491011516297325</v>
      </c>
      <c r="J26" s="27">
        <f>H26/'- 7 -'!$E26</f>
        <v>173.83555913113435</v>
      </c>
    </row>
    <row r="27" spans="1:10" ht="14.1" customHeight="1">
      <c r="A27" s="330" t="s">
        <v>251</v>
      </c>
      <c r="B27" s="331">
        <v>0</v>
      </c>
      <c r="C27" s="337">
        <f>B27/'- 3 -'!$D27*100</f>
        <v>0</v>
      </c>
      <c r="D27" s="331">
        <f>B27/'- 7 -'!$E27</f>
        <v>0</v>
      </c>
      <c r="E27" s="331">
        <v>778944</v>
      </c>
      <c r="F27" s="337">
        <f>E27/'- 3 -'!$D27*100</f>
        <v>2.1363435105559958</v>
      </c>
      <c r="G27" s="331">
        <f>E27/'- 7 -'!$E27</f>
        <v>284.38577019685732</v>
      </c>
      <c r="H27" s="331">
        <v>1065576</v>
      </c>
      <c r="I27" s="337">
        <f>H27/'- 3 -'!$D27*100</f>
        <v>2.9224647376502237</v>
      </c>
      <c r="J27" s="331">
        <f>H27/'- 7 -'!$E27</f>
        <v>389.03265377650564</v>
      </c>
    </row>
    <row r="28" spans="1:10" ht="14.1" customHeight="1">
      <c r="A28" s="26" t="s">
        <v>252</v>
      </c>
      <c r="B28" s="27">
        <v>0</v>
      </c>
      <c r="C28" s="79">
        <f>B28/'- 3 -'!$D28*100</f>
        <v>0</v>
      </c>
      <c r="D28" s="27">
        <f>B28/'- 7 -'!$E28</f>
        <v>0</v>
      </c>
      <c r="E28" s="27">
        <v>99311</v>
      </c>
      <c r="F28" s="79">
        <f>E28/'- 3 -'!$D28*100</f>
        <v>0.38994272795939733</v>
      </c>
      <c r="G28" s="27">
        <f>E28/'- 7 -'!$E28</f>
        <v>50.043335852859663</v>
      </c>
      <c r="H28" s="27">
        <v>254254</v>
      </c>
      <c r="I28" s="79">
        <f>H28/'- 3 -'!$D28*100</f>
        <v>0.99832343199231321</v>
      </c>
      <c r="J28" s="27">
        <f>H28/'- 7 -'!$E28</f>
        <v>128.11992945326278</v>
      </c>
    </row>
    <row r="29" spans="1:10" ht="14.1" customHeight="1">
      <c r="A29" s="330" t="s">
        <v>253</v>
      </c>
      <c r="B29" s="331">
        <v>341058</v>
      </c>
      <c r="C29" s="337">
        <f>B29/'- 3 -'!$D29*100</f>
        <v>0.2470079568083928</v>
      </c>
      <c r="D29" s="331">
        <f>B29/'- 7 -'!$E29</f>
        <v>28.018960928001047</v>
      </c>
      <c r="E29" s="331">
        <v>519796</v>
      </c>
      <c r="F29" s="337">
        <f>E29/'- 3 -'!$D29*100</f>
        <v>0.37645722404158632</v>
      </c>
      <c r="G29" s="331">
        <f>E29/'- 7 -'!$E29</f>
        <v>42.702835923893396</v>
      </c>
      <c r="H29" s="331">
        <v>3450791</v>
      </c>
      <c r="I29" s="337">
        <f>H29/'- 3 -'!$D29*100</f>
        <v>2.4992019957977547</v>
      </c>
      <c r="J29" s="331">
        <f>H29/'- 7 -'!$E29</f>
        <v>283.49306628109491</v>
      </c>
    </row>
    <row r="30" spans="1:10" ht="14.1" customHeight="1">
      <c r="A30" s="26" t="s">
        <v>254</v>
      </c>
      <c r="B30" s="27">
        <v>0</v>
      </c>
      <c r="C30" s="79">
        <f>B30/'- 3 -'!$D30*100</f>
        <v>0</v>
      </c>
      <c r="D30" s="27">
        <f>B30/'- 7 -'!$E30</f>
        <v>0</v>
      </c>
      <c r="E30" s="27">
        <v>0</v>
      </c>
      <c r="F30" s="79">
        <f>E30/'- 3 -'!$D30*100</f>
        <v>0</v>
      </c>
      <c r="G30" s="27">
        <f>E30/'- 7 -'!$E30</f>
        <v>0</v>
      </c>
      <c r="H30" s="27">
        <v>290646</v>
      </c>
      <c r="I30" s="79">
        <f>H30/'- 3 -'!$D30*100</f>
        <v>2.1829446176361968</v>
      </c>
      <c r="J30" s="27">
        <f>H30/'- 7 -'!$E30</f>
        <v>269.66598626832439</v>
      </c>
    </row>
    <row r="31" spans="1:10" ht="14.1" customHeight="1">
      <c r="A31" s="330" t="s">
        <v>255</v>
      </c>
      <c r="B31" s="331">
        <v>0</v>
      </c>
      <c r="C31" s="337">
        <f>B31/'- 3 -'!$D31*100</f>
        <v>0</v>
      </c>
      <c r="D31" s="331">
        <f>B31/'- 7 -'!$E31</f>
        <v>0</v>
      </c>
      <c r="E31" s="331">
        <v>96774</v>
      </c>
      <c r="F31" s="337">
        <f>E31/'- 3 -'!$D31*100</f>
        <v>0.29650147924439091</v>
      </c>
      <c r="G31" s="331">
        <f>E31/'- 7 -'!$E31</f>
        <v>30.422508645080164</v>
      </c>
      <c r="H31" s="331">
        <v>448222</v>
      </c>
      <c r="I31" s="337">
        <f>H31/'- 3 -'!$D31*100</f>
        <v>1.3732871022162914</v>
      </c>
      <c r="J31" s="331">
        <f>H31/'- 7 -'!$E31</f>
        <v>140.90600440113172</v>
      </c>
    </row>
    <row r="32" spans="1:10" ht="14.1" customHeight="1">
      <c r="A32" s="26" t="s">
        <v>256</v>
      </c>
      <c r="B32" s="27">
        <v>0</v>
      </c>
      <c r="C32" s="79">
        <f>B32/'- 3 -'!$D32*100</f>
        <v>0</v>
      </c>
      <c r="D32" s="27">
        <f>B32/'- 7 -'!$E32</f>
        <v>0</v>
      </c>
      <c r="E32" s="27">
        <v>39676</v>
      </c>
      <c r="F32" s="79">
        <f>E32/'- 3 -'!$D32*100</f>
        <v>0.16075124425619997</v>
      </c>
      <c r="G32" s="27">
        <f>E32/'- 7 -'!$E32</f>
        <v>19.236848484848483</v>
      </c>
      <c r="H32" s="27">
        <v>281427</v>
      </c>
      <c r="I32" s="79">
        <f>H32/'- 3 -'!$D32*100</f>
        <v>1.140229368315596</v>
      </c>
      <c r="J32" s="27">
        <f>H32/'- 7 -'!$E32</f>
        <v>136.44945454545456</v>
      </c>
    </row>
    <row r="33" spans="1:10" ht="14.1" customHeight="1">
      <c r="A33" s="330" t="s">
        <v>257</v>
      </c>
      <c r="B33" s="331">
        <v>0</v>
      </c>
      <c r="C33" s="337">
        <f>B33/'- 3 -'!$D33*100</f>
        <v>0</v>
      </c>
      <c r="D33" s="331">
        <f>B33/'- 7 -'!$E33</f>
        <v>0</v>
      </c>
      <c r="E33" s="331">
        <v>94493</v>
      </c>
      <c r="F33" s="337">
        <f>E33/'- 3 -'!$D33*100</f>
        <v>0.3742938739873462</v>
      </c>
      <c r="G33" s="331">
        <f>E33/'- 7 -'!$E33</f>
        <v>46.68626482213439</v>
      </c>
      <c r="H33" s="331">
        <v>351219</v>
      </c>
      <c r="I33" s="337">
        <f>H33/'- 3 -'!$D33*100</f>
        <v>1.3912048525071883</v>
      </c>
      <c r="J33" s="331">
        <f>H33/'- 7 -'!$E33</f>
        <v>173.52717391304347</v>
      </c>
    </row>
    <row r="34" spans="1:10" ht="14.1" customHeight="1">
      <c r="A34" s="26" t="s">
        <v>258</v>
      </c>
      <c r="B34" s="27">
        <v>6789</v>
      </c>
      <c r="C34" s="79">
        <f>B34/'- 3 -'!$D34*100</f>
        <v>2.8031222214964506E-2</v>
      </c>
      <c r="D34" s="27">
        <f>B34/'- 7 -'!$E34</f>
        <v>3.3297856165424968</v>
      </c>
      <c r="E34" s="27">
        <v>71510</v>
      </c>
      <c r="F34" s="79">
        <f>E34/'- 3 -'!$D34*100</f>
        <v>0.29525890419680534</v>
      </c>
      <c r="G34" s="27">
        <f>E34/'- 7 -'!$E34</f>
        <v>35.073349453373687</v>
      </c>
      <c r="H34" s="27">
        <v>203132</v>
      </c>
      <c r="I34" s="79">
        <f>H34/'- 3 -'!$D34*100</f>
        <v>0.83871530873032385</v>
      </c>
      <c r="J34" s="27">
        <f>H34/'- 7 -'!$E34</f>
        <v>99.629696841878101</v>
      </c>
    </row>
    <row r="35" spans="1:10" ht="14.1" customHeight="1">
      <c r="A35" s="330" t="s">
        <v>259</v>
      </c>
      <c r="B35" s="331">
        <v>362054</v>
      </c>
      <c r="C35" s="337">
        <f>B35/'- 3 -'!$D35*100</f>
        <v>0.21806206466253872</v>
      </c>
      <c r="D35" s="331">
        <f>B35/'- 7 -'!$E35</f>
        <v>22.938038520020275</v>
      </c>
      <c r="E35" s="331">
        <v>595165</v>
      </c>
      <c r="F35" s="337">
        <f>E35/'- 3 -'!$D35*100</f>
        <v>0.35846285005794681</v>
      </c>
      <c r="G35" s="331">
        <f>E35/'- 7 -'!$E35</f>
        <v>37.706855043081603</v>
      </c>
      <c r="H35" s="331">
        <v>3699095</v>
      </c>
      <c r="I35" s="337">
        <f>H35/'- 3 -'!$D35*100</f>
        <v>2.2279336592963306</v>
      </c>
      <c r="J35" s="331">
        <f>H35/'- 7 -'!$E35</f>
        <v>234.35726051697921</v>
      </c>
    </row>
    <row r="36" spans="1:10" ht="14.1" customHeight="1">
      <c r="A36" s="26" t="s">
        <v>260</v>
      </c>
      <c r="B36" s="27">
        <v>33282</v>
      </c>
      <c r="C36" s="79">
        <f>B36/'- 3 -'!$D36*100</f>
        <v>0.16195508527386332</v>
      </c>
      <c r="D36" s="27">
        <f>B36/'- 7 -'!$E36</f>
        <v>20.177023340406183</v>
      </c>
      <c r="E36" s="27">
        <v>192194</v>
      </c>
      <c r="F36" s="79">
        <f>E36/'- 3 -'!$D36*100</f>
        <v>0.93524414575821413</v>
      </c>
      <c r="G36" s="27">
        <f>E36/'- 7 -'!$E36</f>
        <v>116.51652015762352</v>
      </c>
      <c r="H36" s="27">
        <v>247793</v>
      </c>
      <c r="I36" s="79">
        <f>H36/'- 3 -'!$D36*100</f>
        <v>1.2057970207699782</v>
      </c>
      <c r="J36" s="27">
        <f>H36/'- 7 -'!$E36</f>
        <v>150.22309790845711</v>
      </c>
    </row>
    <row r="37" spans="1:10" ht="14.1" customHeight="1">
      <c r="A37" s="330" t="s">
        <v>261</v>
      </c>
      <c r="B37" s="331">
        <v>34322</v>
      </c>
      <c r="C37" s="337">
        <f>B37/'- 3 -'!$D37*100</f>
        <v>8.6675943718366663E-2</v>
      </c>
      <c r="D37" s="331">
        <f>B37/'- 7 -'!$E37</f>
        <v>9.2053104465602793</v>
      </c>
      <c r="E37" s="331">
        <v>288922</v>
      </c>
      <c r="F37" s="337">
        <f>E37/'- 3 -'!$D37*100</f>
        <v>0.72963658909731177</v>
      </c>
      <c r="G37" s="331">
        <f>E37/'- 7 -'!$E37</f>
        <v>77.490143489338877</v>
      </c>
      <c r="H37" s="331">
        <v>462792</v>
      </c>
      <c r="I37" s="337">
        <f>H37/'- 3 -'!$D37*100</f>
        <v>1.1687236567015427</v>
      </c>
      <c r="J37" s="331">
        <f>H37/'- 7 -'!$E37</f>
        <v>124.12283760225291</v>
      </c>
    </row>
    <row r="38" spans="1:10" ht="14.1" customHeight="1">
      <c r="A38" s="26" t="s">
        <v>262</v>
      </c>
      <c r="B38" s="27">
        <v>75220</v>
      </c>
      <c r="C38" s="79">
        <f>B38/'- 3 -'!$D38*100</f>
        <v>6.8362505152635242E-2</v>
      </c>
      <c r="D38" s="27">
        <f>B38/'- 7 -'!$E38</f>
        <v>7.2665095250975691</v>
      </c>
      <c r="E38" s="27">
        <v>256290</v>
      </c>
      <c r="F38" s="79">
        <f>E38/'- 3 -'!$D38*100</f>
        <v>0.23292510563106736</v>
      </c>
      <c r="G38" s="27">
        <f>E38/'- 7 -'!$E38</f>
        <v>24.758491440936666</v>
      </c>
      <c r="H38" s="27">
        <v>1357804</v>
      </c>
      <c r="I38" s="79">
        <f>H38/'- 3 -'!$D38*100</f>
        <v>1.234018651239946</v>
      </c>
      <c r="J38" s="27">
        <f>H38/'- 7 -'!$E38</f>
        <v>131.16851501217204</v>
      </c>
    </row>
    <row r="39" spans="1:10" ht="14.1" customHeight="1">
      <c r="A39" s="330" t="s">
        <v>263</v>
      </c>
      <c r="B39" s="331">
        <v>0</v>
      </c>
      <c r="C39" s="337">
        <f>B39/'- 3 -'!$D39*100</f>
        <v>0</v>
      </c>
      <c r="D39" s="331">
        <f>B39/'- 7 -'!$E39</f>
        <v>0</v>
      </c>
      <c r="E39" s="331">
        <v>81754</v>
      </c>
      <c r="F39" s="337">
        <f>E39/'- 3 -'!$D39*100</f>
        <v>0.41856237131756735</v>
      </c>
      <c r="G39" s="331">
        <f>E39/'- 7 -'!$E39</f>
        <v>51.547288776796975</v>
      </c>
      <c r="H39" s="331">
        <v>228017</v>
      </c>
      <c r="I39" s="337">
        <f>H39/'- 3 -'!$D39*100</f>
        <v>1.1673965337563637</v>
      </c>
      <c r="J39" s="331">
        <f>H39/'- 7 -'!$E39</f>
        <v>143.76860025220682</v>
      </c>
    </row>
    <row r="40" spans="1:10" ht="14.1" customHeight="1">
      <c r="A40" s="26" t="s">
        <v>264</v>
      </c>
      <c r="B40" s="27">
        <v>0</v>
      </c>
      <c r="C40" s="79">
        <f>B40/'- 3 -'!$D40*100</f>
        <v>0</v>
      </c>
      <c r="D40" s="27">
        <f>B40/'- 7 -'!$E40</f>
        <v>0</v>
      </c>
      <c r="E40" s="27">
        <v>1093587</v>
      </c>
      <c r="F40" s="79">
        <f>E40/'- 3 -'!$D40*100</f>
        <v>1.1786205096029398</v>
      </c>
      <c r="G40" s="27">
        <f>E40/'- 7 -'!$E40</f>
        <v>136.09106860634418</v>
      </c>
      <c r="H40" s="27">
        <v>1259247</v>
      </c>
      <c r="I40" s="79">
        <f>H40/'- 3 -'!$D40*100</f>
        <v>1.357161653216409</v>
      </c>
      <c r="J40" s="27">
        <f>H40/'- 7 -'!$E40</f>
        <v>156.70657192279452</v>
      </c>
    </row>
    <row r="41" spans="1:10" ht="14.1" customHeight="1">
      <c r="A41" s="330" t="s">
        <v>265</v>
      </c>
      <c r="B41" s="331">
        <v>39270</v>
      </c>
      <c r="C41" s="337">
        <f>B41/'- 3 -'!$D41*100</f>
        <v>6.7821347414152675E-2</v>
      </c>
      <c r="D41" s="331">
        <f>B41/'- 7 -'!$E41</f>
        <v>8.7773804202056329</v>
      </c>
      <c r="E41" s="331">
        <v>182864</v>
      </c>
      <c r="F41" s="337">
        <f>E41/'- 3 -'!$D41*100</f>
        <v>0.31581570851901231</v>
      </c>
      <c r="G41" s="331">
        <f>E41/'- 7 -'!$E41</f>
        <v>40.872597228430934</v>
      </c>
      <c r="H41" s="331">
        <v>585619</v>
      </c>
      <c r="I41" s="337">
        <f>H41/'- 3 -'!$D41*100</f>
        <v>1.0113946944570582</v>
      </c>
      <c r="J41" s="331">
        <f>H41/'- 7 -'!$E41</f>
        <v>130.89383102369246</v>
      </c>
    </row>
    <row r="42" spans="1:10" ht="14.1" customHeight="1">
      <c r="A42" s="26" t="s">
        <v>266</v>
      </c>
      <c r="B42" s="27">
        <v>0</v>
      </c>
      <c r="C42" s="79">
        <f>B42/'- 3 -'!$D42*100</f>
        <v>0</v>
      </c>
      <c r="D42" s="27">
        <f>B42/'- 7 -'!$E42</f>
        <v>0</v>
      </c>
      <c r="E42" s="27">
        <v>0</v>
      </c>
      <c r="F42" s="79">
        <f>E42/'- 3 -'!$D42*100</f>
        <v>0</v>
      </c>
      <c r="G42" s="27">
        <f>E42/'- 7 -'!$E42</f>
        <v>0</v>
      </c>
      <c r="H42" s="27">
        <v>250231</v>
      </c>
      <c r="I42" s="79">
        <f>H42/'- 3 -'!$D42*100</f>
        <v>1.2715765835099999</v>
      </c>
      <c r="J42" s="27">
        <f>H42/'- 7 -'!$E42</f>
        <v>175.14593686568207</v>
      </c>
    </row>
    <row r="43" spans="1:10" ht="14.1" customHeight="1">
      <c r="A43" s="330" t="s">
        <v>267</v>
      </c>
      <c r="B43" s="331">
        <v>18660</v>
      </c>
      <c r="C43" s="337">
        <f>B43/'- 3 -'!$D43*100</f>
        <v>0.16023474991958209</v>
      </c>
      <c r="D43" s="331">
        <f>B43/'- 7 -'!$E43</f>
        <v>19.128651973347001</v>
      </c>
      <c r="E43" s="331">
        <v>0</v>
      </c>
      <c r="F43" s="337">
        <f>E43/'- 3 -'!$D43*100</f>
        <v>0</v>
      </c>
      <c r="G43" s="331">
        <f>E43/'- 7 -'!$E43</f>
        <v>0</v>
      </c>
      <c r="H43" s="331">
        <v>168454</v>
      </c>
      <c r="I43" s="337">
        <f>H43/'- 3 -'!$D43*100</f>
        <v>1.4465265039096076</v>
      </c>
      <c r="J43" s="331">
        <f>H43/'- 7 -'!$E43</f>
        <v>172.68477703741672</v>
      </c>
    </row>
    <row r="44" spans="1:10" ht="14.1" customHeight="1">
      <c r="A44" s="26" t="s">
        <v>268</v>
      </c>
      <c r="B44" s="27">
        <v>0</v>
      </c>
      <c r="C44" s="79">
        <f>B44/'- 3 -'!$D44*100</f>
        <v>0</v>
      </c>
      <c r="D44" s="27">
        <f>B44/'- 7 -'!$E44</f>
        <v>0</v>
      </c>
      <c r="E44" s="27">
        <v>0</v>
      </c>
      <c r="F44" s="79">
        <f>E44/'- 3 -'!$D44*100</f>
        <v>0</v>
      </c>
      <c r="G44" s="27">
        <f>E44/'- 7 -'!$E44</f>
        <v>0</v>
      </c>
      <c r="H44" s="27">
        <v>108888</v>
      </c>
      <c r="I44" s="79">
        <f>H44/'- 3 -'!$D44*100</f>
        <v>1.1163414412848875</v>
      </c>
      <c r="J44" s="27">
        <f>H44/'- 7 -'!$E44</f>
        <v>152.18448637316561</v>
      </c>
    </row>
    <row r="45" spans="1:10" ht="14.1" customHeight="1">
      <c r="A45" s="330" t="s">
        <v>269</v>
      </c>
      <c r="B45" s="331">
        <v>4829</v>
      </c>
      <c r="C45" s="337">
        <f>B45/'- 3 -'!$D45*100</f>
        <v>2.9635388372715853E-2</v>
      </c>
      <c r="D45" s="331">
        <f>B45/'- 7 -'!$E45</f>
        <v>2.9993788819875777</v>
      </c>
      <c r="E45" s="331">
        <v>0</v>
      </c>
      <c r="F45" s="337">
        <f>E45/'- 3 -'!$D45*100</f>
        <v>0</v>
      </c>
      <c r="G45" s="331">
        <f>E45/'- 7 -'!$E45</f>
        <v>0</v>
      </c>
      <c r="H45" s="331">
        <v>213529</v>
      </c>
      <c r="I45" s="337">
        <f>H45/'- 3 -'!$D45*100</f>
        <v>1.3104193091401208</v>
      </c>
      <c r="J45" s="331">
        <f>H45/'- 7 -'!$E45</f>
        <v>132.62670807453415</v>
      </c>
    </row>
    <row r="46" spans="1:10" ht="14.1" customHeight="1">
      <c r="A46" s="26" t="s">
        <v>270</v>
      </c>
      <c r="B46" s="27">
        <v>218122</v>
      </c>
      <c r="C46" s="79">
        <f>B46/'- 3 -'!$D46*100</f>
        <v>6.2798100927064157E-2</v>
      </c>
      <c r="D46" s="27">
        <f>B46/'- 7 -'!$E46</f>
        <v>7.2400836458990279</v>
      </c>
      <c r="E46" s="27">
        <v>745587</v>
      </c>
      <c r="F46" s="79">
        <f>E46/'- 3 -'!$D46*100</f>
        <v>0.21465715368420876</v>
      </c>
      <c r="G46" s="27">
        <f>E46/'- 7 -'!$E46</f>
        <v>24.748132904039565</v>
      </c>
      <c r="H46" s="27">
        <v>3522120</v>
      </c>
      <c r="I46" s="79">
        <f>H46/'- 3 -'!$D46*100</f>
        <v>1.0140308966414722</v>
      </c>
      <c r="J46" s="27">
        <f>H46/'- 7 -'!$E46</f>
        <v>116.90908487403325</v>
      </c>
    </row>
    <row r="47" spans="1:10" ht="5.0999999999999996" customHeight="1">
      <c r="A47" s="28"/>
      <c r="B47" s="29"/>
      <c r="C47"/>
      <c r="D47" s="29"/>
      <c r="E47" s="29"/>
      <c r="F47"/>
      <c r="G47" s="29"/>
      <c r="H47"/>
      <c r="I47"/>
      <c r="J47"/>
    </row>
    <row r="48" spans="1:10" ht="14.1" customHeight="1">
      <c r="A48" s="332" t="s">
        <v>271</v>
      </c>
      <c r="B48" s="333">
        <f>SUM(B11:B46)</f>
        <v>1405733</v>
      </c>
      <c r="C48" s="340">
        <f>B48/'- 3 -'!$D48*100</f>
        <v>7.0324403163567542E-2</v>
      </c>
      <c r="D48" s="333">
        <f>B48/'- 7 -'!$E48</f>
        <v>8.1604746254622142</v>
      </c>
      <c r="E48" s="333">
        <f>SUM(E11:E46)</f>
        <v>11797699</v>
      </c>
      <c r="F48" s="340">
        <f>E48/'- 3 -'!$D48*100</f>
        <v>0.59020179570261044</v>
      </c>
      <c r="G48" s="333">
        <f>E48/'- 7 -'!$E48</f>
        <v>68.487275555415536</v>
      </c>
      <c r="H48" s="333">
        <f>SUM(H11:H46)</f>
        <v>29655290</v>
      </c>
      <c r="I48" s="340">
        <f>H48/'- 3 -'!$D48*100</f>
        <v>1.4835609393053395</v>
      </c>
      <c r="J48" s="333">
        <f>H48/'- 7 -'!$E48</f>
        <v>172.15306289012446</v>
      </c>
    </row>
    <row r="49" spans="1:10" ht="5.0999999999999996" customHeight="1">
      <c r="A49" s="28" t="s">
        <v>17</v>
      </c>
      <c r="B49" s="29"/>
      <c r="C49"/>
      <c r="D49" s="29"/>
      <c r="E49" s="29"/>
      <c r="F49"/>
      <c r="H49"/>
      <c r="I49"/>
      <c r="J49"/>
    </row>
    <row r="50" spans="1:10" ht="14.1" customHeight="1">
      <c r="A50" s="26" t="s">
        <v>272</v>
      </c>
      <c r="B50" s="27">
        <v>0</v>
      </c>
      <c r="C50" s="79">
        <f>B50/'- 3 -'!$D50*100</f>
        <v>0</v>
      </c>
      <c r="D50" s="27">
        <f>B50/'- 7 -'!$E50</f>
        <v>0</v>
      </c>
      <c r="E50" s="27">
        <v>0</v>
      </c>
      <c r="F50" s="79">
        <f>E50/'- 3 -'!$D50*100</f>
        <v>0</v>
      </c>
      <c r="G50" s="27">
        <f>E50/'- 7 -'!$E50</f>
        <v>0</v>
      </c>
      <c r="H50" s="27">
        <v>24085</v>
      </c>
      <c r="I50" s="79">
        <f>H50/'- 3 -'!$D50*100</f>
        <v>0.7594119310756029</v>
      </c>
      <c r="J50" s="27">
        <f>H50/'- 7 -'!$E50</f>
        <v>144.22155688622755</v>
      </c>
    </row>
    <row r="51" spans="1:10" ht="14.1" customHeight="1">
      <c r="A51" s="330" t="s">
        <v>273</v>
      </c>
      <c r="B51" s="331">
        <v>0</v>
      </c>
      <c r="C51" s="337">
        <f>B51/'- 3 -'!$D51*100</f>
        <v>0</v>
      </c>
      <c r="D51" s="331">
        <f>B51/'- 7 -'!$E51</f>
        <v>0</v>
      </c>
      <c r="E51" s="331">
        <v>162566</v>
      </c>
      <c r="F51" s="337">
        <f>E51/'- 3 -'!$D51*100</f>
        <v>0.89886917297190871</v>
      </c>
      <c r="G51" s="331">
        <f>E51/'- 7 -'!$E51</f>
        <v>224.88656485170429</v>
      </c>
      <c r="H51" s="331">
        <v>7918</v>
      </c>
      <c r="I51" s="337">
        <f>H51/'- 3 -'!$D51*100</f>
        <v>4.3780655928001996E-2</v>
      </c>
      <c r="J51" s="331">
        <f>H51/'- 7 -'!$E51</f>
        <v>10.95340858787074</v>
      </c>
    </row>
    <row r="52" spans="1:10" ht="50.1" customHeight="1">
      <c r="A52" s="206"/>
      <c r="B52" s="206"/>
      <c r="C52" s="206"/>
      <c r="D52" s="206"/>
      <c r="E52" s="206"/>
      <c r="F52" s="206"/>
      <c r="G52" s="206"/>
      <c r="H52" s="206"/>
      <c r="I52" s="206"/>
      <c r="J52" s="206"/>
    </row>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26.xml><?xml version="1.0" encoding="utf-8"?>
<worksheet xmlns="http://schemas.openxmlformats.org/spreadsheetml/2006/main" xmlns:r="http://schemas.openxmlformats.org/officeDocument/2006/relationships">
  <sheetPr codeName="Sheet25">
    <pageSetUpPr fitToPage="1"/>
  </sheetPr>
  <dimension ref="A1:J53"/>
  <sheetViews>
    <sheetView showGridLines="0" showZeros="0" workbookViewId="0"/>
  </sheetViews>
  <sheetFormatPr defaultColWidth="15.83203125" defaultRowHeight="12"/>
  <cols>
    <col min="1" max="1" width="32.83203125" style="1" customWidth="1"/>
    <col min="2" max="2" width="15.83203125" style="1" customWidth="1"/>
    <col min="3" max="3" width="7.83203125" style="1" customWidth="1"/>
    <col min="4" max="4" width="9.83203125" style="1" customWidth="1"/>
    <col min="5" max="5" width="15.83203125" style="1" customWidth="1"/>
    <col min="6" max="6" width="7.83203125" style="1" customWidth="1"/>
    <col min="7" max="7" width="9.83203125" style="1" customWidth="1"/>
    <col min="8" max="8" width="14.83203125" style="1" customWidth="1"/>
    <col min="9" max="9" width="7.83203125" style="1" customWidth="1"/>
    <col min="10" max="10" width="9.83203125" style="1" customWidth="1"/>
    <col min="11" max="16384" width="15.83203125" style="1"/>
  </cols>
  <sheetData>
    <row r="1" spans="1:10" ht="6.95" customHeight="1">
      <c r="A1" s="6"/>
      <c r="B1" s="7"/>
      <c r="C1" s="7"/>
      <c r="D1" s="7"/>
      <c r="E1" s="7"/>
      <c r="F1" s="7"/>
      <c r="G1" s="7"/>
      <c r="H1" s="7"/>
      <c r="I1" s="7"/>
      <c r="J1" s="7"/>
    </row>
    <row r="2" spans="1:10" ht="15.95" customHeight="1">
      <c r="A2" s="152"/>
      <c r="B2" s="8" t="s">
        <v>492</v>
      </c>
      <c r="C2" s="9"/>
      <c r="D2" s="9"/>
      <c r="E2" s="9"/>
      <c r="F2" s="9"/>
      <c r="G2" s="9"/>
      <c r="H2" s="82"/>
      <c r="I2" s="173"/>
      <c r="J2" s="523" t="s">
        <v>456</v>
      </c>
    </row>
    <row r="3" spans="1:10" ht="15.95" customHeight="1">
      <c r="A3" s="154"/>
      <c r="B3" s="10" t="str">
        <f>OPYEAR</f>
        <v>OPERATING FUND 2012/2013 ACTUAL</v>
      </c>
      <c r="C3" s="11"/>
      <c r="D3" s="11"/>
      <c r="E3" s="11"/>
      <c r="F3" s="11"/>
      <c r="G3" s="11"/>
      <c r="H3" s="84"/>
      <c r="I3" s="84"/>
      <c r="J3" s="74"/>
    </row>
    <row r="4" spans="1:10" ht="15.95" customHeight="1">
      <c r="B4" s="7"/>
      <c r="C4" s="7"/>
      <c r="D4" s="7"/>
      <c r="E4" s="7"/>
      <c r="F4" s="7"/>
      <c r="G4" s="7"/>
      <c r="H4" s="7"/>
      <c r="I4" s="7"/>
      <c r="J4" s="7"/>
    </row>
    <row r="5" spans="1:10" ht="15.95" customHeight="1">
      <c r="B5" s="513" t="s">
        <v>444</v>
      </c>
      <c r="C5" s="193"/>
      <c r="D5" s="194"/>
      <c r="E5" s="203"/>
      <c r="F5" s="203"/>
      <c r="G5" s="204"/>
    </row>
    <row r="6" spans="1:10" ht="15.95" customHeight="1">
      <c r="B6" s="357" t="s">
        <v>30</v>
      </c>
      <c r="C6" s="360"/>
      <c r="D6" s="358"/>
      <c r="E6" s="473"/>
      <c r="F6" s="474"/>
      <c r="G6" s="475"/>
    </row>
    <row r="7" spans="1:10" ht="15.95" customHeight="1">
      <c r="B7" s="344" t="s">
        <v>56</v>
      </c>
      <c r="C7" s="345"/>
      <c r="D7" s="346"/>
      <c r="E7" s="344" t="s">
        <v>540</v>
      </c>
      <c r="F7" s="345"/>
      <c r="G7" s="346"/>
    </row>
    <row r="8" spans="1:10" ht="15.95" customHeight="1">
      <c r="A8" s="75"/>
      <c r="B8" s="155"/>
      <c r="C8" s="156"/>
      <c r="D8" s="157" t="s">
        <v>74</v>
      </c>
      <c r="E8" s="155"/>
      <c r="F8" s="157"/>
      <c r="G8" s="157" t="s">
        <v>74</v>
      </c>
    </row>
    <row r="9" spans="1:10" ht="15.95" customHeight="1">
      <c r="A9" s="42" t="s">
        <v>94</v>
      </c>
      <c r="B9" s="87" t="s">
        <v>95</v>
      </c>
      <c r="C9" s="87" t="s">
        <v>96</v>
      </c>
      <c r="D9" s="87" t="s">
        <v>97</v>
      </c>
      <c r="E9" s="87" t="s">
        <v>95</v>
      </c>
      <c r="F9" s="87" t="s">
        <v>96</v>
      </c>
      <c r="G9" s="87" t="s">
        <v>97</v>
      </c>
    </row>
    <row r="10" spans="1:10" ht="5.0999999999999996" customHeight="1">
      <c r="A10" s="5"/>
    </row>
    <row r="11" spans="1:10" ht="14.1" customHeight="1">
      <c r="A11" s="330" t="s">
        <v>236</v>
      </c>
      <c r="B11" s="331">
        <v>108218</v>
      </c>
      <c r="C11" s="337">
        <f>B11/'- 3 -'!$D11*100</f>
        <v>0.69162541943587708</v>
      </c>
      <c r="D11" s="331">
        <f>B11/'- 7 -'!$E11</f>
        <v>72.073260073260073</v>
      </c>
      <c r="E11" s="331">
        <v>9373</v>
      </c>
      <c r="F11" s="337">
        <f>E11/'- 3 -'!$D11*100</f>
        <v>5.9903205163396804E-2</v>
      </c>
      <c r="G11" s="331">
        <f>E11/'- 7 -'!$E11</f>
        <v>6.2424242424242422</v>
      </c>
    </row>
    <row r="12" spans="1:10" ht="14.1" customHeight="1">
      <c r="A12" s="26" t="s">
        <v>237</v>
      </c>
      <c r="B12" s="27">
        <v>337387</v>
      </c>
      <c r="C12" s="79">
        <f>B12/'- 3 -'!$D12*100</f>
        <v>1.1425355099597614</v>
      </c>
      <c r="D12" s="27">
        <f>B12/'- 7 -'!$E12</f>
        <v>147.53673255203776</v>
      </c>
      <c r="E12" s="27">
        <v>120997</v>
      </c>
      <c r="F12" s="79">
        <f>E12/'- 3 -'!$D12*100</f>
        <v>0.40974717193786742</v>
      </c>
      <c r="G12" s="27">
        <f>E12/'- 7 -'!$E12</f>
        <v>52.911054748994225</v>
      </c>
    </row>
    <row r="13" spans="1:10" ht="14.1" customHeight="1">
      <c r="A13" s="330" t="s">
        <v>238</v>
      </c>
      <c r="B13" s="331">
        <v>1064425</v>
      </c>
      <c r="C13" s="337">
        <f>B13/'- 3 -'!$D13*100</f>
        <v>1.3233654411828788</v>
      </c>
      <c r="D13" s="331">
        <f>B13/'- 7 -'!$E13</f>
        <v>135.62145632923489</v>
      </c>
      <c r="E13" s="331">
        <v>88979</v>
      </c>
      <c r="F13" s="337">
        <f>E13/'- 3 -'!$D13*100</f>
        <v>0.1106247350362979</v>
      </c>
      <c r="G13" s="331">
        <f>E13/'- 7 -'!$E13</f>
        <v>11.337070777855642</v>
      </c>
    </row>
    <row r="14" spans="1:10" ht="14.1" customHeight="1">
      <c r="A14" s="26" t="s">
        <v>656</v>
      </c>
      <c r="B14" s="27">
        <v>541774</v>
      </c>
      <c r="C14" s="79">
        <f>B14/'- 3 -'!$D14*100</f>
        <v>0.7754651769081552</v>
      </c>
      <c r="D14" s="27">
        <f>B14/'- 7 -'!$E14</f>
        <v>106.35531998429525</v>
      </c>
      <c r="E14" s="27">
        <v>5832</v>
      </c>
      <c r="F14" s="79">
        <f>E14/'- 3 -'!$D14*100</f>
        <v>8.3476004971230842E-3</v>
      </c>
      <c r="G14" s="27">
        <f>E14/'- 7 -'!$E14</f>
        <v>1.1448763250883391</v>
      </c>
    </row>
    <row r="15" spans="1:10" ht="14.1" customHeight="1">
      <c r="A15" s="330" t="s">
        <v>239</v>
      </c>
      <c r="B15" s="331">
        <v>262914</v>
      </c>
      <c r="C15" s="337">
        <f>B15/'- 3 -'!$D15*100</f>
        <v>1.4138013976691102</v>
      </c>
      <c r="D15" s="331">
        <f>B15/'- 7 -'!$E15</f>
        <v>170.28108808290156</v>
      </c>
      <c r="E15" s="331">
        <v>22870</v>
      </c>
      <c r="F15" s="337">
        <f>E15/'- 3 -'!$D15*100</f>
        <v>0.12298180380159501</v>
      </c>
      <c r="G15" s="331">
        <f>E15/'- 7 -'!$E15</f>
        <v>14.812176165803109</v>
      </c>
    </row>
    <row r="16" spans="1:10" ht="14.1" customHeight="1">
      <c r="A16" s="26" t="s">
        <v>240</v>
      </c>
      <c r="B16" s="27">
        <v>126674</v>
      </c>
      <c r="C16" s="79">
        <f>B16/'- 3 -'!$D16*100</f>
        <v>0.99138600653572528</v>
      </c>
      <c r="D16" s="27">
        <f>B16/'- 7 -'!$E16</f>
        <v>127.63123425692696</v>
      </c>
      <c r="E16" s="27">
        <v>71166</v>
      </c>
      <c r="F16" s="79">
        <f>E16/'- 3 -'!$D16*100</f>
        <v>0.55696493788087076</v>
      </c>
      <c r="G16" s="27">
        <f>E16/'- 7 -'!$E16</f>
        <v>71.703778337531489</v>
      </c>
    </row>
    <row r="17" spans="1:7" ht="14.1" customHeight="1">
      <c r="A17" s="330" t="s">
        <v>241</v>
      </c>
      <c r="B17" s="331">
        <v>116385</v>
      </c>
      <c r="C17" s="337">
        <f>B17/'- 3 -'!$D17*100</f>
        <v>0.72311290272374706</v>
      </c>
      <c r="D17" s="331">
        <f>B17/'- 7 -'!$E17</f>
        <v>89.839881786001769</v>
      </c>
      <c r="E17" s="331">
        <v>1500</v>
      </c>
      <c r="F17" s="337">
        <f>E17/'- 3 -'!$D17*100</f>
        <v>9.3196662292015352E-3</v>
      </c>
      <c r="G17" s="331">
        <f>E17/'- 7 -'!$E17</f>
        <v>1.1578796466812962</v>
      </c>
    </row>
    <row r="18" spans="1:7" ht="14.1" customHeight="1">
      <c r="A18" s="26" t="s">
        <v>242</v>
      </c>
      <c r="B18" s="27">
        <v>849177</v>
      </c>
      <c r="C18" s="79">
        <f>B18/'- 3 -'!$D18*100</f>
        <v>0.7537896197322187</v>
      </c>
      <c r="D18" s="27">
        <f>B18/'- 7 -'!$E18</f>
        <v>147.0181786703601</v>
      </c>
      <c r="E18" s="27">
        <v>1550294</v>
      </c>
      <c r="F18" s="79">
        <f>E18/'- 3 -'!$D18*100</f>
        <v>1.3761507020717001</v>
      </c>
      <c r="G18" s="27">
        <f>E18/'- 7 -'!$E18</f>
        <v>268.40270083102496</v>
      </c>
    </row>
    <row r="19" spans="1:7" ht="14.1" customHeight="1">
      <c r="A19" s="330" t="s">
        <v>243</v>
      </c>
      <c r="B19" s="331">
        <v>242777</v>
      </c>
      <c r="C19" s="337">
        <f>B19/'- 3 -'!$D19*100</f>
        <v>0.62311059998197227</v>
      </c>
      <c r="D19" s="331">
        <f>B19/'- 7 -'!$E19</f>
        <v>57.951686439261927</v>
      </c>
      <c r="E19" s="331">
        <v>191858</v>
      </c>
      <c r="F19" s="337">
        <f>E19/'- 3 -'!$D19*100</f>
        <v>0.49242207248355996</v>
      </c>
      <c r="G19" s="331">
        <f>E19/'- 7 -'!$E19</f>
        <v>45.797149881841833</v>
      </c>
    </row>
    <row r="20" spans="1:7" ht="14.1" customHeight="1">
      <c r="A20" s="26" t="s">
        <v>244</v>
      </c>
      <c r="B20" s="27">
        <v>702870</v>
      </c>
      <c r="C20" s="79">
        <f>B20/'- 3 -'!$D20*100</f>
        <v>1.0387710924312521</v>
      </c>
      <c r="D20" s="27">
        <f>B20/'- 7 -'!$E20</f>
        <v>95.10452608077938</v>
      </c>
      <c r="E20" s="27">
        <v>268723</v>
      </c>
      <c r="F20" s="79">
        <f>E20/'- 3 -'!$D20*100</f>
        <v>0.39714553796776542</v>
      </c>
      <c r="G20" s="27">
        <f>E20/'- 7 -'!$E20</f>
        <v>36.360598065083551</v>
      </c>
    </row>
    <row r="21" spans="1:7" ht="14.1" customHeight="1">
      <c r="A21" s="330" t="s">
        <v>245</v>
      </c>
      <c r="B21" s="331">
        <v>815442</v>
      </c>
      <c r="C21" s="337">
        <f>B21/'- 3 -'!$D21*100</f>
        <v>2.4966273997265671</v>
      </c>
      <c r="D21" s="331">
        <f>B21/'- 7 -'!$E21</f>
        <v>295.610657966286</v>
      </c>
      <c r="E21" s="331">
        <v>100502</v>
      </c>
      <c r="F21" s="337">
        <f>E21/'- 3 -'!$D21*100</f>
        <v>0.3077055718583534</v>
      </c>
      <c r="G21" s="331">
        <f>E21/'- 7 -'!$E21</f>
        <v>36.433568968642376</v>
      </c>
    </row>
    <row r="22" spans="1:7" ht="14.1" customHeight="1">
      <c r="A22" s="26" t="s">
        <v>246</v>
      </c>
      <c r="B22" s="27">
        <v>144117</v>
      </c>
      <c r="C22" s="79">
        <f>B22/'- 3 -'!$D22*100</f>
        <v>0.77588053129218448</v>
      </c>
      <c r="D22" s="27">
        <f>B22/'- 7 -'!$E22</f>
        <v>90.327170166092131</v>
      </c>
      <c r="E22" s="27">
        <v>92517</v>
      </c>
      <c r="F22" s="79">
        <f>E22/'- 3 -'!$D22*100</f>
        <v>0.49808238523948628</v>
      </c>
      <c r="G22" s="27">
        <f>E22/'- 7 -'!$E22</f>
        <v>57.986211219053587</v>
      </c>
    </row>
    <row r="23" spans="1:7" ht="14.1" customHeight="1">
      <c r="A23" s="330" t="s">
        <v>247</v>
      </c>
      <c r="B23" s="331">
        <v>285642</v>
      </c>
      <c r="C23" s="337">
        <f>B23/'- 3 -'!$D23*100</f>
        <v>1.7771373171150677</v>
      </c>
      <c r="D23" s="331">
        <f>B23/'- 7 -'!$E23</f>
        <v>240.94643610291016</v>
      </c>
      <c r="E23" s="331">
        <v>1279</v>
      </c>
      <c r="F23" s="337">
        <f>E23/'- 3 -'!$D23*100</f>
        <v>7.957368414274411E-3</v>
      </c>
      <c r="G23" s="331">
        <f>E23/'- 7 -'!$E23</f>
        <v>1.0788696752425138</v>
      </c>
    </row>
    <row r="24" spans="1:7" ht="14.1" customHeight="1">
      <c r="A24" s="26" t="s">
        <v>248</v>
      </c>
      <c r="B24" s="27">
        <v>559894</v>
      </c>
      <c r="C24" s="79">
        <f>B24/'- 3 -'!$D24*100</f>
        <v>1.0963554845922612</v>
      </c>
      <c r="D24" s="27">
        <f>B24/'- 7 -'!$E24</f>
        <v>131.93533944435282</v>
      </c>
      <c r="E24" s="27">
        <v>66311</v>
      </c>
      <c r="F24" s="79">
        <f>E24/'- 3 -'!$D24*100</f>
        <v>0.12984677195825894</v>
      </c>
      <c r="G24" s="27">
        <f>E24/'- 7 -'!$E24</f>
        <v>15.625751113415181</v>
      </c>
    </row>
    <row r="25" spans="1:7" ht="14.1" customHeight="1">
      <c r="A25" s="330" t="s">
        <v>249</v>
      </c>
      <c r="B25" s="331">
        <v>1836042</v>
      </c>
      <c r="C25" s="337">
        <f>B25/'- 3 -'!$D25*100</f>
        <v>1.2256674036924831</v>
      </c>
      <c r="D25" s="331">
        <f>B25/'- 7 -'!$E25</f>
        <v>133.96095083833123</v>
      </c>
      <c r="E25" s="331">
        <v>184591</v>
      </c>
      <c r="F25" s="337">
        <f>E25/'- 3 -'!$D25*100</f>
        <v>0.12322548815059738</v>
      </c>
      <c r="G25" s="331">
        <f>E25/'- 7 -'!$E25</f>
        <v>13.468093799705235</v>
      </c>
    </row>
    <row r="26" spans="1:7" ht="14.1" customHeight="1">
      <c r="A26" s="26" t="s">
        <v>250</v>
      </c>
      <c r="B26" s="27">
        <v>346013</v>
      </c>
      <c r="C26" s="79">
        <f>B26/'- 3 -'!$D26*100</f>
        <v>0.92819956678315307</v>
      </c>
      <c r="D26" s="27">
        <f>B26/'- 7 -'!$E26</f>
        <v>111.34770716009655</v>
      </c>
      <c r="E26" s="27">
        <v>252951</v>
      </c>
      <c r="F26" s="79">
        <f>E26/'- 3 -'!$D26*100</f>
        <v>0.67855545490303937</v>
      </c>
      <c r="G26" s="27">
        <f>E26/'- 7 -'!$E26</f>
        <v>81.400160901045851</v>
      </c>
    </row>
    <row r="27" spans="1:7" ht="14.1" customHeight="1">
      <c r="A27" s="330" t="s">
        <v>251</v>
      </c>
      <c r="B27" s="331">
        <v>234529</v>
      </c>
      <c r="C27" s="337">
        <f>B27/'- 3 -'!$D27*100</f>
        <v>0.6432227569468244</v>
      </c>
      <c r="D27" s="331">
        <f>B27/'- 7 -'!$E27</f>
        <v>85.624525381155436</v>
      </c>
      <c r="E27" s="331">
        <v>2893</v>
      </c>
      <c r="F27" s="337">
        <f>E27/'- 3 -'!$D27*100</f>
        <v>7.9343852395531607E-3</v>
      </c>
      <c r="G27" s="331">
        <f>E27/'- 7 -'!$E27</f>
        <v>1.056209474852503</v>
      </c>
    </row>
    <row r="28" spans="1:7" ht="14.1" customHeight="1">
      <c r="A28" s="26" t="s">
        <v>252</v>
      </c>
      <c r="B28" s="27">
        <v>299416</v>
      </c>
      <c r="C28" s="79">
        <f>B28/'- 3 -'!$D28*100</f>
        <v>1.1756511548035053</v>
      </c>
      <c r="D28" s="27">
        <f>B28/'- 7 -'!$E28</f>
        <v>150.87729906777525</v>
      </c>
      <c r="E28" s="27">
        <v>0</v>
      </c>
      <c r="F28" s="79">
        <f>E28/'- 3 -'!$D28*100</f>
        <v>0</v>
      </c>
      <c r="G28" s="27">
        <f>E28/'- 7 -'!$E28</f>
        <v>0</v>
      </c>
    </row>
    <row r="29" spans="1:7" ht="14.1" customHeight="1">
      <c r="A29" s="330" t="s">
        <v>253</v>
      </c>
      <c r="B29" s="331">
        <v>1328207</v>
      </c>
      <c r="C29" s="337">
        <f>B29/'- 3 -'!$D29*100</f>
        <v>0.96194106952074143</v>
      </c>
      <c r="D29" s="331">
        <f>B29/'- 7 -'!$E29</f>
        <v>109.11627945187472</v>
      </c>
      <c r="E29" s="331">
        <v>400374</v>
      </c>
      <c r="F29" s="337">
        <f>E29/'- 3 -'!$D29*100</f>
        <v>0.28996699593383962</v>
      </c>
      <c r="G29" s="331">
        <f>E29/'- 7 -'!$E29</f>
        <v>32.891952285498334</v>
      </c>
    </row>
    <row r="30" spans="1:7" ht="14.1" customHeight="1">
      <c r="A30" s="26" t="s">
        <v>254</v>
      </c>
      <c r="B30" s="27">
        <v>151704</v>
      </c>
      <c r="C30" s="79">
        <f>B30/'- 3 -'!$D30*100</f>
        <v>1.1393978595056586</v>
      </c>
      <c r="D30" s="27">
        <f>B30/'- 7 -'!$E30</f>
        <v>140.75338652811283</v>
      </c>
      <c r="E30" s="27">
        <v>1446</v>
      </c>
      <c r="F30" s="79">
        <f>E30/'- 3 -'!$D30*100</f>
        <v>1.0860420983264663E-2</v>
      </c>
      <c r="G30" s="27">
        <f>E30/'- 7 -'!$E30</f>
        <v>1.3416218222304694</v>
      </c>
    </row>
    <row r="31" spans="1:7" ht="14.1" customHeight="1">
      <c r="A31" s="330" t="s">
        <v>255</v>
      </c>
      <c r="B31" s="331">
        <v>216762</v>
      </c>
      <c r="C31" s="337">
        <f>B31/'- 3 -'!$D31*100</f>
        <v>0.66412728257561593</v>
      </c>
      <c r="D31" s="331">
        <f>B31/'- 7 -'!$E31</f>
        <v>68.142722414335111</v>
      </c>
      <c r="E31" s="331">
        <v>375511</v>
      </c>
      <c r="F31" s="337">
        <f>E31/'- 3 -'!$D31*100</f>
        <v>1.1505111597385711</v>
      </c>
      <c r="G31" s="331">
        <f>E31/'- 7 -'!$E31</f>
        <v>118.04809808236404</v>
      </c>
    </row>
    <row r="32" spans="1:7" ht="14.1" customHeight="1">
      <c r="A32" s="26" t="s">
        <v>256</v>
      </c>
      <c r="B32" s="27">
        <v>357263</v>
      </c>
      <c r="C32" s="79">
        <f>B32/'- 3 -'!$D32*100</f>
        <v>1.4474864345373213</v>
      </c>
      <c r="D32" s="27">
        <f>B32/'- 7 -'!$E32</f>
        <v>173.21842424242425</v>
      </c>
      <c r="E32" s="27">
        <v>1838</v>
      </c>
      <c r="F32" s="79">
        <f>E32/'- 3 -'!$D32*100</f>
        <v>7.4468390700397086E-3</v>
      </c>
      <c r="G32" s="27">
        <f>E32/'- 7 -'!$E32</f>
        <v>0.89115151515151514</v>
      </c>
    </row>
    <row r="33" spans="1:7" ht="14.1" customHeight="1">
      <c r="A33" s="330" t="s">
        <v>257</v>
      </c>
      <c r="B33" s="331">
        <v>241948</v>
      </c>
      <c r="C33" s="337">
        <f>B33/'- 3 -'!$D33*100</f>
        <v>0.95837420997841571</v>
      </c>
      <c r="D33" s="331">
        <f>B33/'- 7 -'!$E33</f>
        <v>119.53952569169961</v>
      </c>
      <c r="E33" s="331">
        <v>5620</v>
      </c>
      <c r="F33" s="337">
        <f>E33/'- 3 -'!$D33*100</f>
        <v>2.2261242333388564E-2</v>
      </c>
      <c r="G33" s="331">
        <f>E33/'- 7 -'!$E33</f>
        <v>2.7766798418972334</v>
      </c>
    </row>
    <row r="34" spans="1:7" ht="14.1" customHeight="1">
      <c r="A34" s="26" t="s">
        <v>258</v>
      </c>
      <c r="B34" s="27">
        <v>220330</v>
      </c>
      <c r="C34" s="79">
        <f>B34/'- 3 -'!$D34*100</f>
        <v>0.90972443520741331</v>
      </c>
      <c r="D34" s="27">
        <f>B34/'- 7 -'!$E34</f>
        <v>108.06476136291181</v>
      </c>
      <c r="E34" s="27">
        <v>16025</v>
      </c>
      <c r="F34" s="79">
        <f>E34/'- 3 -'!$D34*100</f>
        <v>6.6165906023686286E-2</v>
      </c>
      <c r="G34" s="27">
        <f>E34/'- 7 -'!$E34</f>
        <v>7.8597458396072337</v>
      </c>
    </row>
    <row r="35" spans="1:7" ht="14.1" customHeight="1">
      <c r="A35" s="330" t="s">
        <v>259</v>
      </c>
      <c r="B35" s="331">
        <v>1790611</v>
      </c>
      <c r="C35" s="337">
        <f>B35/'- 3 -'!$D35*100</f>
        <v>1.0784698737410805</v>
      </c>
      <c r="D35" s="331">
        <f>B35/'- 7 -'!$E35</f>
        <v>113.44469082615306</v>
      </c>
      <c r="E35" s="331">
        <v>427637</v>
      </c>
      <c r="F35" s="337">
        <f>E35/'- 3 -'!$D35*100</f>
        <v>0.2575621513533729</v>
      </c>
      <c r="G35" s="331">
        <f>E35/'- 7 -'!$E35</f>
        <v>27.093068930562595</v>
      </c>
    </row>
    <row r="36" spans="1:7" ht="14.1" customHeight="1">
      <c r="A36" s="26" t="s">
        <v>260</v>
      </c>
      <c r="B36" s="27">
        <v>224390</v>
      </c>
      <c r="C36" s="79">
        <f>B36/'- 3 -'!$D36*100</f>
        <v>1.0919145960159302</v>
      </c>
      <c r="D36" s="27">
        <f>B36/'- 7 -'!$E36</f>
        <v>136.03516217035465</v>
      </c>
      <c r="E36" s="27">
        <v>6736</v>
      </c>
      <c r="F36" s="79">
        <f>E36/'- 3 -'!$D36*100</f>
        <v>3.2778362310099854E-2</v>
      </c>
      <c r="G36" s="27">
        <f>E36/'- 7 -'!$E36</f>
        <v>4.0836617156714157</v>
      </c>
    </row>
    <row r="37" spans="1:7" ht="14.1" customHeight="1">
      <c r="A37" s="330" t="s">
        <v>261</v>
      </c>
      <c r="B37" s="331">
        <v>357544</v>
      </c>
      <c r="C37" s="337">
        <f>B37/'- 3 -'!$D37*100</f>
        <v>0.90293291826932265</v>
      </c>
      <c r="D37" s="331">
        <f>B37/'- 7 -'!$E37</f>
        <v>95.894863886281343</v>
      </c>
      <c r="E37" s="331">
        <v>48482</v>
      </c>
      <c r="F37" s="337">
        <f>E37/'- 3 -'!$D37*100</f>
        <v>0.12243526319427345</v>
      </c>
      <c r="G37" s="331">
        <f>E37/'- 7 -'!$E37</f>
        <v>13.003084350274909</v>
      </c>
    </row>
    <row r="38" spans="1:7" ht="14.1" customHeight="1">
      <c r="A38" s="26" t="s">
        <v>262</v>
      </c>
      <c r="B38" s="27">
        <v>903973</v>
      </c>
      <c r="C38" s="79">
        <f>B38/'- 3 -'!$D38*100</f>
        <v>0.8215615377604778</v>
      </c>
      <c r="D38" s="27">
        <f>B38/'- 7 -'!$E38</f>
        <v>87.326886664863395</v>
      </c>
      <c r="E38" s="27">
        <v>1292725</v>
      </c>
      <c r="F38" s="79">
        <f>E38/'- 3 -'!$D38*100</f>
        <v>1.1748726332549908</v>
      </c>
      <c r="G38" s="27">
        <f>E38/'- 7 -'!$E38</f>
        <v>124.88166080605896</v>
      </c>
    </row>
    <row r="39" spans="1:7" ht="14.1" customHeight="1">
      <c r="A39" s="330" t="s">
        <v>263</v>
      </c>
      <c r="B39" s="331">
        <v>366786</v>
      </c>
      <c r="C39" s="337">
        <f>B39/'- 3 -'!$D39*100</f>
        <v>1.8778630761318742</v>
      </c>
      <c r="D39" s="331">
        <f>B39/'- 7 -'!$E39</f>
        <v>231.26481715006304</v>
      </c>
      <c r="E39" s="331">
        <v>189627</v>
      </c>
      <c r="F39" s="337">
        <f>E39/'- 3 -'!$D39*100</f>
        <v>0.97084823722186497</v>
      </c>
      <c r="G39" s="331">
        <f>E39/'- 7 -'!$E39</f>
        <v>119.56305170239597</v>
      </c>
    </row>
    <row r="40" spans="1:7" ht="14.1" customHeight="1">
      <c r="A40" s="26" t="s">
        <v>264</v>
      </c>
      <c r="B40" s="27">
        <v>812291</v>
      </c>
      <c r="C40" s="79">
        <f>B40/'- 3 -'!$D40*100</f>
        <v>0.87545191408263046</v>
      </c>
      <c r="D40" s="27">
        <f>B40/'- 7 -'!$E40</f>
        <v>101.08528192939009</v>
      </c>
      <c r="E40" s="27">
        <v>215033</v>
      </c>
      <c r="F40" s="79">
        <f>E40/'- 3 -'!$D40*100</f>
        <v>0.23175321583143266</v>
      </c>
      <c r="G40" s="27">
        <f>E40/'- 7 -'!$E40</f>
        <v>26.759709795039637</v>
      </c>
    </row>
    <row r="41" spans="1:7" ht="14.1" customHeight="1">
      <c r="A41" s="330" t="s">
        <v>265</v>
      </c>
      <c r="B41" s="331">
        <v>622740</v>
      </c>
      <c r="C41" s="337">
        <f>B41/'- 3 -'!$D41*100</f>
        <v>1.07550460628188</v>
      </c>
      <c r="D41" s="331">
        <f>B41/'- 7 -'!$E41</f>
        <v>139.19088064371925</v>
      </c>
      <c r="E41" s="331">
        <v>47653</v>
      </c>
      <c r="F41" s="337">
        <f>E41/'- 3 -'!$D41*100</f>
        <v>8.2299227612086009E-2</v>
      </c>
      <c r="G41" s="331">
        <f>E41/'- 7 -'!$E41</f>
        <v>10.651095216808224</v>
      </c>
    </row>
    <row r="42" spans="1:7" ht="14.1" customHeight="1">
      <c r="A42" s="26" t="s">
        <v>266</v>
      </c>
      <c r="B42" s="27">
        <v>209730</v>
      </c>
      <c r="C42" s="79">
        <f>B42/'- 3 -'!$D42*100</f>
        <v>1.0657662594145099</v>
      </c>
      <c r="D42" s="27">
        <f>B42/'- 7 -'!$E42</f>
        <v>146.79778819906207</v>
      </c>
      <c r="E42" s="27">
        <v>600</v>
      </c>
      <c r="F42" s="79">
        <f>E42/'- 3 -'!$D42*100</f>
        <v>3.0489665553268775E-3</v>
      </c>
      <c r="G42" s="27">
        <f>E42/'- 7 -'!$E42</f>
        <v>0.41996220340169382</v>
      </c>
    </row>
    <row r="43" spans="1:7" ht="14.1" customHeight="1">
      <c r="A43" s="330" t="s">
        <v>267</v>
      </c>
      <c r="B43" s="331">
        <v>153958</v>
      </c>
      <c r="C43" s="337">
        <f>B43/'- 3 -'!$D43*100</f>
        <v>1.3220483187630769</v>
      </c>
      <c r="D43" s="331">
        <f>B43/'- 7 -'!$E43</f>
        <v>157.82470527934393</v>
      </c>
      <c r="E43" s="331">
        <v>11137</v>
      </c>
      <c r="F43" s="337">
        <f>E43/'- 3 -'!$D43*100</f>
        <v>9.5634212746751629E-2</v>
      </c>
      <c r="G43" s="331">
        <f>E43/'- 7 -'!$E43</f>
        <v>11.416709379805228</v>
      </c>
    </row>
    <row r="44" spans="1:7" ht="14.1" customHeight="1">
      <c r="A44" s="26" t="s">
        <v>268</v>
      </c>
      <c r="B44" s="27">
        <v>57550</v>
      </c>
      <c r="C44" s="79">
        <f>B44/'- 3 -'!$D44*100</f>
        <v>0.59001405063868639</v>
      </c>
      <c r="D44" s="27">
        <f>B44/'- 7 -'!$E44</f>
        <v>80.433263452131371</v>
      </c>
      <c r="E44" s="27">
        <v>65404</v>
      </c>
      <c r="F44" s="79">
        <f>E44/'- 3 -'!$D44*100</f>
        <v>0.67053482133749165</v>
      </c>
      <c r="G44" s="27">
        <f>E44/'- 7 -'!$E44</f>
        <v>91.410202655485676</v>
      </c>
    </row>
    <row r="45" spans="1:7" ht="14.1" customHeight="1">
      <c r="A45" s="330" t="s">
        <v>269</v>
      </c>
      <c r="B45" s="331">
        <v>86728</v>
      </c>
      <c r="C45" s="337">
        <f>B45/'- 3 -'!$D45*100</f>
        <v>0.53224642012609247</v>
      </c>
      <c r="D45" s="331">
        <f>B45/'- 7 -'!$E45</f>
        <v>53.868322981366461</v>
      </c>
      <c r="E45" s="331">
        <v>168243</v>
      </c>
      <c r="F45" s="337">
        <f>E45/'- 3 -'!$D45*100</f>
        <v>1.0325008585609512</v>
      </c>
      <c r="G45" s="331">
        <f>E45/'- 7 -'!$E45</f>
        <v>104.49875776397515</v>
      </c>
    </row>
    <row r="46" spans="1:7" ht="14.1" customHeight="1">
      <c r="A46" s="26" t="s">
        <v>270</v>
      </c>
      <c r="B46" s="27">
        <v>2469300</v>
      </c>
      <c r="C46" s="79">
        <f>B46/'- 3 -'!$D46*100</f>
        <v>0.71092026764471039</v>
      </c>
      <c r="D46" s="27">
        <f>B46/'- 7 -'!$E46</f>
        <v>81.963023201779137</v>
      </c>
      <c r="E46" s="27">
        <v>2974516</v>
      </c>
      <c r="F46" s="79">
        <f>E46/'- 3 -'!$D46*100</f>
        <v>0.8563737540329136</v>
      </c>
      <c r="G46" s="27">
        <f>E46/'- 7 -'!$E46</f>
        <v>98.732565472831681</v>
      </c>
    </row>
    <row r="47" spans="1:7" ht="5.0999999999999996" customHeight="1">
      <c r="A47" s="28"/>
      <c r="B47" s="29"/>
      <c r="C47"/>
      <c r="D47" s="29"/>
      <c r="E47" s="29"/>
      <c r="F47"/>
      <c r="G47"/>
    </row>
    <row r="48" spans="1:7" ht="14.1" customHeight="1">
      <c r="A48" s="332" t="s">
        <v>271</v>
      </c>
      <c r="B48" s="333">
        <f>SUM(B11:B46)</f>
        <v>19445511</v>
      </c>
      <c r="C48" s="340">
        <f>B48/'- 3 -'!$D48*100</f>
        <v>0.97279778968380726</v>
      </c>
      <c r="D48" s="333">
        <f>B48/'- 7 -'!$E48</f>
        <v>112.88388271076113</v>
      </c>
      <c r="E48" s="333">
        <f>SUM(E11:E46)</f>
        <v>9281243</v>
      </c>
      <c r="F48" s="340">
        <f>E48/'- 3 -'!$D48*100</f>
        <v>0.46431141233153028</v>
      </c>
      <c r="G48" s="333">
        <f>E48/'- 7 -'!$E48</f>
        <v>53.878900185347284</v>
      </c>
    </row>
    <row r="49" spans="1:10" ht="5.0999999999999996" customHeight="1">
      <c r="A49" s="28" t="s">
        <v>17</v>
      </c>
      <c r="B49" s="29"/>
      <c r="C49"/>
      <c r="D49" s="29"/>
      <c r="E49" s="29"/>
      <c r="F49"/>
      <c r="G49"/>
    </row>
    <row r="50" spans="1:10" ht="14.1" customHeight="1">
      <c r="A50" s="26" t="s">
        <v>272</v>
      </c>
      <c r="B50" s="27">
        <v>19309</v>
      </c>
      <c r="C50" s="79">
        <f>B50/'- 3 -'!$D50*100</f>
        <v>0.60882229508568886</v>
      </c>
      <c r="D50" s="27">
        <f>B50/'- 7 -'!$E50</f>
        <v>115.62275449101796</v>
      </c>
      <c r="E50" s="27">
        <v>0</v>
      </c>
      <c r="F50" s="79">
        <f>E50/'- 3 -'!$D50*100</f>
        <v>0</v>
      </c>
      <c r="G50" s="27">
        <f>E50/'- 7 -'!$E50</f>
        <v>0</v>
      </c>
    </row>
    <row r="51" spans="1:10" ht="14.1" customHeight="1">
      <c r="A51" s="330" t="s">
        <v>273</v>
      </c>
      <c r="B51" s="331">
        <v>28581</v>
      </c>
      <c r="C51" s="337">
        <f>B51/'- 3 -'!$D51*100</f>
        <v>0.15803169071460282</v>
      </c>
      <c r="D51" s="331">
        <f>B51/'- 7 -'!$E51</f>
        <v>39.537682602921649</v>
      </c>
      <c r="E51" s="331">
        <v>20771</v>
      </c>
      <c r="F51" s="337">
        <f>E51/'- 3 -'!$D51*100</f>
        <v>0.11484819452898833</v>
      </c>
      <c r="G51" s="331">
        <f>E51/'- 7 -'!$E51</f>
        <v>28.733676405489156</v>
      </c>
    </row>
    <row r="52" spans="1:10" ht="50.1" customHeight="1">
      <c r="A52" s="30"/>
      <c r="B52" s="30"/>
      <c r="C52" s="30"/>
      <c r="D52" s="30"/>
      <c r="E52" s="30"/>
      <c r="F52" s="30"/>
      <c r="G52" s="30"/>
      <c r="H52" s="30"/>
      <c r="I52" s="30"/>
      <c r="J52" s="30"/>
    </row>
    <row r="53" spans="1:10" ht="15" customHeight="1">
      <c r="A53" s="96" t="s">
        <v>633</v>
      </c>
    </row>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27.xml><?xml version="1.0" encoding="utf-8"?>
<worksheet xmlns="http://schemas.openxmlformats.org/spreadsheetml/2006/main" xmlns:r="http://schemas.openxmlformats.org/officeDocument/2006/relationships">
  <sheetPr codeName="Sheet27">
    <pageSetUpPr fitToPage="1"/>
  </sheetPr>
  <dimension ref="A1:G52"/>
  <sheetViews>
    <sheetView showGridLines="0" showZeros="0" workbookViewId="0"/>
  </sheetViews>
  <sheetFormatPr defaultColWidth="15.83203125" defaultRowHeight="12"/>
  <cols>
    <col min="1" max="1" width="32.83203125" style="1" customWidth="1"/>
    <col min="2" max="2" width="16.83203125" style="1" customWidth="1"/>
    <col min="3" max="3" width="15.83203125" style="1"/>
    <col min="4" max="4" width="17.83203125" style="1" customWidth="1"/>
    <col min="5" max="5" width="15.83203125" style="1"/>
    <col min="6" max="6" width="17.83203125" style="1" customWidth="1"/>
    <col min="7" max="16384" width="15.83203125" style="1"/>
  </cols>
  <sheetData>
    <row r="1" spans="1:7" ht="6.95" customHeight="1">
      <c r="A1" s="6"/>
      <c r="B1" s="7"/>
      <c r="C1" s="7"/>
      <c r="D1" s="7"/>
      <c r="E1" s="7"/>
      <c r="F1" s="7"/>
      <c r="G1" s="7"/>
    </row>
    <row r="2" spans="1:7" ht="15.95" customHeight="1">
      <c r="A2" s="152"/>
      <c r="B2" s="8" t="s">
        <v>492</v>
      </c>
      <c r="C2" s="9"/>
      <c r="D2" s="9"/>
      <c r="E2" s="9"/>
      <c r="F2" s="82"/>
      <c r="G2" s="523" t="s">
        <v>455</v>
      </c>
    </row>
    <row r="3" spans="1:7" ht="15.95" customHeight="1">
      <c r="A3" s="154"/>
      <c r="B3" s="10" t="str">
        <f>OPYEAR</f>
        <v>OPERATING FUND 2012/2013 ACTUAL</v>
      </c>
      <c r="C3" s="11"/>
      <c r="D3" s="11"/>
      <c r="E3" s="11"/>
      <c r="F3" s="84"/>
      <c r="G3" s="74"/>
    </row>
    <row r="4" spans="1:7" ht="15.95" customHeight="1">
      <c r="B4" s="7"/>
      <c r="C4" s="7"/>
      <c r="D4" s="7"/>
      <c r="E4" s="7"/>
      <c r="F4" s="7"/>
      <c r="G4" s="7"/>
    </row>
    <row r="5" spans="1:7" ht="15.95" customHeight="1">
      <c r="B5" s="7"/>
      <c r="C5" s="7"/>
      <c r="D5" s="7"/>
      <c r="E5" s="7"/>
      <c r="F5" s="7"/>
      <c r="G5" s="7"/>
    </row>
    <row r="6" spans="1:7" ht="15.95" customHeight="1">
      <c r="B6" s="185" t="s">
        <v>33</v>
      </c>
      <c r="C6" s="186"/>
      <c r="D6" s="187"/>
      <c r="E6" s="187"/>
      <c r="F6" s="187"/>
      <c r="G6" s="188"/>
    </row>
    <row r="7" spans="1:7" ht="15.95" customHeight="1">
      <c r="B7" s="357"/>
      <c r="C7" s="358"/>
      <c r="D7" s="357"/>
      <c r="E7" s="358"/>
      <c r="F7" s="357" t="s">
        <v>59</v>
      </c>
      <c r="G7" s="358"/>
    </row>
    <row r="8" spans="1:7" ht="15.95" customHeight="1">
      <c r="A8" s="75"/>
      <c r="B8" s="345" t="s">
        <v>44</v>
      </c>
      <c r="C8" s="346"/>
      <c r="D8" s="344" t="s">
        <v>76</v>
      </c>
      <c r="E8" s="346"/>
      <c r="F8" s="344" t="s">
        <v>77</v>
      </c>
      <c r="G8" s="346"/>
    </row>
    <row r="9" spans="1:7" ht="15.95" customHeight="1">
      <c r="A9" s="42" t="s">
        <v>94</v>
      </c>
      <c r="B9" s="189" t="s">
        <v>95</v>
      </c>
      <c r="C9" s="189" t="s">
        <v>96</v>
      </c>
      <c r="D9" s="189" t="s">
        <v>95</v>
      </c>
      <c r="E9" s="189" t="s">
        <v>96</v>
      </c>
      <c r="F9" s="189" t="s">
        <v>95</v>
      </c>
      <c r="G9" s="189" t="s">
        <v>96</v>
      </c>
    </row>
    <row r="10" spans="1:7" ht="5.0999999999999996" customHeight="1">
      <c r="A10" s="5"/>
    </row>
    <row r="11" spans="1:7" ht="14.1" customHeight="1">
      <c r="A11" s="330" t="s">
        <v>236</v>
      </c>
      <c r="B11" s="331">
        <v>65176</v>
      </c>
      <c r="C11" s="337">
        <f>B11/'- 3 -'!$D11*100</f>
        <v>0.41654233433581039</v>
      </c>
      <c r="D11" s="331">
        <v>946645</v>
      </c>
      <c r="E11" s="337">
        <f>D11/'- 3 -'!$D11*100</f>
        <v>6.0500447724211854</v>
      </c>
      <c r="F11" s="331">
        <v>5655</v>
      </c>
      <c r="G11" s="337">
        <f>F11/'- 3 -'!$D11*100</f>
        <v>3.6141323503575053E-2</v>
      </c>
    </row>
    <row r="12" spans="1:7" ht="14.1" customHeight="1">
      <c r="A12" s="26" t="s">
        <v>237</v>
      </c>
      <c r="B12" s="27">
        <v>80404</v>
      </c>
      <c r="C12" s="79">
        <f>B12/'- 3 -'!$D12*100</f>
        <v>0.27228205337729272</v>
      </c>
      <c r="D12" s="27">
        <v>1969954</v>
      </c>
      <c r="E12" s="79">
        <f>D12/'- 3 -'!$D12*100</f>
        <v>6.6710999475002657</v>
      </c>
      <c r="F12" s="27">
        <v>0</v>
      </c>
      <c r="G12" s="79">
        <f>F12/'- 3 -'!$D12*100</f>
        <v>0</v>
      </c>
    </row>
    <row r="13" spans="1:7" ht="14.1" customHeight="1">
      <c r="A13" s="330" t="s">
        <v>238</v>
      </c>
      <c r="B13" s="331">
        <v>172284</v>
      </c>
      <c r="C13" s="337">
        <f>B13/'- 3 -'!$D13*100</f>
        <v>0.21419516797214563</v>
      </c>
      <c r="D13" s="331">
        <v>1703822</v>
      </c>
      <c r="E13" s="337">
        <f>D13/'- 3 -'!$D13*100</f>
        <v>2.1183072106790943</v>
      </c>
      <c r="F13" s="331">
        <v>0</v>
      </c>
      <c r="G13" s="337">
        <f>F13/'- 3 -'!$D13*100</f>
        <v>0</v>
      </c>
    </row>
    <row r="14" spans="1:7" ht="14.1" customHeight="1">
      <c r="A14" s="26" t="s">
        <v>656</v>
      </c>
      <c r="B14" s="27">
        <v>162244</v>
      </c>
      <c r="C14" s="79">
        <f>B14/'- 3 -'!$D14*100</f>
        <v>0.23222703961852495</v>
      </c>
      <c r="D14" s="27">
        <v>6768473</v>
      </c>
      <c r="E14" s="79">
        <f>D14/'- 3 -'!$D14*100</f>
        <v>9.6880158744108655</v>
      </c>
      <c r="F14" s="27">
        <v>260870</v>
      </c>
      <c r="G14" s="79">
        <f>F14/'- 3 -'!$D14*100</f>
        <v>0.37339481167429678</v>
      </c>
    </row>
    <row r="15" spans="1:7" ht="14.1" customHeight="1">
      <c r="A15" s="330" t="s">
        <v>239</v>
      </c>
      <c r="B15" s="331">
        <v>76906</v>
      </c>
      <c r="C15" s="337">
        <f>B15/'- 3 -'!$D15*100</f>
        <v>0.41355656332162077</v>
      </c>
      <c r="D15" s="331">
        <v>1149663</v>
      </c>
      <c r="E15" s="337">
        <f>D15/'- 3 -'!$D15*100</f>
        <v>6.1822312856997437</v>
      </c>
      <c r="F15" s="331">
        <v>7518</v>
      </c>
      <c r="G15" s="337">
        <f>F15/'- 3 -'!$D15*100</f>
        <v>4.0427512067354232E-2</v>
      </c>
    </row>
    <row r="16" spans="1:7" ht="14.1" customHeight="1">
      <c r="A16" s="26" t="s">
        <v>240</v>
      </c>
      <c r="B16" s="27">
        <v>0</v>
      </c>
      <c r="C16" s="79">
        <f>B16/'- 3 -'!$D16*100</f>
        <v>0</v>
      </c>
      <c r="D16" s="27">
        <v>339648</v>
      </c>
      <c r="E16" s="79">
        <f>D16/'- 3 -'!$D16*100</f>
        <v>2.6581798502285077</v>
      </c>
      <c r="F16" s="27">
        <v>0</v>
      </c>
      <c r="G16" s="79">
        <f>F16/'- 3 -'!$D16*100</f>
        <v>0</v>
      </c>
    </row>
    <row r="17" spans="1:7" ht="14.1" customHeight="1">
      <c r="A17" s="330" t="s">
        <v>241</v>
      </c>
      <c r="B17" s="331">
        <v>50047</v>
      </c>
      <c r="C17" s="337">
        <f>B17/'- 3 -'!$D17*100</f>
        <v>0.31094755718189943</v>
      </c>
      <c r="D17" s="331">
        <v>1222666</v>
      </c>
      <c r="E17" s="337">
        <f>D17/'- 3 -'!$D17*100</f>
        <v>7.5965593531952811</v>
      </c>
      <c r="F17" s="331">
        <v>0</v>
      </c>
      <c r="G17" s="337">
        <f>F17/'- 3 -'!$D17*100</f>
        <v>0</v>
      </c>
    </row>
    <row r="18" spans="1:7" ht="14.1" customHeight="1">
      <c r="A18" s="26" t="s">
        <v>242</v>
      </c>
      <c r="B18" s="27">
        <v>302070</v>
      </c>
      <c r="C18" s="79">
        <f>B18/'- 3 -'!$D18*100</f>
        <v>0.26813871599502964</v>
      </c>
      <c r="D18" s="27">
        <v>6367270</v>
      </c>
      <c r="E18" s="79">
        <f>D18/'- 3 -'!$D18*100</f>
        <v>5.6520396007338443</v>
      </c>
      <c r="F18" s="27">
        <v>93314</v>
      </c>
      <c r="G18" s="79">
        <f>F18/'- 3 -'!$D18*100</f>
        <v>8.2832112240077457E-2</v>
      </c>
    </row>
    <row r="19" spans="1:7" ht="14.1" customHeight="1">
      <c r="A19" s="330" t="s">
        <v>243</v>
      </c>
      <c r="B19" s="331">
        <v>50406</v>
      </c>
      <c r="C19" s="337">
        <f>B19/'- 3 -'!$D19*100</f>
        <v>0.12937186349073962</v>
      </c>
      <c r="D19" s="331">
        <v>1856955</v>
      </c>
      <c r="E19" s="337">
        <f>D19/'- 3 -'!$D19*100</f>
        <v>4.7660542151419749</v>
      </c>
      <c r="F19" s="331">
        <v>24448</v>
      </c>
      <c r="G19" s="337">
        <f>F19/'- 3 -'!$D19*100</f>
        <v>6.2748151383200459E-2</v>
      </c>
    </row>
    <row r="20" spans="1:7" ht="14.1" customHeight="1">
      <c r="A20" s="26" t="s">
        <v>244</v>
      </c>
      <c r="B20" s="27">
        <v>206245</v>
      </c>
      <c r="C20" s="79">
        <f>B20/'- 3 -'!$D20*100</f>
        <v>0.30480934448544333</v>
      </c>
      <c r="D20" s="27">
        <v>2875208</v>
      </c>
      <c r="E20" s="79">
        <f>D20/'- 3 -'!$D20*100</f>
        <v>4.2492679373526761</v>
      </c>
      <c r="F20" s="27">
        <v>6560</v>
      </c>
      <c r="G20" s="79">
        <f>F20/'- 3 -'!$D20*100</f>
        <v>9.6950195147737332E-3</v>
      </c>
    </row>
    <row r="21" spans="1:7" ht="14.1" customHeight="1">
      <c r="A21" s="330" t="s">
        <v>245</v>
      </c>
      <c r="B21" s="331">
        <v>160514</v>
      </c>
      <c r="C21" s="337">
        <f>B21/'- 3 -'!$D21*100</f>
        <v>0.49144347536637822</v>
      </c>
      <c r="D21" s="331">
        <v>1798789</v>
      </c>
      <c r="E21" s="337">
        <f>D21/'- 3 -'!$D21*100</f>
        <v>5.5073271964489825</v>
      </c>
      <c r="F21" s="331">
        <v>4657</v>
      </c>
      <c r="G21" s="337">
        <f>F21/'- 3 -'!$D21*100</f>
        <v>1.4258271956223279E-2</v>
      </c>
    </row>
    <row r="22" spans="1:7" ht="14.1" customHeight="1">
      <c r="A22" s="26" t="s">
        <v>246</v>
      </c>
      <c r="B22" s="27">
        <v>76915</v>
      </c>
      <c r="C22" s="79">
        <f>B22/'- 3 -'!$D22*100</f>
        <v>0.4140861318535522</v>
      </c>
      <c r="D22" s="27">
        <v>428931</v>
      </c>
      <c r="E22" s="79">
        <f>D22/'- 3 -'!$D22*100</f>
        <v>2.3092293911730608</v>
      </c>
      <c r="F22" s="27">
        <v>3753</v>
      </c>
      <c r="G22" s="79">
        <f>F22/'- 3 -'!$D22*100</f>
        <v>2.0204969808832882E-2</v>
      </c>
    </row>
    <row r="23" spans="1:7" ht="14.1" customHeight="1">
      <c r="A23" s="330" t="s">
        <v>247</v>
      </c>
      <c r="B23" s="331">
        <v>61400</v>
      </c>
      <c r="C23" s="337">
        <f>B23/'- 3 -'!$D23*100</f>
        <v>0.38200345632247762</v>
      </c>
      <c r="D23" s="331">
        <v>1500080</v>
      </c>
      <c r="E23" s="337">
        <f>D23/'- 3 -'!$D23*100</f>
        <v>9.332829719221861</v>
      </c>
      <c r="F23" s="331">
        <v>0</v>
      </c>
      <c r="G23" s="337">
        <f>F23/'- 3 -'!$D23*100</f>
        <v>0</v>
      </c>
    </row>
    <row r="24" spans="1:7" ht="14.1" customHeight="1">
      <c r="A24" s="26" t="s">
        <v>248</v>
      </c>
      <c r="B24" s="27">
        <v>158774</v>
      </c>
      <c r="C24" s="79">
        <f>B24/'- 3 -'!$D24*100</f>
        <v>0.31090303827269389</v>
      </c>
      <c r="D24" s="27">
        <v>2077469</v>
      </c>
      <c r="E24" s="79">
        <f>D24/'- 3 -'!$D24*100</f>
        <v>4.0679923918105931</v>
      </c>
      <c r="F24" s="27">
        <v>52145</v>
      </c>
      <c r="G24" s="79">
        <f>F24/'- 3 -'!$D24*100</f>
        <v>0.10210764313256342</v>
      </c>
    </row>
    <row r="25" spans="1:7" ht="14.1" customHeight="1">
      <c r="A25" s="330" t="s">
        <v>249</v>
      </c>
      <c r="B25" s="331">
        <v>242125</v>
      </c>
      <c r="C25" s="337">
        <f>B25/'- 3 -'!$D25*100</f>
        <v>0.16163286031531002</v>
      </c>
      <c r="D25" s="331">
        <v>2918359</v>
      </c>
      <c r="E25" s="337">
        <f>D25/'- 3 -'!$D25*100</f>
        <v>1.9481784722640283</v>
      </c>
      <c r="F25" s="331">
        <v>3310</v>
      </c>
      <c r="G25" s="337">
        <f>F25/'- 3 -'!$D25*100</f>
        <v>2.2096221688948938E-3</v>
      </c>
    </row>
    <row r="26" spans="1:7" ht="14.1" customHeight="1">
      <c r="A26" s="26" t="s">
        <v>250</v>
      </c>
      <c r="B26" s="27">
        <v>183589</v>
      </c>
      <c r="C26" s="79">
        <f>B26/'- 3 -'!$D26*100</f>
        <v>0.49248794197371859</v>
      </c>
      <c r="D26" s="27">
        <v>2449614</v>
      </c>
      <c r="E26" s="79">
        <f>D26/'- 3 -'!$D26*100</f>
        <v>6.5712289815294422</v>
      </c>
      <c r="F26" s="27">
        <v>4739</v>
      </c>
      <c r="G26" s="79">
        <f>F26/'- 3 -'!$D26*100</f>
        <v>1.271263723324084E-2</v>
      </c>
    </row>
    <row r="27" spans="1:7" ht="14.1" customHeight="1">
      <c r="A27" s="330" t="s">
        <v>251</v>
      </c>
      <c r="B27" s="331">
        <v>0</v>
      </c>
      <c r="C27" s="337">
        <f>B27/'- 3 -'!$D27*100</f>
        <v>0</v>
      </c>
      <c r="D27" s="331">
        <v>0</v>
      </c>
      <c r="E27" s="337">
        <f>D27/'- 3 -'!$D27*100</f>
        <v>0</v>
      </c>
      <c r="F27" s="331">
        <v>200151</v>
      </c>
      <c r="G27" s="337">
        <f>F27/'- 3 -'!$D27*100</f>
        <v>0.54893713794739185</v>
      </c>
    </row>
    <row r="28" spans="1:7" ht="14.1" customHeight="1">
      <c r="A28" s="26" t="s">
        <v>252</v>
      </c>
      <c r="B28" s="27">
        <v>76677</v>
      </c>
      <c r="C28" s="79">
        <f>B28/'- 3 -'!$D28*100</f>
        <v>0.30107076307501396</v>
      </c>
      <c r="D28" s="27">
        <v>1881838</v>
      </c>
      <c r="E28" s="79">
        <f>D28/'- 3 -'!$D28*100</f>
        <v>7.3890006474374079</v>
      </c>
      <c r="F28" s="27">
        <v>8571</v>
      </c>
      <c r="G28" s="79">
        <f>F28/'- 3 -'!$D28*100</f>
        <v>3.3653866352569145E-2</v>
      </c>
    </row>
    <row r="29" spans="1:7" ht="14.1" customHeight="1">
      <c r="A29" s="330" t="s">
        <v>253</v>
      </c>
      <c r="B29" s="331">
        <v>167051</v>
      </c>
      <c r="C29" s="337">
        <f>B29/'- 3 -'!$D29*100</f>
        <v>0.12098507055339218</v>
      </c>
      <c r="D29" s="331">
        <v>1680891</v>
      </c>
      <c r="E29" s="337">
        <f>D29/'- 3 -'!$D29*100</f>
        <v>1.2173690443491025</v>
      </c>
      <c r="F29" s="331">
        <v>52661</v>
      </c>
      <c r="G29" s="337">
        <f>F29/'- 3 -'!$D29*100</f>
        <v>3.8139219761702627E-2</v>
      </c>
    </row>
    <row r="30" spans="1:7" ht="14.1" customHeight="1">
      <c r="A30" s="26" t="s">
        <v>254</v>
      </c>
      <c r="B30" s="27">
        <v>51173</v>
      </c>
      <c r="C30" s="79">
        <f>B30/'- 3 -'!$D30*100</f>
        <v>0.38434323857303082</v>
      </c>
      <c r="D30" s="27">
        <v>1036963</v>
      </c>
      <c r="E30" s="79">
        <f>D30/'- 3 -'!$D30*100</f>
        <v>7.7882812752898154</v>
      </c>
      <c r="F30" s="27">
        <v>0</v>
      </c>
      <c r="G30" s="79">
        <f>F30/'- 3 -'!$D30*100</f>
        <v>0</v>
      </c>
    </row>
    <row r="31" spans="1:7" ht="14.1" customHeight="1">
      <c r="A31" s="330" t="s">
        <v>255</v>
      </c>
      <c r="B31" s="331">
        <v>84338</v>
      </c>
      <c r="C31" s="337">
        <f>B31/'- 3 -'!$D31*100</f>
        <v>0.25839938161606879</v>
      </c>
      <c r="D31" s="331">
        <v>962378</v>
      </c>
      <c r="E31" s="337">
        <f>D31/'- 3 -'!$D31*100</f>
        <v>2.9485864032928104</v>
      </c>
      <c r="F31" s="331">
        <v>3859</v>
      </c>
      <c r="G31" s="337">
        <f>F31/'- 3 -'!$D31*100</f>
        <v>1.1823415467006682E-2</v>
      </c>
    </row>
    <row r="32" spans="1:7" ht="14.1" customHeight="1">
      <c r="A32" s="26" t="s">
        <v>256</v>
      </c>
      <c r="B32" s="27">
        <v>85868</v>
      </c>
      <c r="C32" s="79">
        <f>B32/'- 3 -'!$D32*100</f>
        <v>0.34790270797941775</v>
      </c>
      <c r="D32" s="27">
        <v>1588191</v>
      </c>
      <c r="E32" s="79">
        <f>D32/'- 3 -'!$D32*100</f>
        <v>6.4347131607646544</v>
      </c>
      <c r="F32" s="27">
        <v>7181</v>
      </c>
      <c r="G32" s="79">
        <f>F32/'- 3 -'!$D32*100</f>
        <v>2.9094532841107267E-2</v>
      </c>
    </row>
    <row r="33" spans="1:7" ht="14.1" customHeight="1">
      <c r="A33" s="330" t="s">
        <v>257</v>
      </c>
      <c r="B33" s="331">
        <v>61529</v>
      </c>
      <c r="C33" s="337">
        <f>B33/'- 3 -'!$D33*100</f>
        <v>0.24372099279912188</v>
      </c>
      <c r="D33" s="331">
        <v>2244297</v>
      </c>
      <c r="E33" s="337">
        <f>D33/'- 3 -'!$D33*100</f>
        <v>8.8898290720813087</v>
      </c>
      <c r="F33" s="331">
        <v>0</v>
      </c>
      <c r="G33" s="337">
        <f>F33/'- 3 -'!$D33*100</f>
        <v>0</v>
      </c>
    </row>
    <row r="34" spans="1:7" ht="14.1" customHeight="1">
      <c r="A34" s="26" t="s">
        <v>258</v>
      </c>
      <c r="B34" s="27">
        <v>93782</v>
      </c>
      <c r="C34" s="79">
        <f>B34/'- 3 -'!$D34*100</f>
        <v>0.38721815904607471</v>
      </c>
      <c r="D34" s="27">
        <v>2170123</v>
      </c>
      <c r="E34" s="79">
        <f>D34/'- 3 -'!$D34*100</f>
        <v>8.9602592497872173</v>
      </c>
      <c r="F34" s="27">
        <v>530</v>
      </c>
      <c r="G34" s="79">
        <f>F34/'- 3 -'!$D34*100</f>
        <v>2.1883263770704356E-3</v>
      </c>
    </row>
    <row r="35" spans="1:7" ht="14.1" customHeight="1">
      <c r="A35" s="330" t="s">
        <v>259</v>
      </c>
      <c r="B35" s="331">
        <v>331124</v>
      </c>
      <c r="C35" s="337">
        <f>B35/'- 3 -'!$D35*100</f>
        <v>0.19943318703651522</v>
      </c>
      <c r="D35" s="331">
        <v>3092408</v>
      </c>
      <c r="E35" s="337">
        <f>D35/'- 3 -'!$D35*100</f>
        <v>1.862531206005049</v>
      </c>
      <c r="F35" s="331">
        <v>20396</v>
      </c>
      <c r="G35" s="337">
        <f>F35/'- 3 -'!$D35*100</f>
        <v>1.2284338443594434E-2</v>
      </c>
    </row>
    <row r="36" spans="1:7" ht="14.1" customHeight="1">
      <c r="A36" s="26" t="s">
        <v>260</v>
      </c>
      <c r="B36" s="27">
        <v>54168</v>
      </c>
      <c r="C36" s="79">
        <f>B36/'- 3 -'!$D36*100</f>
        <v>0.2635894194794372</v>
      </c>
      <c r="D36" s="27">
        <v>1400821</v>
      </c>
      <c r="E36" s="79">
        <f>D36/'- 3 -'!$D36*100</f>
        <v>6.8166000994056395</v>
      </c>
      <c r="F36" s="27">
        <v>5530</v>
      </c>
      <c r="G36" s="79">
        <f>F36/'- 3 -'!$D36*100</f>
        <v>2.6909789723107508E-2</v>
      </c>
    </row>
    <row r="37" spans="1:7" ht="14.1" customHeight="1">
      <c r="A37" s="330" t="s">
        <v>261</v>
      </c>
      <c r="B37" s="331">
        <v>161412</v>
      </c>
      <c r="C37" s="337">
        <f>B37/'- 3 -'!$D37*100</f>
        <v>0.40762593751730675</v>
      </c>
      <c r="D37" s="331">
        <v>2276984</v>
      </c>
      <c r="E37" s="337">
        <f>D37/'- 3 -'!$D37*100</f>
        <v>5.7502399927632837</v>
      </c>
      <c r="F37" s="331">
        <v>0</v>
      </c>
      <c r="G37" s="337">
        <f>F37/'- 3 -'!$D37*100</f>
        <v>0</v>
      </c>
    </row>
    <row r="38" spans="1:7" ht="14.1" customHeight="1">
      <c r="A38" s="26" t="s">
        <v>262</v>
      </c>
      <c r="B38" s="27">
        <v>275127</v>
      </c>
      <c r="C38" s="79">
        <f>B38/'- 3 -'!$D38*100</f>
        <v>0.25004481461219197</v>
      </c>
      <c r="D38" s="27">
        <v>2663841</v>
      </c>
      <c r="E38" s="79">
        <f>D38/'- 3 -'!$D38*100</f>
        <v>2.420989684768692</v>
      </c>
      <c r="F38" s="27">
        <v>74863</v>
      </c>
      <c r="G38" s="79">
        <f>F38/'- 3 -'!$D38*100</f>
        <v>6.8038051359236004E-2</v>
      </c>
    </row>
    <row r="39" spans="1:7" ht="14.1" customHeight="1">
      <c r="A39" s="330" t="s">
        <v>263</v>
      </c>
      <c r="B39" s="331">
        <v>78597</v>
      </c>
      <c r="C39" s="337">
        <f>B39/'- 3 -'!$D39*100</f>
        <v>0.40239923059968735</v>
      </c>
      <c r="D39" s="331">
        <v>1793879</v>
      </c>
      <c r="E39" s="337">
        <f>D39/'- 3 -'!$D39*100</f>
        <v>9.1842631320398542</v>
      </c>
      <c r="F39" s="331">
        <v>1125</v>
      </c>
      <c r="G39" s="337">
        <f>F39/'- 3 -'!$D39*100</f>
        <v>5.7597508101409501E-3</v>
      </c>
    </row>
    <row r="40" spans="1:7" ht="14.1" customHeight="1">
      <c r="A40" s="26" t="s">
        <v>264</v>
      </c>
      <c r="B40" s="27">
        <v>109696</v>
      </c>
      <c r="C40" s="79">
        <f>B40/'- 3 -'!$D40*100</f>
        <v>0.11822557823145674</v>
      </c>
      <c r="D40" s="27">
        <v>1559797</v>
      </c>
      <c r="E40" s="79">
        <f>D40/'- 3 -'!$D40*100</f>
        <v>1.6810813725996532</v>
      </c>
      <c r="F40" s="27">
        <v>1421</v>
      </c>
      <c r="G40" s="79">
        <f>F40/'- 3 -'!$D40*100</f>
        <v>1.5314920021413728E-3</v>
      </c>
    </row>
    <row r="41" spans="1:7" ht="14.1" customHeight="1">
      <c r="A41" s="330" t="s">
        <v>265</v>
      </c>
      <c r="B41" s="331">
        <v>315493</v>
      </c>
      <c r="C41" s="337">
        <f>B41/'- 3 -'!$D41*100</f>
        <v>0.54487294015108911</v>
      </c>
      <c r="D41" s="331">
        <v>4020902</v>
      </c>
      <c r="E41" s="337">
        <f>D41/'- 3 -'!$D41*100</f>
        <v>6.9443084150817747</v>
      </c>
      <c r="F41" s="331">
        <v>6348</v>
      </c>
      <c r="G41" s="337">
        <f>F41/'- 3 -'!$D41*100</f>
        <v>1.0963328581233542E-2</v>
      </c>
    </row>
    <row r="42" spans="1:7" ht="14.1" customHeight="1">
      <c r="A42" s="26" t="s">
        <v>266</v>
      </c>
      <c r="B42" s="27">
        <v>98650</v>
      </c>
      <c r="C42" s="79">
        <f>B42/'- 3 -'!$D42*100</f>
        <v>0.50130091780499408</v>
      </c>
      <c r="D42" s="27">
        <v>1381998</v>
      </c>
      <c r="E42" s="79">
        <f>D42/'- 3 -'!$D42*100</f>
        <v>7.0227761358810561</v>
      </c>
      <c r="F42" s="27">
        <v>0</v>
      </c>
      <c r="G42" s="79">
        <f>F42/'- 3 -'!$D42*100</f>
        <v>0</v>
      </c>
    </row>
    <row r="43" spans="1:7" ht="14.1" customHeight="1">
      <c r="A43" s="330" t="s">
        <v>267</v>
      </c>
      <c r="B43" s="331">
        <v>10710</v>
      </c>
      <c r="C43" s="337">
        <f>B43/'- 3 -'!$D43*100</f>
        <v>9.1967533313972352E-2</v>
      </c>
      <c r="D43" s="331">
        <v>972634</v>
      </c>
      <c r="E43" s="337">
        <f>D43/'- 3 -'!$D43*100</f>
        <v>8.3520774787396999</v>
      </c>
      <c r="F43" s="331">
        <v>13860</v>
      </c>
      <c r="G43" s="337">
        <f>F43/'- 3 -'!$D43*100</f>
        <v>0.11901680781808187</v>
      </c>
    </row>
    <row r="44" spans="1:7" ht="14.1" customHeight="1">
      <c r="A44" s="26" t="s">
        <v>268</v>
      </c>
      <c r="B44" s="27">
        <v>25302</v>
      </c>
      <c r="C44" s="79">
        <f>B44/'- 3 -'!$D44*100</f>
        <v>0.25940113830165146</v>
      </c>
      <c r="D44" s="27">
        <v>943321</v>
      </c>
      <c r="E44" s="79">
        <f>D44/'- 3 -'!$D44*100</f>
        <v>9.6711145831891621</v>
      </c>
      <c r="F44" s="27">
        <v>0</v>
      </c>
      <c r="G44" s="79">
        <f>F44/'- 3 -'!$D44*100</f>
        <v>0</v>
      </c>
    </row>
    <row r="45" spans="1:7" ht="14.1" customHeight="1">
      <c r="A45" s="330" t="s">
        <v>269</v>
      </c>
      <c r="B45" s="331">
        <v>39731</v>
      </c>
      <c r="C45" s="337">
        <f>B45/'- 3 -'!$D45*100</f>
        <v>0.24382762796363089</v>
      </c>
      <c r="D45" s="331">
        <v>520988</v>
      </c>
      <c r="E45" s="337">
        <f>D45/'- 3 -'!$D45*100</f>
        <v>3.1972834370520786</v>
      </c>
      <c r="F45" s="331">
        <v>12420</v>
      </c>
      <c r="G45" s="337">
        <f>F45/'- 3 -'!$D45*100</f>
        <v>7.6221065145812991E-2</v>
      </c>
    </row>
    <row r="46" spans="1:7" ht="14.1" customHeight="1">
      <c r="A46" s="26" t="s">
        <v>270</v>
      </c>
      <c r="B46" s="27">
        <v>260607</v>
      </c>
      <c r="C46" s="79">
        <f>B46/'- 3 -'!$D46*100</f>
        <v>7.5029683793012197E-2</v>
      </c>
      <c r="D46" s="27">
        <v>4391350</v>
      </c>
      <c r="E46" s="79">
        <f>D46/'- 3 -'!$D46*100</f>
        <v>1.2642853105420964</v>
      </c>
      <c r="F46" s="27">
        <v>0</v>
      </c>
      <c r="G46" s="79">
        <f>F46/'- 3 -'!$D46*100</f>
        <v>0</v>
      </c>
    </row>
    <row r="47" spans="1:7" ht="5.0999999999999996" customHeight="1">
      <c r="A47"/>
      <c r="B47" s="29"/>
      <c r="C47"/>
      <c r="D47" s="29"/>
      <c r="E47"/>
      <c r="F47" s="29"/>
      <c r="G47"/>
    </row>
    <row r="48" spans="1:7" ht="14.1" customHeight="1">
      <c r="A48" s="332" t="s">
        <v>271</v>
      </c>
      <c r="B48" s="333">
        <f>SUM(B11:B46)</f>
        <v>4430134</v>
      </c>
      <c r="C48" s="340">
        <f>B48/'- 3 -'!$D48*100</f>
        <v>0.22162567819395868</v>
      </c>
      <c r="D48" s="333">
        <f>SUM(D11:D46)</f>
        <v>72957150</v>
      </c>
      <c r="E48" s="340">
        <f>D48/'- 3 -'!$D48*100</f>
        <v>3.6498168786425813</v>
      </c>
      <c r="F48" s="333">
        <f>SUM(F11:F46)</f>
        <v>875885</v>
      </c>
      <c r="G48" s="340">
        <f>F48/'- 3 -'!$D48*100</f>
        <v>4.3817773264852825E-2</v>
      </c>
    </row>
    <row r="49" spans="1:7" ht="5.0999999999999996" customHeight="1">
      <c r="A49" s="28" t="s">
        <v>17</v>
      </c>
      <c r="B49" s="29"/>
      <c r="C49"/>
      <c r="D49" s="29"/>
      <c r="E49"/>
      <c r="F49" s="29"/>
      <c r="G49"/>
    </row>
    <row r="50" spans="1:7" ht="14.1" customHeight="1">
      <c r="A50" s="26" t="s">
        <v>272</v>
      </c>
      <c r="B50" s="27">
        <v>0</v>
      </c>
      <c r="C50" s="79">
        <f>B50/'- 3 -'!$D50*100</f>
        <v>0</v>
      </c>
      <c r="D50" s="27">
        <v>9400</v>
      </c>
      <c r="E50" s="79">
        <f>D50/'- 3 -'!$D50*100</f>
        <v>0.29638663699857448</v>
      </c>
      <c r="F50" s="27">
        <v>0</v>
      </c>
      <c r="G50" s="79">
        <f>F50/'- 3 -'!$D50*100</f>
        <v>0</v>
      </c>
    </row>
    <row r="51" spans="1:7" ht="14.1" customHeight="1">
      <c r="A51" s="330" t="s">
        <v>273</v>
      </c>
      <c r="B51" s="331">
        <v>0</v>
      </c>
      <c r="C51" s="337">
        <f>B51/'- 3 -'!$D51*100</f>
        <v>0</v>
      </c>
      <c r="D51" s="331">
        <v>0</v>
      </c>
      <c r="E51" s="337">
        <f>D51/'- 3 -'!$D51*100</f>
        <v>0</v>
      </c>
      <c r="F51" s="331">
        <v>0</v>
      </c>
      <c r="G51" s="337">
        <f>F51/'- 3 -'!$D51*100</f>
        <v>0</v>
      </c>
    </row>
    <row r="52" spans="1:7"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28.xml><?xml version="1.0" encoding="utf-8"?>
<worksheet xmlns="http://schemas.openxmlformats.org/spreadsheetml/2006/main" xmlns:r="http://schemas.openxmlformats.org/officeDocument/2006/relationships">
  <sheetPr codeName="Sheet28">
    <pageSetUpPr fitToPage="1"/>
  </sheetPr>
  <dimension ref="A1:G52"/>
  <sheetViews>
    <sheetView showGridLines="0" showZeros="0" workbookViewId="0"/>
  </sheetViews>
  <sheetFormatPr defaultColWidth="15.83203125" defaultRowHeight="12"/>
  <cols>
    <col min="1" max="1" width="33.83203125" style="1" customWidth="1"/>
    <col min="2" max="2" width="19.83203125" style="1" customWidth="1"/>
    <col min="3" max="3" width="15.83203125" style="1"/>
    <col min="4" max="4" width="19.83203125" style="1" customWidth="1"/>
    <col min="5" max="5" width="15.83203125" style="1"/>
    <col min="6" max="6" width="11.83203125" style="1" customWidth="1"/>
    <col min="7" max="16384" width="15.83203125" style="1"/>
  </cols>
  <sheetData>
    <row r="1" spans="1:7" ht="6.95" customHeight="1">
      <c r="A1" s="6"/>
      <c r="B1" s="7"/>
      <c r="C1" s="7"/>
      <c r="D1" s="7"/>
      <c r="E1" s="7"/>
      <c r="F1" s="7"/>
      <c r="G1" s="7"/>
    </row>
    <row r="2" spans="1:7" ht="15.95" customHeight="1">
      <c r="A2" s="152"/>
      <c r="B2" s="8" t="s">
        <v>492</v>
      </c>
      <c r="C2" s="9"/>
      <c r="D2" s="9"/>
      <c r="E2" s="9"/>
      <c r="F2" s="82"/>
      <c r="G2" s="523" t="s">
        <v>454</v>
      </c>
    </row>
    <row r="3" spans="1:7" ht="15.95" customHeight="1">
      <c r="A3" s="154"/>
      <c r="B3" s="10" t="str">
        <f>OPYEAR</f>
        <v>OPERATING FUND 2012/2013 ACTUAL</v>
      </c>
      <c r="C3" s="11"/>
      <c r="D3" s="11"/>
      <c r="E3" s="11"/>
      <c r="F3" s="84"/>
      <c r="G3" s="74"/>
    </row>
    <row r="4" spans="1:7" ht="15.95" customHeight="1">
      <c r="B4" s="7"/>
      <c r="C4" s="7"/>
      <c r="D4" s="7"/>
      <c r="E4" s="7"/>
      <c r="F4" s="7"/>
      <c r="G4" s="7"/>
    </row>
    <row r="5" spans="1:7" ht="15.95" customHeight="1">
      <c r="B5" s="7"/>
      <c r="C5" s="7"/>
      <c r="D5" s="7"/>
      <c r="E5" s="7"/>
      <c r="F5" s="7"/>
      <c r="G5" s="7"/>
    </row>
    <row r="6" spans="1:7" ht="15.95" customHeight="1">
      <c r="B6" s="185" t="s">
        <v>33</v>
      </c>
      <c r="C6" s="193"/>
      <c r="D6" s="194"/>
      <c r="E6" s="195"/>
      <c r="F6" s="7"/>
      <c r="G6" s="50"/>
    </row>
    <row r="7" spans="1:7" ht="15.95" customHeight="1">
      <c r="B7" s="357" t="s">
        <v>60</v>
      </c>
      <c r="C7" s="358"/>
      <c r="D7" s="357" t="s">
        <v>276</v>
      </c>
      <c r="E7" s="358"/>
      <c r="F7" s="78"/>
      <c r="G7" s="7"/>
    </row>
    <row r="8" spans="1:7" ht="15.95" customHeight="1">
      <c r="A8" s="75"/>
      <c r="B8" s="345" t="s">
        <v>78</v>
      </c>
      <c r="C8" s="346"/>
      <c r="D8" s="344" t="s">
        <v>221</v>
      </c>
      <c r="E8" s="346"/>
      <c r="F8" s="7"/>
      <c r="G8" s="7"/>
    </row>
    <row r="9" spans="1:7" ht="15.95" customHeight="1">
      <c r="A9" s="42" t="s">
        <v>94</v>
      </c>
      <c r="B9" s="189" t="s">
        <v>95</v>
      </c>
      <c r="C9" s="189" t="s">
        <v>96</v>
      </c>
      <c r="D9" s="189" t="s">
        <v>95</v>
      </c>
      <c r="E9" s="189" t="s">
        <v>96</v>
      </c>
    </row>
    <row r="10" spans="1:7" ht="5.0999999999999996" customHeight="1">
      <c r="A10" s="5"/>
    </row>
    <row r="11" spans="1:7" ht="14.1" customHeight="1">
      <c r="A11" s="330" t="s">
        <v>236</v>
      </c>
      <c r="B11" s="331">
        <v>0</v>
      </c>
      <c r="C11" s="337">
        <f>B11/'- 3 -'!$D11*100</f>
        <v>0</v>
      </c>
      <c r="D11" s="331">
        <v>121602</v>
      </c>
      <c r="E11" s="337">
        <f>D11/'- 3 -'!$D11*100</f>
        <v>0.77716308058032413</v>
      </c>
    </row>
    <row r="12" spans="1:7" ht="14.1" customHeight="1">
      <c r="A12" s="26" t="s">
        <v>237</v>
      </c>
      <c r="B12" s="27">
        <v>0</v>
      </c>
      <c r="C12" s="79">
        <f>B12/'- 3 -'!$D12*100</f>
        <v>0</v>
      </c>
      <c r="D12" s="27">
        <v>192371</v>
      </c>
      <c r="E12" s="79">
        <f>D12/'- 3 -'!$D12*100</f>
        <v>0.65144981456448903</v>
      </c>
    </row>
    <row r="13" spans="1:7" ht="14.1" customHeight="1">
      <c r="A13" s="330" t="s">
        <v>238</v>
      </c>
      <c r="B13" s="331">
        <v>4320</v>
      </c>
      <c r="C13" s="337">
        <f>B13/'- 3 -'!$D13*100</f>
        <v>5.3709173552951477E-3</v>
      </c>
      <c r="D13" s="331">
        <v>91656</v>
      </c>
      <c r="E13" s="337">
        <f>D13/'- 3 -'!$D13*100</f>
        <v>0.11395296322151204</v>
      </c>
    </row>
    <row r="14" spans="1:7" ht="14.1" customHeight="1">
      <c r="A14" s="26" t="s">
        <v>656</v>
      </c>
      <c r="B14" s="27">
        <v>4800</v>
      </c>
      <c r="C14" s="79">
        <f>B14/'- 3 -'!$D14*100</f>
        <v>6.8704530840519203E-3</v>
      </c>
      <c r="D14" s="27">
        <v>260020</v>
      </c>
      <c r="E14" s="79">
        <f>D14/'- 3 -'!$D14*100</f>
        <v>0.37217816894066258</v>
      </c>
    </row>
    <row r="15" spans="1:7" ht="14.1" customHeight="1">
      <c r="A15" s="330" t="s">
        <v>239</v>
      </c>
      <c r="B15" s="331">
        <v>0</v>
      </c>
      <c r="C15" s="337">
        <f>B15/'- 3 -'!$D15*100</f>
        <v>0</v>
      </c>
      <c r="D15" s="331">
        <v>44611</v>
      </c>
      <c r="E15" s="337">
        <f>D15/'- 3 -'!$D15*100</f>
        <v>0.23989249013524075</v>
      </c>
    </row>
    <row r="16" spans="1:7" ht="14.1" customHeight="1">
      <c r="A16" s="26" t="s">
        <v>240</v>
      </c>
      <c r="B16" s="27">
        <v>0</v>
      </c>
      <c r="C16" s="79">
        <f>B16/'- 3 -'!$D16*100</f>
        <v>0</v>
      </c>
      <c r="D16" s="27">
        <v>82187</v>
      </c>
      <c r="E16" s="79">
        <f>D16/'- 3 -'!$D16*100</f>
        <v>0.64321835356230683</v>
      </c>
    </row>
    <row r="17" spans="1:5" ht="14.1" customHeight="1">
      <c r="A17" s="330" t="s">
        <v>241</v>
      </c>
      <c r="B17" s="331">
        <v>0</v>
      </c>
      <c r="C17" s="337">
        <f>B17/'- 3 -'!$D17*100</f>
        <v>0</v>
      </c>
      <c r="D17" s="331">
        <v>41247</v>
      </c>
      <c r="E17" s="337">
        <f>D17/'- 3 -'!$D17*100</f>
        <v>0.25627218197058377</v>
      </c>
    </row>
    <row r="18" spans="1:5" ht="14.1" customHeight="1">
      <c r="A18" s="26" t="s">
        <v>242</v>
      </c>
      <c r="B18" s="27">
        <v>2332016</v>
      </c>
      <c r="C18" s="79">
        <f>B18/'- 3 -'!$D18*100</f>
        <v>2.0700624885618071</v>
      </c>
      <c r="D18" s="27">
        <v>635517</v>
      </c>
      <c r="E18" s="79">
        <f>D18/'- 3 -'!$D18*100</f>
        <v>0.56412987841564288</v>
      </c>
    </row>
    <row r="19" spans="1:5" ht="14.1" customHeight="1">
      <c r="A19" s="330" t="s">
        <v>243</v>
      </c>
      <c r="B19" s="331">
        <v>4428</v>
      </c>
      <c r="C19" s="337">
        <f>B19/'- 3 -'!$D19*100</f>
        <v>1.1364889329385291E-2</v>
      </c>
      <c r="D19" s="331">
        <v>131766</v>
      </c>
      <c r="E19" s="337">
        <f>D19/'- 3 -'!$D19*100</f>
        <v>0.33819015523391655</v>
      </c>
    </row>
    <row r="20" spans="1:5" ht="14.1" customHeight="1">
      <c r="A20" s="26" t="s">
        <v>244</v>
      </c>
      <c r="B20" s="27">
        <v>0</v>
      </c>
      <c r="C20" s="79">
        <f>B20/'- 3 -'!$D20*100</f>
        <v>0</v>
      </c>
      <c r="D20" s="27">
        <v>249240</v>
      </c>
      <c r="E20" s="79">
        <f>D20/'- 3 -'!$D20*100</f>
        <v>0.36835162558875073</v>
      </c>
    </row>
    <row r="21" spans="1:5" ht="14.1" customHeight="1">
      <c r="A21" s="330" t="s">
        <v>245</v>
      </c>
      <c r="B21" s="331">
        <v>0</v>
      </c>
      <c r="C21" s="337">
        <f>B21/'- 3 -'!$D21*100</f>
        <v>0</v>
      </c>
      <c r="D21" s="331">
        <v>103593</v>
      </c>
      <c r="E21" s="337">
        <f>D21/'- 3 -'!$D21*100</f>
        <v>0.31716924345308956</v>
      </c>
    </row>
    <row r="22" spans="1:5" ht="14.1" customHeight="1">
      <c r="A22" s="26" t="s">
        <v>246</v>
      </c>
      <c r="B22" s="27">
        <v>0</v>
      </c>
      <c r="C22" s="79">
        <f>B22/'- 3 -'!$D22*100</f>
        <v>0</v>
      </c>
      <c r="D22" s="27">
        <v>54778</v>
      </c>
      <c r="E22" s="79">
        <f>D22/'- 3 -'!$D22*100</f>
        <v>0.29490749698594398</v>
      </c>
    </row>
    <row r="23" spans="1:5" ht="14.1" customHeight="1">
      <c r="A23" s="330" t="s">
        <v>247</v>
      </c>
      <c r="B23" s="331">
        <v>0</v>
      </c>
      <c r="C23" s="337">
        <f>B23/'- 3 -'!$D23*100</f>
        <v>0</v>
      </c>
      <c r="D23" s="331">
        <v>0</v>
      </c>
      <c r="E23" s="337">
        <f>D23/'- 3 -'!$D23*100</f>
        <v>0</v>
      </c>
    </row>
    <row r="24" spans="1:5" ht="14.1" customHeight="1">
      <c r="A24" s="26" t="s">
        <v>248</v>
      </c>
      <c r="B24" s="27">
        <v>0</v>
      </c>
      <c r="C24" s="79">
        <f>B24/'- 3 -'!$D24*100</f>
        <v>0</v>
      </c>
      <c r="D24" s="27">
        <v>103723</v>
      </c>
      <c r="E24" s="79">
        <f>D24/'- 3 -'!$D24*100</f>
        <v>0.2031050161787108</v>
      </c>
    </row>
    <row r="25" spans="1:5" ht="14.1" customHeight="1">
      <c r="A25" s="330" t="s">
        <v>249</v>
      </c>
      <c r="B25" s="331">
        <v>0</v>
      </c>
      <c r="C25" s="337">
        <f>B25/'- 3 -'!$D25*100</f>
        <v>0</v>
      </c>
      <c r="D25" s="331">
        <v>102633</v>
      </c>
      <c r="E25" s="337">
        <f>D25/'- 3 -'!$D25*100</f>
        <v>6.8513641105797468E-2</v>
      </c>
    </row>
    <row r="26" spans="1:5" ht="14.1" customHeight="1">
      <c r="A26" s="26" t="s">
        <v>250</v>
      </c>
      <c r="B26" s="27">
        <v>0</v>
      </c>
      <c r="C26" s="79">
        <f>B26/'- 3 -'!$D26*100</f>
        <v>0</v>
      </c>
      <c r="D26" s="27">
        <v>197968</v>
      </c>
      <c r="E26" s="79">
        <f>D26/'- 3 -'!$D26*100</f>
        <v>0.53106042789411745</v>
      </c>
    </row>
    <row r="27" spans="1:5" ht="14.1" customHeight="1">
      <c r="A27" s="330" t="s">
        <v>251</v>
      </c>
      <c r="B27" s="331">
        <v>0</v>
      </c>
      <c r="C27" s="337">
        <f>B27/'- 3 -'!$D27*100</f>
        <v>0</v>
      </c>
      <c r="D27" s="331">
        <v>66596</v>
      </c>
      <c r="E27" s="337">
        <f>D27/'- 3 -'!$D27*100</f>
        <v>0.1826471895656005</v>
      </c>
    </row>
    <row r="28" spans="1:5" ht="14.1" customHeight="1">
      <c r="A28" s="26" t="s">
        <v>252</v>
      </c>
      <c r="B28" s="27">
        <v>0</v>
      </c>
      <c r="C28" s="79">
        <f>B28/'- 3 -'!$D28*100</f>
        <v>0</v>
      </c>
      <c r="D28" s="27">
        <v>88998</v>
      </c>
      <c r="E28" s="79">
        <f>D28/'- 3 -'!$D28*100</f>
        <v>0.34944893217196932</v>
      </c>
    </row>
    <row r="29" spans="1:5" ht="14.1" customHeight="1">
      <c r="A29" s="330" t="s">
        <v>253</v>
      </c>
      <c r="B29" s="331">
        <v>0</v>
      </c>
      <c r="C29" s="337">
        <f>B29/'- 3 -'!$D29*100</f>
        <v>0</v>
      </c>
      <c r="D29" s="331">
        <v>460482</v>
      </c>
      <c r="E29" s="337">
        <f>D29/'- 3 -'!$D29*100</f>
        <v>0.33349963339678984</v>
      </c>
    </row>
    <row r="30" spans="1:5" ht="14.1" customHeight="1">
      <c r="A30" s="26" t="s">
        <v>254</v>
      </c>
      <c r="B30" s="27">
        <v>0</v>
      </c>
      <c r="C30" s="79">
        <f>B30/'- 3 -'!$D30*100</f>
        <v>0</v>
      </c>
      <c r="D30" s="27">
        <v>39019</v>
      </c>
      <c r="E30" s="79">
        <f>D30/'- 3 -'!$D30*100</f>
        <v>0.29305862126279658</v>
      </c>
    </row>
    <row r="31" spans="1:5" ht="14.1" customHeight="1">
      <c r="A31" s="330" t="s">
        <v>255</v>
      </c>
      <c r="B31" s="331">
        <v>0</v>
      </c>
      <c r="C31" s="337">
        <f>B31/'- 3 -'!$D31*100</f>
        <v>0</v>
      </c>
      <c r="D31" s="331">
        <v>32029</v>
      </c>
      <c r="E31" s="337">
        <f>D31/'- 3 -'!$D31*100</f>
        <v>9.813220367783286E-2</v>
      </c>
    </row>
    <row r="32" spans="1:5" ht="14.1" customHeight="1">
      <c r="A32" s="26" t="s">
        <v>256</v>
      </c>
      <c r="B32" s="27">
        <v>0</v>
      </c>
      <c r="C32" s="79">
        <f>B32/'- 3 -'!$D32*100</f>
        <v>0</v>
      </c>
      <c r="D32" s="27">
        <v>112987</v>
      </c>
      <c r="E32" s="79">
        <f>D32/'- 3 -'!$D32*100</f>
        <v>0.45777802285450309</v>
      </c>
    </row>
    <row r="33" spans="1:6" ht="14.1" customHeight="1">
      <c r="A33" s="330" t="s">
        <v>257</v>
      </c>
      <c r="B33" s="331">
        <v>0</v>
      </c>
      <c r="C33" s="337">
        <f>B33/'- 3 -'!$D33*100</f>
        <v>0</v>
      </c>
      <c r="D33" s="331">
        <v>82681</v>
      </c>
      <c r="E33" s="337">
        <f>D33/'- 3 -'!$D33*100</f>
        <v>0.3275056543357473</v>
      </c>
    </row>
    <row r="34" spans="1:6" ht="14.1" customHeight="1">
      <c r="A34" s="26" t="s">
        <v>258</v>
      </c>
      <c r="B34" s="27">
        <v>0</v>
      </c>
      <c r="C34" s="79">
        <f>B34/'- 3 -'!$D34*100</f>
        <v>0</v>
      </c>
      <c r="D34" s="27">
        <v>137288</v>
      </c>
      <c r="E34" s="79">
        <f>D34/'- 3 -'!$D34*100</f>
        <v>0.56685085217970932</v>
      </c>
    </row>
    <row r="35" spans="1:6" ht="14.1" customHeight="1">
      <c r="A35" s="330" t="s">
        <v>259</v>
      </c>
      <c r="B35" s="331">
        <v>0</v>
      </c>
      <c r="C35" s="337">
        <f>B35/'- 3 -'!$D35*100</f>
        <v>0</v>
      </c>
      <c r="D35" s="331">
        <v>125968</v>
      </c>
      <c r="E35" s="337">
        <f>D35/'- 3 -'!$D35*100</f>
        <v>7.5869461907369276E-2</v>
      </c>
    </row>
    <row r="36" spans="1:6" ht="14.1" customHeight="1">
      <c r="A36" s="26" t="s">
        <v>260</v>
      </c>
      <c r="B36" s="27">
        <v>0</v>
      </c>
      <c r="C36" s="79">
        <f>B36/'- 3 -'!$D36*100</f>
        <v>0</v>
      </c>
      <c r="D36" s="27">
        <v>77049</v>
      </c>
      <c r="E36" s="79">
        <f>D36/'- 3 -'!$D36*100</f>
        <v>0.37493171580030932</v>
      </c>
    </row>
    <row r="37" spans="1:6" ht="14.1" customHeight="1">
      <c r="A37" s="330" t="s">
        <v>261</v>
      </c>
      <c r="B37" s="331">
        <v>0</v>
      </c>
      <c r="C37" s="337">
        <f>B37/'- 3 -'!$D37*100</f>
        <v>0</v>
      </c>
      <c r="D37" s="331">
        <v>104396</v>
      </c>
      <c r="E37" s="337">
        <f>D37/'- 3 -'!$D37*100</f>
        <v>0.26363911836205955</v>
      </c>
    </row>
    <row r="38" spans="1:6" ht="14.1" customHeight="1">
      <c r="A38" s="26" t="s">
        <v>262</v>
      </c>
      <c r="B38" s="27">
        <v>0</v>
      </c>
      <c r="C38" s="79">
        <f>B38/'- 3 -'!$D38*100</f>
        <v>0</v>
      </c>
      <c r="D38" s="27">
        <v>360043</v>
      </c>
      <c r="E38" s="79">
        <f>D38/'- 3 -'!$D38*100</f>
        <v>0.32721937573345189</v>
      </c>
    </row>
    <row r="39" spans="1:6" ht="14.1" customHeight="1">
      <c r="A39" s="330" t="s">
        <v>263</v>
      </c>
      <c r="B39" s="331">
        <v>0</v>
      </c>
      <c r="C39" s="337">
        <f>B39/'- 3 -'!$D39*100</f>
        <v>0</v>
      </c>
      <c r="D39" s="331">
        <v>19737</v>
      </c>
      <c r="E39" s="337">
        <f>D39/'- 3 -'!$D39*100</f>
        <v>0.10104906821311282</v>
      </c>
    </row>
    <row r="40" spans="1:6" ht="14.1" customHeight="1">
      <c r="A40" s="26" t="s">
        <v>264</v>
      </c>
      <c r="B40" s="27">
        <v>0</v>
      </c>
      <c r="C40" s="79">
        <f>B40/'- 3 -'!$D40*100</f>
        <v>0</v>
      </c>
      <c r="D40" s="27">
        <v>84485</v>
      </c>
      <c r="E40" s="79">
        <f>D40/'- 3 -'!$D40*100</f>
        <v>9.1054258832451718E-2</v>
      </c>
    </row>
    <row r="41" spans="1:6" ht="14.1" customHeight="1">
      <c r="A41" s="330" t="s">
        <v>265</v>
      </c>
      <c r="B41" s="331">
        <v>0</v>
      </c>
      <c r="C41" s="337">
        <f>B41/'- 3 -'!$D41*100</f>
        <v>0</v>
      </c>
      <c r="D41" s="331">
        <v>114263</v>
      </c>
      <c r="E41" s="337">
        <f>D41/'- 3 -'!$D41*100</f>
        <v>0.19733818740981227</v>
      </c>
    </row>
    <row r="42" spans="1:6" ht="14.1" customHeight="1">
      <c r="A42" s="26" t="s">
        <v>266</v>
      </c>
      <c r="B42" s="27">
        <v>0</v>
      </c>
      <c r="C42" s="79">
        <f>B42/'- 3 -'!$D42*100</f>
        <v>0</v>
      </c>
      <c r="D42" s="27">
        <v>64381</v>
      </c>
      <c r="E42" s="79">
        <f>D42/'- 3 -'!$D42*100</f>
        <v>0.32715919299749951</v>
      </c>
    </row>
    <row r="43" spans="1:6" ht="14.1" customHeight="1">
      <c r="A43" s="330" t="s">
        <v>267</v>
      </c>
      <c r="B43" s="331">
        <v>0</v>
      </c>
      <c r="C43" s="337">
        <f>B43/'- 3 -'!$D43*100</f>
        <v>0</v>
      </c>
      <c r="D43" s="331">
        <v>11809</v>
      </c>
      <c r="E43" s="337">
        <f>D43/'- 3 -'!$D43*100</f>
        <v>0.10140472464096167</v>
      </c>
    </row>
    <row r="44" spans="1:6" ht="14.1" customHeight="1">
      <c r="A44" s="26" t="s">
        <v>268</v>
      </c>
      <c r="B44" s="27">
        <v>0</v>
      </c>
      <c r="C44" s="79">
        <f>B44/'- 3 -'!$D44*100</f>
        <v>0</v>
      </c>
      <c r="D44" s="27">
        <v>30162</v>
      </c>
      <c r="E44" s="79">
        <f>D44/'- 3 -'!$D44*100</f>
        <v>0.30922682528868911</v>
      </c>
    </row>
    <row r="45" spans="1:6" ht="14.1" customHeight="1">
      <c r="A45" s="330" t="s">
        <v>269</v>
      </c>
      <c r="B45" s="331">
        <v>0</v>
      </c>
      <c r="C45" s="337">
        <f>B45/'- 3 -'!$D45*100</f>
        <v>0</v>
      </c>
      <c r="D45" s="331">
        <v>58909</v>
      </c>
      <c r="E45" s="337">
        <f>D45/'- 3 -'!$D45*100</f>
        <v>0.36152228073065196</v>
      </c>
    </row>
    <row r="46" spans="1:6" ht="14.1" customHeight="1">
      <c r="A46" s="26" t="s">
        <v>270</v>
      </c>
      <c r="B46" s="27">
        <v>0</v>
      </c>
      <c r="C46" s="79">
        <f>B46/'- 3 -'!$D46*100</f>
        <v>0</v>
      </c>
      <c r="D46" s="27">
        <v>388556</v>
      </c>
      <c r="E46" s="79">
        <f>D46/'- 3 -'!$D46*100</f>
        <v>0.11186665675088409</v>
      </c>
    </row>
    <row r="47" spans="1:6" ht="5.0999999999999996" customHeight="1">
      <c r="A47"/>
      <c r="B47" s="29"/>
      <c r="C47"/>
      <c r="D47" s="29"/>
      <c r="E47"/>
    </row>
    <row r="48" spans="1:6" ht="14.1" customHeight="1">
      <c r="A48" s="332" t="s">
        <v>271</v>
      </c>
      <c r="B48" s="333">
        <f>SUM(B11:B46)</f>
        <v>2345564</v>
      </c>
      <c r="C48" s="340">
        <f>B48/'- 3 -'!$D48*100</f>
        <v>0.11734119379850237</v>
      </c>
      <c r="D48" s="333">
        <f>SUM(D11:D46)</f>
        <v>4872750</v>
      </c>
      <c r="E48" s="340">
        <f>D48/'- 3 -'!$D48*100</f>
        <v>0.24376836534055454</v>
      </c>
      <c r="F48" s="5"/>
    </row>
    <row r="49" spans="1:5" ht="5.0999999999999996" customHeight="1">
      <c r="A49" s="28" t="s">
        <v>17</v>
      </c>
      <c r="B49" s="29"/>
      <c r="C49"/>
      <c r="D49" s="29"/>
      <c r="E49"/>
    </row>
    <row r="50" spans="1:5" ht="14.1" customHeight="1">
      <c r="A50" s="26" t="s">
        <v>272</v>
      </c>
      <c r="B50" s="27">
        <v>1185</v>
      </c>
      <c r="C50" s="79">
        <f>B50/'- 3 -'!$D50*100</f>
        <v>3.7363634557799022E-2</v>
      </c>
      <c r="D50" s="27">
        <v>26108</v>
      </c>
      <c r="E50" s="79">
        <f>D50/'- 3 -'!$D50*100</f>
        <v>0.82319811901689177</v>
      </c>
    </row>
    <row r="51" spans="1:5" ht="14.1" customHeight="1">
      <c r="A51" s="330" t="s">
        <v>273</v>
      </c>
      <c r="B51" s="331">
        <v>0</v>
      </c>
      <c r="C51" s="337">
        <f>B51/'- 3 -'!$D51*100</f>
        <v>0</v>
      </c>
      <c r="D51" s="331">
        <v>0</v>
      </c>
      <c r="E51" s="337">
        <f>D51/'- 3 -'!$D51*100</f>
        <v>0</v>
      </c>
    </row>
    <row r="52" spans="1:5"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29.xml><?xml version="1.0" encoding="utf-8"?>
<worksheet xmlns="http://schemas.openxmlformats.org/spreadsheetml/2006/main" xmlns:r="http://schemas.openxmlformats.org/officeDocument/2006/relationships">
  <sheetPr codeName="Sheet29">
    <pageSetUpPr fitToPage="1"/>
  </sheetPr>
  <dimension ref="A1:G52"/>
  <sheetViews>
    <sheetView showGridLines="0" showZeros="0" workbookViewId="0"/>
  </sheetViews>
  <sheetFormatPr defaultColWidth="15.83203125" defaultRowHeight="12"/>
  <cols>
    <col min="1" max="1" width="33.83203125" style="1" customWidth="1"/>
    <col min="2" max="2" width="17.83203125" style="1" customWidth="1"/>
    <col min="3" max="3" width="14.83203125" style="1" customWidth="1"/>
    <col min="4" max="4" width="18.83203125" style="1" customWidth="1"/>
    <col min="5" max="5" width="14.83203125" style="1" customWidth="1"/>
    <col min="6" max="6" width="17.83203125" style="1" customWidth="1"/>
    <col min="7" max="7" width="14.83203125" style="1" customWidth="1"/>
    <col min="8" max="16384" width="15.83203125" style="1"/>
  </cols>
  <sheetData>
    <row r="1" spans="1:7" ht="6.95" customHeight="1">
      <c r="A1" s="6"/>
      <c r="B1" s="7"/>
      <c r="C1" s="7"/>
      <c r="D1" s="7"/>
      <c r="E1" s="7"/>
      <c r="F1" s="7"/>
      <c r="G1" s="7"/>
    </row>
    <row r="2" spans="1:7" ht="15.95" customHeight="1">
      <c r="A2" s="152"/>
      <c r="B2" s="8" t="s">
        <v>492</v>
      </c>
      <c r="C2" s="9"/>
      <c r="D2" s="178"/>
      <c r="E2" s="9"/>
      <c r="F2" s="82"/>
      <c r="G2" s="523" t="s">
        <v>453</v>
      </c>
    </row>
    <row r="3" spans="1:7" ht="15.95" customHeight="1">
      <c r="A3" s="154"/>
      <c r="B3" s="10" t="str">
        <f>OPYEAR</f>
        <v>OPERATING FUND 2012/2013 ACTUAL</v>
      </c>
      <c r="C3" s="11"/>
      <c r="D3" s="179"/>
      <c r="E3" s="11"/>
      <c r="F3" s="84"/>
      <c r="G3" s="84"/>
    </row>
    <row r="4" spans="1:7" ht="15.95" customHeight="1">
      <c r="B4" s="7"/>
      <c r="C4" s="7"/>
      <c r="D4" s="7"/>
      <c r="E4" s="7"/>
      <c r="F4" s="7"/>
      <c r="G4" s="7"/>
    </row>
    <row r="5" spans="1:7" ht="15.95" customHeight="1">
      <c r="B5" s="7"/>
      <c r="C5" s="7"/>
      <c r="D5" s="7"/>
      <c r="E5" s="7"/>
      <c r="F5" s="7"/>
      <c r="G5" s="7"/>
    </row>
    <row r="6" spans="1:7" ht="15.95" customHeight="1">
      <c r="B6" s="174" t="s">
        <v>34</v>
      </c>
      <c r="C6" s="186"/>
      <c r="D6" s="187"/>
      <c r="E6" s="187"/>
      <c r="F6" s="187"/>
      <c r="G6" s="188"/>
    </row>
    <row r="7" spans="1:7" ht="15.95" customHeight="1">
      <c r="B7" s="366"/>
      <c r="C7" s="358"/>
      <c r="D7" s="360" t="s">
        <v>61</v>
      </c>
      <c r="E7" s="360"/>
      <c r="F7" s="360"/>
      <c r="G7" s="358"/>
    </row>
    <row r="8" spans="1:7" ht="15.95" customHeight="1">
      <c r="A8" s="75"/>
      <c r="B8" s="345" t="s">
        <v>44</v>
      </c>
      <c r="C8" s="346"/>
      <c r="D8" s="344" t="s">
        <v>66</v>
      </c>
      <c r="E8" s="346"/>
      <c r="F8" s="344" t="s">
        <v>234</v>
      </c>
      <c r="G8" s="346"/>
    </row>
    <row r="9" spans="1:7" ht="15.95" customHeight="1">
      <c r="A9" s="42" t="s">
        <v>94</v>
      </c>
      <c r="B9" s="189" t="s">
        <v>95</v>
      </c>
      <c r="C9" s="189" t="s">
        <v>96</v>
      </c>
      <c r="D9" s="189" t="s">
        <v>95</v>
      </c>
      <c r="E9" s="189" t="s">
        <v>96</v>
      </c>
      <c r="F9" s="189" t="s">
        <v>95</v>
      </c>
      <c r="G9" s="189" t="s">
        <v>96</v>
      </c>
    </row>
    <row r="10" spans="1:7" ht="5.0999999999999996" customHeight="1">
      <c r="A10" s="5"/>
    </row>
    <row r="11" spans="1:7" ht="14.1" customHeight="1">
      <c r="A11" s="330" t="s">
        <v>236</v>
      </c>
      <c r="B11" s="331">
        <v>57114</v>
      </c>
      <c r="C11" s="337">
        <f>B11/'- 3 -'!$D11*100</f>
        <v>0.36501778082814951</v>
      </c>
      <c r="D11" s="331">
        <v>1341010</v>
      </c>
      <c r="E11" s="337">
        <f>D11/'- 3 -'!$D11*100</f>
        <v>8.5704467252925163</v>
      </c>
      <c r="F11" s="331">
        <v>222134</v>
      </c>
      <c r="G11" s="337">
        <f>F11/'- 3 -'!$D11*100</f>
        <v>1.4196669770368064</v>
      </c>
    </row>
    <row r="12" spans="1:7" ht="14.1" customHeight="1">
      <c r="A12" s="26" t="s">
        <v>237</v>
      </c>
      <c r="B12" s="27">
        <v>80231</v>
      </c>
      <c r="C12" s="79">
        <f>B12/'- 3 -'!$D12*100</f>
        <v>0.27169620198638839</v>
      </c>
      <c r="D12" s="27">
        <v>2199092</v>
      </c>
      <c r="E12" s="79">
        <f>D12/'- 3 -'!$D12*100</f>
        <v>7.4470584215409366</v>
      </c>
      <c r="F12" s="27">
        <v>554280</v>
      </c>
      <c r="G12" s="79">
        <f>F12/'- 3 -'!$D12*100</f>
        <v>1.8770272193667705</v>
      </c>
    </row>
    <row r="13" spans="1:7" ht="14.1" customHeight="1">
      <c r="A13" s="330" t="s">
        <v>238</v>
      </c>
      <c r="B13" s="331">
        <v>227332</v>
      </c>
      <c r="C13" s="337">
        <f>B13/'- 3 -'!$D13*100</f>
        <v>0.28263457967915656</v>
      </c>
      <c r="D13" s="331">
        <v>5650003</v>
      </c>
      <c r="E13" s="337">
        <f>D13/'- 3 -'!$D13*100</f>
        <v>7.0244674005022336</v>
      </c>
      <c r="F13" s="331">
        <v>423856</v>
      </c>
      <c r="G13" s="337">
        <f>F13/'- 3 -'!$D13*100</f>
        <v>0.5269665617004583</v>
      </c>
    </row>
    <row r="14" spans="1:7" ht="14.1" customHeight="1">
      <c r="A14" s="26" t="s">
        <v>656</v>
      </c>
      <c r="B14" s="27">
        <v>260473</v>
      </c>
      <c r="C14" s="79">
        <f>B14/'- 3 -'!$D14*100</f>
        <v>0.37282656795046998</v>
      </c>
      <c r="D14" s="27">
        <v>6014139</v>
      </c>
      <c r="E14" s="79">
        <f>D14/'- 3 -'!$D14*100</f>
        <v>8.608304133430611</v>
      </c>
      <c r="F14" s="27">
        <v>650379</v>
      </c>
      <c r="G14" s="79">
        <f>F14/'- 3 -'!$D14*100</f>
        <v>0.93091633465679258</v>
      </c>
    </row>
    <row r="15" spans="1:7" ht="14.1" customHeight="1">
      <c r="A15" s="330" t="s">
        <v>239</v>
      </c>
      <c r="B15" s="331">
        <v>75591</v>
      </c>
      <c r="C15" s="337">
        <f>B15/'- 3 -'!$D15*100</f>
        <v>0.40648524403875685</v>
      </c>
      <c r="D15" s="331">
        <v>1843999</v>
      </c>
      <c r="E15" s="337">
        <f>D15/'- 3 -'!$D15*100</f>
        <v>9.9159739059176832</v>
      </c>
      <c r="F15" s="331">
        <v>360796</v>
      </c>
      <c r="G15" s="337">
        <f>F15/'- 3 -'!$D15*100</f>
        <v>1.9401549140533572</v>
      </c>
    </row>
    <row r="16" spans="1:7" ht="14.1" customHeight="1">
      <c r="A16" s="26" t="s">
        <v>240</v>
      </c>
      <c r="B16" s="27">
        <v>70757</v>
      </c>
      <c r="C16" s="79">
        <f>B16/'- 3 -'!$D16*100</f>
        <v>0.55376398996201515</v>
      </c>
      <c r="D16" s="27">
        <v>1637450</v>
      </c>
      <c r="E16" s="79">
        <f>D16/'- 3 -'!$D16*100</f>
        <v>12.815139779291119</v>
      </c>
      <c r="F16" s="27">
        <v>134008</v>
      </c>
      <c r="G16" s="79">
        <f>F16/'- 3 -'!$D16*100</f>
        <v>1.0487839332762796</v>
      </c>
    </row>
    <row r="17" spans="1:7" ht="14.1" customHeight="1">
      <c r="A17" s="330" t="s">
        <v>241</v>
      </c>
      <c r="B17" s="331">
        <v>69211</v>
      </c>
      <c r="C17" s="337">
        <f>B17/'- 3 -'!$D17*100</f>
        <v>0.43001561292617824</v>
      </c>
      <c r="D17" s="331">
        <v>1375127</v>
      </c>
      <c r="E17" s="337">
        <f>D17/'- 3 -'!$D17*100</f>
        <v>8.5438164418421447</v>
      </c>
      <c r="F17" s="331">
        <v>166354</v>
      </c>
      <c r="G17" s="337">
        <f>F17/'- 3 -'!$D17*100</f>
        <v>1.0335758372617279</v>
      </c>
    </row>
    <row r="18" spans="1:7" ht="14.1" customHeight="1">
      <c r="A18" s="26" t="s">
        <v>242</v>
      </c>
      <c r="B18" s="27">
        <v>633424</v>
      </c>
      <c r="C18" s="79">
        <f>B18/'- 3 -'!$D18*100</f>
        <v>0.56227198344898743</v>
      </c>
      <c r="D18" s="27">
        <v>14522869</v>
      </c>
      <c r="E18" s="79">
        <f>D18/'- 3 -'!$D18*100</f>
        <v>12.891526620399313</v>
      </c>
      <c r="F18" s="27">
        <v>910973</v>
      </c>
      <c r="G18" s="79">
        <f>F18/'- 3 -'!$D18*100</f>
        <v>0.80864412396510787</v>
      </c>
    </row>
    <row r="19" spans="1:7" ht="14.1" customHeight="1">
      <c r="A19" s="330" t="s">
        <v>243</v>
      </c>
      <c r="B19" s="331">
        <v>106007</v>
      </c>
      <c r="C19" s="337">
        <f>B19/'- 3 -'!$D19*100</f>
        <v>0.27207719583110812</v>
      </c>
      <c r="D19" s="331">
        <v>3296178</v>
      </c>
      <c r="E19" s="337">
        <f>D19/'- 3 -'!$D19*100</f>
        <v>8.4599589385624547</v>
      </c>
      <c r="F19" s="331">
        <v>103211</v>
      </c>
      <c r="G19" s="337">
        <f>F19/'- 3 -'!$D19*100</f>
        <v>0.26490099199981604</v>
      </c>
    </row>
    <row r="20" spans="1:7" ht="14.1" customHeight="1">
      <c r="A20" s="26" t="s">
        <v>244</v>
      </c>
      <c r="B20" s="27">
        <v>163902</v>
      </c>
      <c r="C20" s="79">
        <f>B20/'- 3 -'!$D20*100</f>
        <v>0.24223065373634822</v>
      </c>
      <c r="D20" s="27">
        <v>5459359</v>
      </c>
      <c r="E20" s="79">
        <f>D20/'- 3 -'!$D20*100</f>
        <v>8.0683829334078663</v>
      </c>
      <c r="F20" s="27">
        <v>638077</v>
      </c>
      <c r="G20" s="79">
        <f>F20/'- 3 -'!$D20*100</f>
        <v>0.9430135620317498</v>
      </c>
    </row>
    <row r="21" spans="1:7" ht="14.1" customHeight="1">
      <c r="A21" s="330" t="s">
        <v>245</v>
      </c>
      <c r="B21" s="331">
        <v>175206</v>
      </c>
      <c r="C21" s="337">
        <f>B21/'- 3 -'!$D21*100</f>
        <v>0.536425766880407</v>
      </c>
      <c r="D21" s="331">
        <v>2654182</v>
      </c>
      <c r="E21" s="337">
        <f>D21/'- 3 -'!$D21*100</f>
        <v>8.1262720157424546</v>
      </c>
      <c r="F21" s="331">
        <v>378096</v>
      </c>
      <c r="G21" s="337">
        <f>F21/'- 3 -'!$D21*100</f>
        <v>1.1576112504960696</v>
      </c>
    </row>
    <row r="22" spans="1:7" ht="14.1" customHeight="1">
      <c r="A22" s="26" t="s">
        <v>246</v>
      </c>
      <c r="B22" s="27">
        <v>80029</v>
      </c>
      <c r="C22" s="79">
        <f>B22/'- 3 -'!$D22*100</f>
        <v>0.43085092694673244</v>
      </c>
      <c r="D22" s="27">
        <v>1909664</v>
      </c>
      <c r="E22" s="79">
        <f>D22/'- 3 -'!$D22*100</f>
        <v>10.281029433790312</v>
      </c>
      <c r="F22" s="27">
        <v>66566</v>
      </c>
      <c r="G22" s="79">
        <f>F22/'- 3 -'!$D22*100</f>
        <v>0.35837037577798286</v>
      </c>
    </row>
    <row r="23" spans="1:7" ht="14.1" customHeight="1">
      <c r="A23" s="330" t="s">
        <v>247</v>
      </c>
      <c r="B23" s="331">
        <v>59363</v>
      </c>
      <c r="C23" s="337">
        <f>B23/'- 3 -'!$D23*100</f>
        <v>0.36933014947347292</v>
      </c>
      <c r="D23" s="331">
        <v>1121487</v>
      </c>
      <c r="E23" s="337">
        <f>D23/'- 3 -'!$D23*100</f>
        <v>6.9773926746046655</v>
      </c>
      <c r="F23" s="331">
        <v>271526</v>
      </c>
      <c r="G23" s="337">
        <f>F23/'- 3 -'!$D23*100</f>
        <v>1.6893138514888772</v>
      </c>
    </row>
    <row r="24" spans="1:7" ht="14.1" customHeight="1">
      <c r="A24" s="26" t="s">
        <v>248</v>
      </c>
      <c r="B24" s="27">
        <v>220142</v>
      </c>
      <c r="C24" s="79">
        <f>B24/'- 3 -'!$D24*100</f>
        <v>0.43107068318129782</v>
      </c>
      <c r="D24" s="27">
        <v>4503568</v>
      </c>
      <c r="E24" s="79">
        <f>D24/'- 3 -'!$D24*100</f>
        <v>8.8186540256444967</v>
      </c>
      <c r="F24" s="27">
        <v>238032</v>
      </c>
      <c r="G24" s="79">
        <f>F24/'- 3 -'!$D24*100</f>
        <v>0.46610195627826889</v>
      </c>
    </row>
    <row r="25" spans="1:7" ht="14.1" customHeight="1">
      <c r="A25" s="330" t="s">
        <v>249</v>
      </c>
      <c r="B25" s="331">
        <v>550836</v>
      </c>
      <c r="C25" s="337">
        <f>B25/'- 3 -'!$D25*100</f>
        <v>0.36771584200162766</v>
      </c>
      <c r="D25" s="331">
        <v>14872978</v>
      </c>
      <c r="E25" s="337">
        <f>D25/'- 3 -'!$D25*100</f>
        <v>9.9285987632284112</v>
      </c>
      <c r="F25" s="331">
        <v>649858</v>
      </c>
      <c r="G25" s="337">
        <f>F25/'- 3 -'!$D25*100</f>
        <v>0.43381892550867002</v>
      </c>
    </row>
    <row r="26" spans="1:7" ht="14.1" customHeight="1">
      <c r="A26" s="26" t="s">
        <v>250</v>
      </c>
      <c r="B26" s="27">
        <v>124745</v>
      </c>
      <c r="C26" s="79">
        <f>B26/'- 3 -'!$D26*100</f>
        <v>0.33463556270534472</v>
      </c>
      <c r="D26" s="27">
        <v>3884789</v>
      </c>
      <c r="E26" s="79">
        <f>D26/'- 3 -'!$D26*100</f>
        <v>10.421167605968442</v>
      </c>
      <c r="F26" s="27">
        <v>227564</v>
      </c>
      <c r="G26" s="79">
        <f>F26/'- 3 -'!$D26*100</f>
        <v>0.61045338243199376</v>
      </c>
    </row>
    <row r="27" spans="1:7" ht="14.1" customHeight="1">
      <c r="A27" s="330" t="s">
        <v>251</v>
      </c>
      <c r="B27" s="331">
        <v>197188</v>
      </c>
      <c r="C27" s="337">
        <f>B27/'- 3 -'!$D27*100</f>
        <v>0.54081076965676067</v>
      </c>
      <c r="D27" s="331">
        <v>3696348</v>
      </c>
      <c r="E27" s="337">
        <f>D27/'- 3 -'!$D27*100</f>
        <v>10.137659526944985</v>
      </c>
      <c r="F27" s="331">
        <v>298950</v>
      </c>
      <c r="G27" s="337">
        <f>F27/'- 3 -'!$D27*100</f>
        <v>0.81990475885392911</v>
      </c>
    </row>
    <row r="28" spans="1:7" ht="14.1" customHeight="1">
      <c r="A28" s="26" t="s">
        <v>252</v>
      </c>
      <c r="B28" s="27">
        <v>40724</v>
      </c>
      <c r="C28" s="79">
        <f>B28/'- 3 -'!$D28*100</f>
        <v>0.15990200132330254</v>
      </c>
      <c r="D28" s="27">
        <v>2766350</v>
      </c>
      <c r="E28" s="79">
        <f>D28/'- 3 -'!$D28*100</f>
        <v>10.862019972515419</v>
      </c>
      <c r="F28" s="27">
        <v>113025</v>
      </c>
      <c r="G28" s="79">
        <f>F28/'- 3 -'!$D28*100</f>
        <v>0.44379048471580074</v>
      </c>
    </row>
    <row r="29" spans="1:7" ht="14.1" customHeight="1">
      <c r="A29" s="330" t="s">
        <v>253</v>
      </c>
      <c r="B29" s="331">
        <v>872823</v>
      </c>
      <c r="C29" s="337">
        <f>B29/'- 3 -'!$D29*100</f>
        <v>0.63213361330146733</v>
      </c>
      <c r="D29" s="331">
        <v>11992671</v>
      </c>
      <c r="E29" s="337">
        <f>D29/'- 3 -'!$D29*100</f>
        <v>8.6855759442243397</v>
      </c>
      <c r="F29" s="331">
        <v>1741170</v>
      </c>
      <c r="G29" s="337">
        <f>F29/'- 3 -'!$D29*100</f>
        <v>1.2610255269076502</v>
      </c>
    </row>
    <row r="30" spans="1:7" ht="14.1" customHeight="1">
      <c r="A30" s="26" t="s">
        <v>254</v>
      </c>
      <c r="B30" s="27">
        <v>53551</v>
      </c>
      <c r="C30" s="79">
        <f>B30/'- 3 -'!$D30*100</f>
        <v>0.40220359894523233</v>
      </c>
      <c r="D30" s="27">
        <v>1091004</v>
      </c>
      <c r="E30" s="79">
        <f>D30/'- 3 -'!$D30*100</f>
        <v>8.1941650998794469</v>
      </c>
      <c r="F30" s="27">
        <v>328926</v>
      </c>
      <c r="G30" s="79">
        <f>F30/'- 3 -'!$D30*100</f>
        <v>2.4704528577740748</v>
      </c>
    </row>
    <row r="31" spans="1:7" ht="14.1" customHeight="1">
      <c r="A31" s="330" t="s">
        <v>255</v>
      </c>
      <c r="B31" s="331">
        <v>88498</v>
      </c>
      <c r="C31" s="337">
        <f>B31/'- 3 -'!$D31*100</f>
        <v>0.27114501736179247</v>
      </c>
      <c r="D31" s="331">
        <v>3081044</v>
      </c>
      <c r="E31" s="337">
        <f>D31/'- 3 -'!$D31*100</f>
        <v>9.4398712837854717</v>
      </c>
      <c r="F31" s="331">
        <v>127142</v>
      </c>
      <c r="G31" s="337">
        <f>F31/'- 3 -'!$D31*100</f>
        <v>0.38954462018817398</v>
      </c>
    </row>
    <row r="32" spans="1:7" ht="14.1" customHeight="1">
      <c r="A32" s="26" t="s">
        <v>256</v>
      </c>
      <c r="B32" s="27">
        <v>81661</v>
      </c>
      <c r="C32" s="79">
        <f>B32/'- 3 -'!$D32*100</f>
        <v>0.33085763073912555</v>
      </c>
      <c r="D32" s="27">
        <v>2132509</v>
      </c>
      <c r="E32" s="79">
        <f>D32/'- 3 -'!$D32*100</f>
        <v>8.6400714572422785</v>
      </c>
      <c r="F32" s="27">
        <v>317763</v>
      </c>
      <c r="G32" s="79">
        <f>F32/'- 3 -'!$D32*100</f>
        <v>1.2874482717154669</v>
      </c>
    </row>
    <row r="33" spans="1:7" ht="14.1" customHeight="1">
      <c r="A33" s="330" t="s">
        <v>257</v>
      </c>
      <c r="B33" s="331">
        <v>79370</v>
      </c>
      <c r="C33" s="337">
        <f>B33/'- 3 -'!$D33*100</f>
        <v>0.31439053451975985</v>
      </c>
      <c r="D33" s="331">
        <v>2577714</v>
      </c>
      <c r="E33" s="337">
        <f>D33/'- 3 -'!$D33*100</f>
        <v>10.210518864798642</v>
      </c>
      <c r="F33" s="331">
        <v>430882</v>
      </c>
      <c r="G33" s="337">
        <f>F33/'- 3 -'!$D33*100</f>
        <v>1.7067559820453972</v>
      </c>
    </row>
    <row r="34" spans="1:7" ht="14.1" customHeight="1">
      <c r="A34" s="26" t="s">
        <v>258</v>
      </c>
      <c r="B34" s="27">
        <v>62690</v>
      </c>
      <c r="C34" s="79">
        <f>B34/'- 3 -'!$D34*100</f>
        <v>0.25884185014819927</v>
      </c>
      <c r="D34" s="27">
        <v>1995779</v>
      </c>
      <c r="E34" s="79">
        <f>D34/'- 3 -'!$D34*100</f>
        <v>8.2404072235910508</v>
      </c>
      <c r="F34" s="27">
        <v>301123</v>
      </c>
      <c r="G34" s="79">
        <f>F34/'- 3 -'!$D34*100</f>
        <v>1.2433120823444919</v>
      </c>
    </row>
    <row r="35" spans="1:7" ht="14.1" customHeight="1">
      <c r="A35" s="330" t="s">
        <v>259</v>
      </c>
      <c r="B35" s="331">
        <v>734997</v>
      </c>
      <c r="C35" s="337">
        <f>B35/'- 3 -'!$D35*100</f>
        <v>0.44268248200757887</v>
      </c>
      <c r="D35" s="331">
        <v>16614207</v>
      </c>
      <c r="E35" s="337">
        <f>D35/'- 3 -'!$D35*100</f>
        <v>10.006596477737585</v>
      </c>
      <c r="F35" s="331">
        <v>885370</v>
      </c>
      <c r="G35" s="337">
        <f>F35/'- 3 -'!$D35*100</f>
        <v>0.5332508691804867</v>
      </c>
    </row>
    <row r="36" spans="1:7" ht="14.1" customHeight="1">
      <c r="A36" s="26" t="s">
        <v>260</v>
      </c>
      <c r="B36" s="27">
        <v>58097</v>
      </c>
      <c r="C36" s="79">
        <f>B36/'- 3 -'!$D36*100</f>
        <v>0.28270850877818748</v>
      </c>
      <c r="D36" s="27">
        <v>1992169</v>
      </c>
      <c r="E36" s="79">
        <f>D36/'- 3 -'!$D36*100</f>
        <v>9.6941860547727607</v>
      </c>
      <c r="F36" s="27">
        <v>157598</v>
      </c>
      <c r="G36" s="79">
        <f>F36/'- 3 -'!$D36*100</f>
        <v>0.76689494408359815</v>
      </c>
    </row>
    <row r="37" spans="1:7" ht="14.1" customHeight="1">
      <c r="A37" s="330" t="s">
        <v>261</v>
      </c>
      <c r="B37" s="331">
        <v>105336</v>
      </c>
      <c r="C37" s="337">
        <f>B37/'- 3 -'!$D37*100</f>
        <v>0.26601297149110986</v>
      </c>
      <c r="D37" s="331">
        <v>3342666</v>
      </c>
      <c r="E37" s="337">
        <f>D37/'- 3 -'!$D37*100</f>
        <v>8.4414873866702944</v>
      </c>
      <c r="F37" s="331">
        <v>302910</v>
      </c>
      <c r="G37" s="337">
        <f>F37/'- 3 -'!$D37*100</f>
        <v>0.76496154395811577</v>
      </c>
    </row>
    <row r="38" spans="1:7" ht="14.1" customHeight="1">
      <c r="A38" s="26" t="s">
        <v>262</v>
      </c>
      <c r="B38" s="27">
        <v>485793</v>
      </c>
      <c r="C38" s="79">
        <f>B38/'- 3 -'!$D38*100</f>
        <v>0.44150527074732959</v>
      </c>
      <c r="D38" s="27">
        <v>8864580</v>
      </c>
      <c r="E38" s="79">
        <f>D38/'- 3 -'!$D38*100</f>
        <v>8.0564330753250104</v>
      </c>
      <c r="F38" s="27">
        <v>680675</v>
      </c>
      <c r="G38" s="79">
        <f>F38/'- 3 -'!$D38*100</f>
        <v>0.61862068857710706</v>
      </c>
    </row>
    <row r="39" spans="1:7" ht="14.1" customHeight="1">
      <c r="A39" s="330" t="s">
        <v>263</v>
      </c>
      <c r="B39" s="331">
        <v>70195</v>
      </c>
      <c r="C39" s="337">
        <f>B39/'- 3 -'!$D39*100</f>
        <v>0.35938285166030576</v>
      </c>
      <c r="D39" s="331">
        <v>1749063</v>
      </c>
      <c r="E39" s="337">
        <f>D39/'- 3 -'!$D39*100</f>
        <v>8.9548151388778319</v>
      </c>
      <c r="F39" s="331">
        <v>62334</v>
      </c>
      <c r="G39" s="337">
        <f>F39/'- 3 -'!$D39*100</f>
        <v>0.31913627288828977</v>
      </c>
    </row>
    <row r="40" spans="1:7" ht="14.1" customHeight="1">
      <c r="A40" s="26" t="s">
        <v>264</v>
      </c>
      <c r="B40" s="27">
        <v>413264</v>
      </c>
      <c r="C40" s="79">
        <f>B40/'- 3 -'!$D40*100</f>
        <v>0.44539796676492072</v>
      </c>
      <c r="D40" s="27">
        <v>7414776</v>
      </c>
      <c r="E40" s="79">
        <f>D40/'- 3 -'!$D40*100</f>
        <v>7.9913231116606616</v>
      </c>
      <c r="F40" s="27">
        <v>1385030</v>
      </c>
      <c r="G40" s="79">
        <f>F40/'- 3 -'!$D40*100</f>
        <v>1.4927251004404403</v>
      </c>
    </row>
    <row r="41" spans="1:7" ht="14.1" customHeight="1">
      <c r="A41" s="330" t="s">
        <v>265</v>
      </c>
      <c r="B41" s="331">
        <v>181471</v>
      </c>
      <c r="C41" s="337">
        <f>B41/'- 3 -'!$D41*100</f>
        <v>0.3134099245376547</v>
      </c>
      <c r="D41" s="331">
        <v>4143998</v>
      </c>
      <c r="E41" s="337">
        <f>D41/'- 3 -'!$D41*100</f>
        <v>7.1569016562656946</v>
      </c>
      <c r="F41" s="331">
        <v>856991</v>
      </c>
      <c r="G41" s="337">
        <f>F41/'- 3 -'!$D41*100</f>
        <v>1.4800683560428347</v>
      </c>
    </row>
    <row r="42" spans="1:7" ht="14.1" customHeight="1">
      <c r="A42" s="26" t="s">
        <v>266</v>
      </c>
      <c r="B42" s="27">
        <v>50484</v>
      </c>
      <c r="C42" s="79">
        <f>B42/'- 3 -'!$D42*100</f>
        <v>0.25654004596520347</v>
      </c>
      <c r="D42" s="27">
        <v>1657305</v>
      </c>
      <c r="E42" s="79">
        <f>D42/'- 3 -'!$D42*100</f>
        <v>8.4217791949600169</v>
      </c>
      <c r="F42" s="27">
        <v>134013</v>
      </c>
      <c r="G42" s="79">
        <f>F42/'- 3 -'!$D42*100</f>
        <v>0.68100192496503464</v>
      </c>
    </row>
    <row r="43" spans="1:7" ht="14.1" customHeight="1">
      <c r="A43" s="330" t="s">
        <v>267</v>
      </c>
      <c r="B43" s="331">
        <v>21865</v>
      </c>
      <c r="C43" s="337">
        <f>B43/'- 3 -'!$D43*100</f>
        <v>0.18775631334360462</v>
      </c>
      <c r="D43" s="331">
        <v>744644</v>
      </c>
      <c r="E43" s="337">
        <f>D43/'- 3 -'!$D43*100</f>
        <v>6.3943110996311505</v>
      </c>
      <c r="F43" s="331">
        <v>54058</v>
      </c>
      <c r="G43" s="337">
        <f>F43/'- 3 -'!$D43*100</f>
        <v>0.46419989877560391</v>
      </c>
    </row>
    <row r="44" spans="1:7" ht="14.1" customHeight="1">
      <c r="A44" s="26" t="s">
        <v>268</v>
      </c>
      <c r="B44" s="27">
        <v>28480</v>
      </c>
      <c r="C44" s="79">
        <f>B44/'- 3 -'!$D44*100</f>
        <v>0.29198262662362795</v>
      </c>
      <c r="D44" s="27">
        <v>886757</v>
      </c>
      <c r="E44" s="79">
        <f>D44/'- 3 -'!$D44*100</f>
        <v>9.0912092007334433</v>
      </c>
      <c r="F44" s="27">
        <v>73300</v>
      </c>
      <c r="G44" s="79">
        <f>F44/'- 3 -'!$D44*100</f>
        <v>0.75148618439297499</v>
      </c>
    </row>
    <row r="45" spans="1:7" ht="14.1" customHeight="1">
      <c r="A45" s="330" t="s">
        <v>269</v>
      </c>
      <c r="B45" s="331">
        <v>71654</v>
      </c>
      <c r="C45" s="337">
        <f>B45/'- 3 -'!$D45*100</f>
        <v>0.43973785845073138</v>
      </c>
      <c r="D45" s="331">
        <v>1319233</v>
      </c>
      <c r="E45" s="337">
        <f>D45/'- 3 -'!$D45*100</f>
        <v>8.096082482729976</v>
      </c>
      <c r="F45" s="331">
        <v>135408</v>
      </c>
      <c r="G45" s="337">
        <f>F45/'- 3 -'!$D45*100</f>
        <v>0.83099371894237073</v>
      </c>
    </row>
    <row r="46" spans="1:7" ht="14.1" customHeight="1">
      <c r="A46" s="26" t="s">
        <v>270</v>
      </c>
      <c r="B46" s="27">
        <v>922385</v>
      </c>
      <c r="C46" s="79">
        <f>B46/'- 3 -'!$D46*100</f>
        <v>0.26555792778174636</v>
      </c>
      <c r="D46" s="27">
        <v>34706043</v>
      </c>
      <c r="E46" s="79">
        <f>D46/'- 3 -'!$D46*100</f>
        <v>9.9919934307086322</v>
      </c>
      <c r="F46" s="27">
        <v>4420725</v>
      </c>
      <c r="G46" s="79">
        <f>F46/'- 3 -'!$D46*100</f>
        <v>1.2727424776996163</v>
      </c>
    </row>
    <row r="47" spans="1:7" ht="5.0999999999999996" customHeight="1">
      <c r="A47"/>
      <c r="B47" s="29"/>
      <c r="C47"/>
      <c r="D47" s="29"/>
      <c r="E47"/>
      <c r="F47" s="29"/>
      <c r="G47"/>
    </row>
    <row r="48" spans="1:7" ht="14.1" customHeight="1">
      <c r="A48" s="332" t="s">
        <v>271</v>
      </c>
      <c r="B48" s="333">
        <f>SUM(B11:B46)</f>
        <v>7574889</v>
      </c>
      <c r="C48" s="340">
        <f>B48/'- 3 -'!$D48*100</f>
        <v>0.37894788551970604</v>
      </c>
      <c r="D48" s="333">
        <f>SUM(D11:D46)</f>
        <v>185054754</v>
      </c>
      <c r="E48" s="340">
        <f>D48/'- 3 -'!$D48*100</f>
        <v>9.2577076355401875</v>
      </c>
      <c r="F48" s="333">
        <f>SUM(F11:F46)</f>
        <v>18803103</v>
      </c>
      <c r="G48" s="340">
        <f>F48/'- 3 -'!$D48*100</f>
        <v>0.94066013680982541</v>
      </c>
    </row>
    <row r="49" spans="1:7" ht="5.0999999999999996" customHeight="1">
      <c r="A49" s="28" t="s">
        <v>17</v>
      </c>
      <c r="B49" s="29"/>
      <c r="C49"/>
      <c r="D49" s="29"/>
      <c r="E49"/>
      <c r="F49" s="29"/>
      <c r="G49"/>
    </row>
    <row r="50" spans="1:7" ht="14.1" customHeight="1">
      <c r="A50" s="26" t="s">
        <v>272</v>
      </c>
      <c r="B50" s="27">
        <v>0</v>
      </c>
      <c r="C50" s="79">
        <f>B50/'- 3 -'!$D50*100</f>
        <v>0</v>
      </c>
      <c r="D50" s="27">
        <v>525169</v>
      </c>
      <c r="E50" s="79">
        <f>D50/'- 3 -'!$D50*100</f>
        <v>16.558837634670677</v>
      </c>
      <c r="F50" s="27">
        <v>0</v>
      </c>
      <c r="G50" s="79">
        <f>F50/'- 3 -'!$D50*100</f>
        <v>0</v>
      </c>
    </row>
    <row r="51" spans="1:7" ht="14.1" customHeight="1">
      <c r="A51" s="330" t="s">
        <v>273</v>
      </c>
      <c r="B51" s="331">
        <v>118209</v>
      </c>
      <c r="C51" s="337">
        <f>B51/'- 3 -'!$D51*100</f>
        <v>0.65360792581373939</v>
      </c>
      <c r="D51" s="331">
        <v>1759005</v>
      </c>
      <c r="E51" s="337">
        <f>D51/'- 3 -'!$D51*100</f>
        <v>9.7259904875770591</v>
      </c>
      <c r="F51" s="331">
        <v>24030</v>
      </c>
      <c r="G51" s="337">
        <f>F51/'- 3 -'!$D51*100</f>
        <v>0.13286804268121849</v>
      </c>
    </row>
    <row r="52" spans="1:7"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3.xml><?xml version="1.0" encoding="utf-8"?>
<worksheet xmlns="http://schemas.openxmlformats.org/spreadsheetml/2006/main" xmlns:r="http://schemas.openxmlformats.org/officeDocument/2006/relationships">
  <sheetPr transitionEntry="1" codeName="Sheet1">
    <pageSetUpPr fitToPage="1"/>
  </sheetPr>
  <dimension ref="A1:G58"/>
  <sheetViews>
    <sheetView showGridLines="0" showZeros="0" workbookViewId="0"/>
  </sheetViews>
  <sheetFormatPr defaultColWidth="15.83203125" defaultRowHeight="12"/>
  <cols>
    <col min="1" max="1" width="32.83203125" style="1" customWidth="1"/>
    <col min="2" max="2" width="18.83203125" style="1" customWidth="1"/>
    <col min="3" max="3" width="19.83203125" style="1" customWidth="1"/>
    <col min="4" max="4" width="21.83203125" style="1" customWidth="1"/>
    <col min="5" max="5" width="19.83203125" style="1" customWidth="1"/>
    <col min="6" max="6" width="20.83203125" style="1" customWidth="1"/>
    <col min="7" max="16384" width="15.83203125" style="1"/>
  </cols>
  <sheetData>
    <row r="1" spans="1:6" ht="6.95" customHeight="1">
      <c r="A1" s="6"/>
      <c r="B1" s="7"/>
      <c r="C1" s="7"/>
      <c r="D1" s="7"/>
      <c r="E1" s="7"/>
      <c r="F1" s="7"/>
    </row>
    <row r="2" spans="1:6" ht="15.95" customHeight="1">
      <c r="A2" s="8" t="s">
        <v>473</v>
      </c>
      <c r="B2" s="9"/>
      <c r="C2" s="9"/>
      <c r="D2" s="9"/>
      <c r="E2" s="9"/>
      <c r="F2" s="9"/>
    </row>
    <row r="3" spans="1:6" ht="15.95" customHeight="1">
      <c r="A3" s="10" t="str">
        <f>"OPERATING FUND "&amp;FALLYR&amp;"/"&amp;SPRINGYR&amp;" ACTUAL"</f>
        <v>OPERATING FUND 2012/2013 ACTUAL</v>
      </c>
      <c r="B3" s="11"/>
      <c r="C3" s="12"/>
      <c r="D3" s="11"/>
      <c r="E3" s="11"/>
      <c r="F3" s="11"/>
    </row>
    <row r="4" spans="1:6" ht="15.95" customHeight="1">
      <c r="B4" s="7"/>
      <c r="C4" s="7"/>
      <c r="D4" s="7"/>
      <c r="E4" s="7"/>
      <c r="F4" s="7"/>
    </row>
    <row r="5" spans="1:6" ht="15.95" customHeight="1">
      <c r="B5" s="7"/>
      <c r="C5" s="7"/>
      <c r="D5" s="7"/>
      <c r="E5" s="7"/>
      <c r="F5" s="7"/>
    </row>
    <row r="6" spans="1:6" ht="15.95" customHeight="1">
      <c r="B6" s="13"/>
      <c r="C6" s="14" t="s">
        <v>42</v>
      </c>
      <c r="D6" s="15"/>
      <c r="E6" s="16" t="s">
        <v>42</v>
      </c>
      <c r="F6" s="16" t="s">
        <v>43</v>
      </c>
    </row>
    <row r="7" spans="1:6" ht="15.95" customHeight="1">
      <c r="B7" s="13"/>
      <c r="C7" s="17" t="s">
        <v>122</v>
      </c>
      <c r="D7" s="18"/>
      <c r="E7" s="19" t="s">
        <v>422</v>
      </c>
      <c r="F7" s="536" t="s">
        <v>277</v>
      </c>
    </row>
    <row r="8" spans="1:6" ht="15.95" customHeight="1">
      <c r="A8" s="20"/>
      <c r="B8" s="21" t="s">
        <v>68</v>
      </c>
      <c r="C8" s="17" t="s">
        <v>135</v>
      </c>
      <c r="D8" s="19" t="s">
        <v>488</v>
      </c>
      <c r="E8" s="19" t="s">
        <v>90</v>
      </c>
      <c r="F8" s="19" t="s">
        <v>91</v>
      </c>
    </row>
    <row r="9" spans="1:6" ht="14.25">
      <c r="A9" s="22" t="s">
        <v>94</v>
      </c>
      <c r="B9" s="23" t="s">
        <v>390</v>
      </c>
      <c r="C9" s="23" t="s">
        <v>391</v>
      </c>
      <c r="D9" s="535" t="s">
        <v>487</v>
      </c>
      <c r="E9" s="24" t="s">
        <v>392</v>
      </c>
      <c r="F9" s="24" t="s">
        <v>393</v>
      </c>
    </row>
    <row r="10" spans="1:6" ht="5.0999999999999996" customHeight="1">
      <c r="A10" s="25"/>
    </row>
    <row r="11" spans="1:6" ht="14.1" customHeight="1">
      <c r="A11" s="330" t="s">
        <v>236</v>
      </c>
      <c r="B11" s="331">
        <v>15693879</v>
      </c>
      <c r="C11" s="331">
        <f>-Data!K11</f>
        <v>-46970</v>
      </c>
      <c r="D11" s="331">
        <f>B11+C11</f>
        <v>15646909</v>
      </c>
      <c r="E11" s="331">
        <f>-'- 15 -'!H11-'- 16 -'!B11</f>
        <v>-19037</v>
      </c>
      <c r="F11" s="331">
        <f>D11+E11</f>
        <v>15627872</v>
      </c>
    </row>
    <row r="12" spans="1:6" ht="14.1" customHeight="1">
      <c r="A12" s="26" t="s">
        <v>237</v>
      </c>
      <c r="B12" s="27">
        <v>29886560</v>
      </c>
      <c r="C12" s="27">
        <f>-Data!K12</f>
        <v>-356887</v>
      </c>
      <c r="D12" s="27">
        <f t="shared" ref="D12:D46" si="0">B12+C12</f>
        <v>29529673</v>
      </c>
      <c r="E12" s="27">
        <f>-'- 15 -'!H12-'- 16 -'!B12</f>
        <v>-588024</v>
      </c>
      <c r="F12" s="27">
        <f t="shared" ref="F12:F46" si="1">D12+E12</f>
        <v>28941649</v>
      </c>
    </row>
    <row r="13" spans="1:6" ht="14.1" customHeight="1">
      <c r="A13" s="330" t="s">
        <v>238</v>
      </c>
      <c r="B13" s="331">
        <v>80564552</v>
      </c>
      <c r="C13" s="331">
        <f>-Data!K13</f>
        <v>-131365</v>
      </c>
      <c r="D13" s="331">
        <f t="shared" si="0"/>
        <v>80433187</v>
      </c>
      <c r="E13" s="331">
        <f>-'- 15 -'!H13-'- 16 -'!B13</f>
        <v>-281821</v>
      </c>
      <c r="F13" s="331">
        <f t="shared" si="1"/>
        <v>80151366</v>
      </c>
    </row>
    <row r="14" spans="1:6" ht="14.1" customHeight="1">
      <c r="A14" s="26" t="s">
        <v>656</v>
      </c>
      <c r="B14" s="27">
        <v>70176783</v>
      </c>
      <c r="C14" s="27">
        <f>-Data!K14</f>
        <v>-312395</v>
      </c>
      <c r="D14" s="27">
        <f t="shared" si="0"/>
        <v>69864388</v>
      </c>
      <c r="E14" s="27">
        <f>-'- 15 -'!H14-'- 16 -'!B14</f>
        <v>-933294</v>
      </c>
      <c r="F14" s="27">
        <f t="shared" si="1"/>
        <v>68931094</v>
      </c>
    </row>
    <row r="15" spans="1:6" ht="14.1" customHeight="1">
      <c r="A15" s="330" t="s">
        <v>239</v>
      </c>
      <c r="B15" s="331">
        <v>18640497</v>
      </c>
      <c r="C15" s="331">
        <f>-Data!K15</f>
        <v>-44250</v>
      </c>
      <c r="D15" s="331">
        <f t="shared" si="0"/>
        <v>18596247</v>
      </c>
      <c r="E15" s="331">
        <f>-'- 15 -'!H15-'- 16 -'!B15</f>
        <v>-76946</v>
      </c>
      <c r="F15" s="331">
        <f t="shared" si="1"/>
        <v>18519301</v>
      </c>
    </row>
    <row r="16" spans="1:6" ht="14.1" customHeight="1">
      <c r="A16" s="26" t="s">
        <v>240</v>
      </c>
      <c r="B16" s="27">
        <v>12777465</v>
      </c>
      <c r="C16" s="27">
        <f>-Data!K16</f>
        <v>0</v>
      </c>
      <c r="D16" s="27">
        <f t="shared" si="0"/>
        <v>12777465</v>
      </c>
      <c r="E16" s="27">
        <f>-'- 15 -'!H16-'- 16 -'!B16</f>
        <v>-104048</v>
      </c>
      <c r="F16" s="27">
        <f t="shared" si="1"/>
        <v>12673417</v>
      </c>
    </row>
    <row r="17" spans="1:6" ht="14.1" customHeight="1">
      <c r="A17" s="330" t="s">
        <v>241</v>
      </c>
      <c r="B17" s="331">
        <v>16333625</v>
      </c>
      <c r="C17" s="331">
        <f>-Data!K17</f>
        <v>-238628</v>
      </c>
      <c r="D17" s="331">
        <f t="shared" si="0"/>
        <v>16094997</v>
      </c>
      <c r="E17" s="331">
        <f>-'- 15 -'!H17-'- 16 -'!B17</f>
        <v>-344868</v>
      </c>
      <c r="F17" s="331">
        <f t="shared" si="1"/>
        <v>15750129</v>
      </c>
    </row>
    <row r="18" spans="1:6" ht="14.1" customHeight="1">
      <c r="A18" s="26" t="s">
        <v>242</v>
      </c>
      <c r="B18" s="27">
        <v>117347531</v>
      </c>
      <c r="C18" s="27">
        <f>-Data!K18</f>
        <v>-4693154</v>
      </c>
      <c r="D18" s="27">
        <f t="shared" si="0"/>
        <v>112654377</v>
      </c>
      <c r="E18" s="27">
        <f>-'- 15 -'!H18-'- 16 -'!B18</f>
        <v>-4188437</v>
      </c>
      <c r="F18" s="27">
        <f t="shared" si="1"/>
        <v>108465940</v>
      </c>
    </row>
    <row r="19" spans="1:6" ht="14.1" customHeight="1">
      <c r="A19" s="330" t="s">
        <v>243</v>
      </c>
      <c r="B19" s="331">
        <v>39338942</v>
      </c>
      <c r="C19" s="331">
        <f>-Data!K19</f>
        <v>-376838</v>
      </c>
      <c r="D19" s="331">
        <f t="shared" si="0"/>
        <v>38962104</v>
      </c>
      <c r="E19" s="331">
        <f>-'- 15 -'!H19-'- 16 -'!B19</f>
        <v>-57409</v>
      </c>
      <c r="F19" s="331">
        <f t="shared" si="1"/>
        <v>38904695</v>
      </c>
    </row>
    <row r="20" spans="1:6" ht="14.1" customHeight="1">
      <c r="A20" s="26" t="s">
        <v>244</v>
      </c>
      <c r="B20" s="27">
        <v>68612816</v>
      </c>
      <c r="C20" s="27">
        <f>-Data!K20</f>
        <v>-949208</v>
      </c>
      <c r="D20" s="27">
        <f t="shared" si="0"/>
        <v>67663608</v>
      </c>
      <c r="E20" s="27">
        <f>-'- 15 -'!H20-'- 16 -'!B20</f>
        <v>-139768</v>
      </c>
      <c r="F20" s="27">
        <f t="shared" si="1"/>
        <v>67523840</v>
      </c>
    </row>
    <row r="21" spans="1:6" ht="14.1" customHeight="1">
      <c r="A21" s="330" t="s">
        <v>245</v>
      </c>
      <c r="B21" s="331">
        <v>33065031</v>
      </c>
      <c r="C21" s="331">
        <f>-Data!K21</f>
        <v>-403289</v>
      </c>
      <c r="D21" s="331">
        <f t="shared" si="0"/>
        <v>32661742</v>
      </c>
      <c r="E21" s="331">
        <f>-'- 15 -'!H21-'- 16 -'!B21</f>
        <v>-254056</v>
      </c>
      <c r="F21" s="331">
        <f t="shared" si="1"/>
        <v>32407686</v>
      </c>
    </row>
    <row r="22" spans="1:6" ht="14.1" customHeight="1">
      <c r="A22" s="26" t="s">
        <v>246</v>
      </c>
      <c r="B22" s="27">
        <v>18590105</v>
      </c>
      <c r="C22" s="27">
        <f>-Data!K22</f>
        <v>-15467</v>
      </c>
      <c r="D22" s="27">
        <f t="shared" si="0"/>
        <v>18574638</v>
      </c>
      <c r="E22" s="27">
        <f>-'- 15 -'!H22-'- 16 -'!B22</f>
        <v>-652703</v>
      </c>
      <c r="F22" s="27">
        <f t="shared" si="1"/>
        <v>17921935</v>
      </c>
    </row>
    <row r="23" spans="1:6" ht="14.1" customHeight="1">
      <c r="A23" s="330" t="s">
        <v>247</v>
      </c>
      <c r="B23" s="331">
        <v>16116096</v>
      </c>
      <c r="C23" s="331">
        <f>-Data!K23</f>
        <v>-42943</v>
      </c>
      <c r="D23" s="331">
        <f t="shared" si="0"/>
        <v>16073153</v>
      </c>
      <c r="E23" s="331">
        <f>-'- 15 -'!H23-'- 16 -'!B23</f>
        <v>-561846</v>
      </c>
      <c r="F23" s="331">
        <f t="shared" si="1"/>
        <v>15511307</v>
      </c>
    </row>
    <row r="24" spans="1:6" ht="14.1" customHeight="1">
      <c r="A24" s="26" t="s">
        <v>248</v>
      </c>
      <c r="B24" s="27">
        <v>51350456</v>
      </c>
      <c r="C24" s="27">
        <f>-Data!K24</f>
        <v>-281801</v>
      </c>
      <c r="D24" s="27">
        <f t="shared" si="0"/>
        <v>51068655</v>
      </c>
      <c r="E24" s="27">
        <f>-'- 15 -'!H24-'- 16 -'!B24</f>
        <v>-831846</v>
      </c>
      <c r="F24" s="27">
        <f t="shared" si="1"/>
        <v>50236809</v>
      </c>
    </row>
    <row r="25" spans="1:6" ht="14.1" customHeight="1">
      <c r="A25" s="330" t="s">
        <v>249</v>
      </c>
      <c r="B25" s="331">
        <v>151083349</v>
      </c>
      <c r="C25" s="331">
        <f>-Data!K25</f>
        <v>-1283983</v>
      </c>
      <c r="D25" s="331">
        <f t="shared" si="0"/>
        <v>149799366</v>
      </c>
      <c r="E25" s="331">
        <f>-'- 15 -'!H25-'- 16 -'!B25</f>
        <v>-1130743</v>
      </c>
      <c r="F25" s="331">
        <f t="shared" si="1"/>
        <v>148668623</v>
      </c>
    </row>
    <row r="26" spans="1:6" ht="14.1" customHeight="1">
      <c r="A26" s="26" t="s">
        <v>250</v>
      </c>
      <c r="B26" s="27">
        <v>37296772</v>
      </c>
      <c r="C26" s="27">
        <f>-Data!K26</f>
        <v>-18905</v>
      </c>
      <c r="D26" s="27">
        <f t="shared" si="0"/>
        <v>37277867</v>
      </c>
      <c r="E26" s="27">
        <f>-'- 15 -'!H26-'- 16 -'!B26</f>
        <v>-115183</v>
      </c>
      <c r="F26" s="27">
        <f t="shared" si="1"/>
        <v>37162684</v>
      </c>
    </row>
    <row r="27" spans="1:6" ht="14.1" customHeight="1">
      <c r="A27" s="330" t="s">
        <v>251</v>
      </c>
      <c r="B27" s="331">
        <v>36464752</v>
      </c>
      <c r="C27" s="331">
        <f>-Data!K27</f>
        <v>-3200</v>
      </c>
      <c r="D27" s="331">
        <f t="shared" si="0"/>
        <v>36461552</v>
      </c>
      <c r="E27" s="331">
        <f>-'- 15 -'!H27-'- 16 -'!B27</f>
        <v>-29483</v>
      </c>
      <c r="F27" s="331">
        <f t="shared" si="1"/>
        <v>36432069</v>
      </c>
    </row>
    <row r="28" spans="1:6" ht="14.1" customHeight="1">
      <c r="A28" s="26" t="s">
        <v>252</v>
      </c>
      <c r="B28" s="27">
        <v>25569477</v>
      </c>
      <c r="C28" s="27">
        <f>-Data!K28</f>
        <v>-101378</v>
      </c>
      <c r="D28" s="27">
        <f t="shared" si="0"/>
        <v>25468099</v>
      </c>
      <c r="E28" s="27">
        <f>-'- 15 -'!H28-'- 16 -'!B28</f>
        <v>-250975</v>
      </c>
      <c r="F28" s="27">
        <f t="shared" si="1"/>
        <v>25217124</v>
      </c>
    </row>
    <row r="29" spans="1:6" ht="14.1" customHeight="1">
      <c r="A29" s="330" t="s">
        <v>253</v>
      </c>
      <c r="B29" s="331">
        <v>139877553</v>
      </c>
      <c r="C29" s="331">
        <f>-Data!K29</f>
        <v>-1801839</v>
      </c>
      <c r="D29" s="331">
        <f t="shared" si="0"/>
        <v>138075714</v>
      </c>
      <c r="E29" s="331">
        <f>-'- 15 -'!H29-'- 16 -'!B29</f>
        <v>-1023872</v>
      </c>
      <c r="F29" s="331">
        <f t="shared" si="1"/>
        <v>137051842</v>
      </c>
    </row>
    <row r="30" spans="1:6" ht="14.1" customHeight="1">
      <c r="A30" s="26" t="s">
        <v>254</v>
      </c>
      <c r="B30" s="27">
        <v>13352793</v>
      </c>
      <c r="C30" s="27">
        <f>-Data!K30</f>
        <v>-38392</v>
      </c>
      <c r="D30" s="27">
        <f t="shared" si="0"/>
        <v>13314401</v>
      </c>
      <c r="E30" s="27">
        <f>-'- 15 -'!H30-'- 16 -'!B30</f>
        <v>-10401</v>
      </c>
      <c r="F30" s="27">
        <f t="shared" si="1"/>
        <v>13304000</v>
      </c>
    </row>
    <row r="31" spans="1:6" ht="14.1" customHeight="1">
      <c r="A31" s="330" t="s">
        <v>255</v>
      </c>
      <c r="B31" s="331">
        <v>32688023</v>
      </c>
      <c r="C31" s="331">
        <f>-Data!K31</f>
        <v>-49400</v>
      </c>
      <c r="D31" s="331">
        <f t="shared" si="0"/>
        <v>32638623</v>
      </c>
      <c r="E31" s="331">
        <f>-'- 15 -'!H31-'- 16 -'!B31</f>
        <v>-44580</v>
      </c>
      <c r="F31" s="331">
        <f t="shared" si="1"/>
        <v>32594043</v>
      </c>
    </row>
    <row r="32" spans="1:6" ht="14.1" customHeight="1">
      <c r="A32" s="26" t="s">
        <v>256</v>
      </c>
      <c r="B32" s="27">
        <v>24927741</v>
      </c>
      <c r="C32" s="27">
        <f>-Data!K32</f>
        <v>-246128</v>
      </c>
      <c r="D32" s="27">
        <f t="shared" si="0"/>
        <v>24681613</v>
      </c>
      <c r="E32" s="27">
        <f>-'- 15 -'!H32-'- 16 -'!B32</f>
        <v>-286237</v>
      </c>
      <c r="F32" s="27">
        <f t="shared" si="1"/>
        <v>24395376</v>
      </c>
    </row>
    <row r="33" spans="1:7" ht="14.1" customHeight="1">
      <c r="A33" s="330" t="s">
        <v>257</v>
      </c>
      <c r="B33" s="331">
        <v>25383047</v>
      </c>
      <c r="C33" s="331">
        <f>-Data!K33</f>
        <v>-137376</v>
      </c>
      <c r="D33" s="331">
        <f t="shared" si="0"/>
        <v>25245671</v>
      </c>
      <c r="E33" s="331">
        <f>-'- 15 -'!H33-'- 16 -'!B33</f>
        <v>-32596</v>
      </c>
      <c r="F33" s="331">
        <f t="shared" si="1"/>
        <v>25213075</v>
      </c>
    </row>
    <row r="34" spans="1:7" ht="14.1" customHeight="1">
      <c r="A34" s="26" t="s">
        <v>258</v>
      </c>
      <c r="B34" s="27">
        <v>24560860</v>
      </c>
      <c r="C34" s="27">
        <f>-Data!K34</f>
        <v>-341438</v>
      </c>
      <c r="D34" s="27">
        <f t="shared" si="0"/>
        <v>24219422</v>
      </c>
      <c r="E34" s="27">
        <f>-'- 15 -'!H34-'- 16 -'!B34</f>
        <v>-30010</v>
      </c>
      <c r="F34" s="27">
        <f t="shared" si="1"/>
        <v>24189412</v>
      </c>
    </row>
    <row r="35" spans="1:7" ht="14.1" customHeight="1">
      <c r="A35" s="330" t="s">
        <v>259</v>
      </c>
      <c r="B35" s="331">
        <v>166543803</v>
      </c>
      <c r="C35" s="331">
        <f>-Data!K35</f>
        <v>-511256</v>
      </c>
      <c r="D35" s="331">
        <f t="shared" si="0"/>
        <v>166032547</v>
      </c>
      <c r="E35" s="331">
        <f>-'- 15 -'!H35-'- 16 -'!B35</f>
        <v>-2315052</v>
      </c>
      <c r="F35" s="331">
        <f t="shared" si="1"/>
        <v>163717495</v>
      </c>
    </row>
    <row r="36" spans="1:7" ht="14.1" customHeight="1">
      <c r="A36" s="26" t="s">
        <v>260</v>
      </c>
      <c r="B36" s="27">
        <v>20818778</v>
      </c>
      <c r="C36" s="27">
        <f>-Data!K36</f>
        <v>-268636</v>
      </c>
      <c r="D36" s="27">
        <f t="shared" si="0"/>
        <v>20550142</v>
      </c>
      <c r="E36" s="27">
        <f>-'- 15 -'!H36-'- 16 -'!B36</f>
        <v>-137346</v>
      </c>
      <c r="F36" s="27">
        <f t="shared" si="1"/>
        <v>20412796</v>
      </c>
    </row>
    <row r="37" spans="1:7" ht="14.1" customHeight="1">
      <c r="A37" s="330" t="s">
        <v>261</v>
      </c>
      <c r="B37" s="331">
        <v>40179402</v>
      </c>
      <c r="C37" s="331">
        <f>-Data!K37</f>
        <v>-581333</v>
      </c>
      <c r="D37" s="331">
        <f t="shared" si="0"/>
        <v>39598069</v>
      </c>
      <c r="E37" s="331">
        <f>-'- 15 -'!H37-'- 16 -'!B37</f>
        <v>-427524</v>
      </c>
      <c r="F37" s="331">
        <f t="shared" si="1"/>
        <v>39170545</v>
      </c>
    </row>
    <row r="38" spans="1:7" ht="14.1" customHeight="1">
      <c r="A38" s="26" t="s">
        <v>262</v>
      </c>
      <c r="B38" s="27">
        <v>111321954</v>
      </c>
      <c r="C38" s="27">
        <f>-Data!K38</f>
        <v>-1290878</v>
      </c>
      <c r="D38" s="27">
        <f t="shared" si="0"/>
        <v>110031076</v>
      </c>
      <c r="E38" s="27">
        <f>-'- 15 -'!H38-'- 16 -'!B38</f>
        <v>-1952127</v>
      </c>
      <c r="F38" s="27">
        <f t="shared" si="1"/>
        <v>108078949</v>
      </c>
    </row>
    <row r="39" spans="1:7" ht="14.1" customHeight="1">
      <c r="A39" s="330" t="s">
        <v>263</v>
      </c>
      <c r="B39" s="331">
        <v>19647609</v>
      </c>
      <c r="C39" s="331">
        <f>-Data!K39</f>
        <v>-115514</v>
      </c>
      <c r="D39" s="331">
        <f t="shared" si="0"/>
        <v>19532095</v>
      </c>
      <c r="E39" s="331">
        <f>-'- 15 -'!H39-'- 16 -'!B39</f>
        <v>-66205</v>
      </c>
      <c r="F39" s="331">
        <f t="shared" si="1"/>
        <v>19465890</v>
      </c>
    </row>
    <row r="40" spans="1:7" ht="14.1" customHeight="1">
      <c r="A40" s="26" t="s">
        <v>264</v>
      </c>
      <c r="B40" s="27">
        <v>93252074</v>
      </c>
      <c r="C40" s="27">
        <f>-Data!K40</f>
        <v>-466738</v>
      </c>
      <c r="D40" s="27">
        <f t="shared" si="0"/>
        <v>92785336</v>
      </c>
      <c r="E40" s="27">
        <f>-'- 15 -'!H40-'- 16 -'!B40</f>
        <v>-917923</v>
      </c>
      <c r="F40" s="27">
        <f t="shared" si="1"/>
        <v>91867413</v>
      </c>
    </row>
    <row r="41" spans="1:7" ht="14.1" customHeight="1">
      <c r="A41" s="330" t="s">
        <v>265</v>
      </c>
      <c r="B41" s="331">
        <v>58588476</v>
      </c>
      <c r="C41" s="331">
        <f>-Data!K41</f>
        <v>-686353</v>
      </c>
      <c r="D41" s="331">
        <f t="shared" si="0"/>
        <v>57902123</v>
      </c>
      <c r="E41" s="331">
        <f>-'- 15 -'!H41-'- 16 -'!B41</f>
        <v>-1251811</v>
      </c>
      <c r="F41" s="331">
        <f t="shared" si="1"/>
        <v>56650312</v>
      </c>
    </row>
    <row r="42" spans="1:7" ht="14.1" customHeight="1">
      <c r="A42" s="26" t="s">
        <v>266</v>
      </c>
      <c r="B42" s="27">
        <v>19678799</v>
      </c>
      <c r="C42" s="27">
        <f>-Data!K42</f>
        <v>0</v>
      </c>
      <c r="D42" s="27">
        <f t="shared" si="0"/>
        <v>19678799</v>
      </c>
      <c r="E42" s="27">
        <f>-'- 15 -'!H42-'- 16 -'!B42</f>
        <v>-160725</v>
      </c>
      <c r="F42" s="27">
        <f t="shared" si="1"/>
        <v>19518074</v>
      </c>
    </row>
    <row r="43" spans="1:7" ht="14.1" customHeight="1">
      <c r="A43" s="330" t="s">
        <v>267</v>
      </c>
      <c r="B43" s="331">
        <v>11669464</v>
      </c>
      <c r="C43" s="331">
        <f>-Data!K43</f>
        <v>-24050</v>
      </c>
      <c r="D43" s="331">
        <f t="shared" si="0"/>
        <v>11645414</v>
      </c>
      <c r="E43" s="331">
        <f>-'- 15 -'!H43-'- 16 -'!B43</f>
        <v>-254960</v>
      </c>
      <c r="F43" s="331">
        <f t="shared" si="1"/>
        <v>11390454</v>
      </c>
    </row>
    <row r="44" spans="1:7" ht="14.1" customHeight="1">
      <c r="A44" s="26" t="s">
        <v>268</v>
      </c>
      <c r="B44" s="27">
        <v>9949886</v>
      </c>
      <c r="C44" s="27">
        <f>-Data!K44</f>
        <v>-195881</v>
      </c>
      <c r="D44" s="27">
        <f t="shared" si="0"/>
        <v>9754005</v>
      </c>
      <c r="E44" s="27">
        <f>-'- 15 -'!H44-'- 16 -'!B44</f>
        <v>-10629</v>
      </c>
      <c r="F44" s="27">
        <f t="shared" si="1"/>
        <v>9743376</v>
      </c>
    </row>
    <row r="45" spans="1:7" ht="14.1" customHeight="1">
      <c r="A45" s="330" t="s">
        <v>269</v>
      </c>
      <c r="B45" s="331">
        <v>16420573</v>
      </c>
      <c r="C45" s="331">
        <f>-Data!K45</f>
        <v>-125865</v>
      </c>
      <c r="D45" s="331">
        <f t="shared" si="0"/>
        <v>16294708</v>
      </c>
      <c r="E45" s="331">
        <f>-'- 15 -'!H45-'- 16 -'!B45</f>
        <v>-424320</v>
      </c>
      <c r="F45" s="331">
        <f t="shared" si="1"/>
        <v>15870388</v>
      </c>
    </row>
    <row r="46" spans="1:7" ht="14.1" customHeight="1">
      <c r="A46" s="26" t="s">
        <v>270</v>
      </c>
      <c r="B46" s="27">
        <v>349650753</v>
      </c>
      <c r="C46" s="27">
        <f>-Data!K46</f>
        <v>-2312224</v>
      </c>
      <c r="D46" s="27">
        <f t="shared" si="0"/>
        <v>347338529</v>
      </c>
      <c r="E46" s="27">
        <f>-'- 15 -'!H46-'- 16 -'!B46</f>
        <v>-8897781</v>
      </c>
      <c r="F46" s="27">
        <f t="shared" si="1"/>
        <v>338440748</v>
      </c>
    </row>
    <row r="47" spans="1:7" ht="5.0999999999999996" customHeight="1">
      <c r="A47"/>
      <c r="B47"/>
      <c r="C47"/>
      <c r="D47"/>
      <c r="E47"/>
      <c r="F47"/>
      <c r="G47"/>
    </row>
    <row r="48" spans="1:7" ht="14.1" customHeight="1">
      <c r="A48" s="332" t="s">
        <v>271</v>
      </c>
      <c r="B48" s="333">
        <f>SUM(B11:B46)</f>
        <v>2017420276</v>
      </c>
      <c r="C48" s="333">
        <f>SUM(C11:C46)</f>
        <v>-18493962</v>
      </c>
      <c r="D48" s="333">
        <f>SUM(D11:D46)</f>
        <v>1998926314</v>
      </c>
      <c r="E48" s="333">
        <f>SUM(E11:E46)</f>
        <v>-28804586</v>
      </c>
      <c r="F48" s="333">
        <f>SUM(F11:F46)</f>
        <v>1970121728</v>
      </c>
    </row>
    <row r="49" spans="1:6" ht="5.0999999999999996" customHeight="1">
      <c r="A49" s="28" t="s">
        <v>17</v>
      </c>
      <c r="B49" s="29"/>
      <c r="C49" s="29"/>
      <c r="D49" s="29"/>
      <c r="E49" s="29"/>
      <c r="F49" s="29"/>
    </row>
    <row r="50" spans="1:6" ht="14.1" customHeight="1">
      <c r="A50" s="26" t="s">
        <v>272</v>
      </c>
      <c r="B50" s="27">
        <v>3171533</v>
      </c>
      <c r="C50" s="27">
        <f>-Data!K50</f>
        <v>0</v>
      </c>
      <c r="D50" s="27">
        <f>B50+C50</f>
        <v>3171533</v>
      </c>
      <c r="E50" s="27">
        <f>-'- 15 -'!H50-'- 16 -'!B50</f>
        <v>-11324</v>
      </c>
      <c r="F50" s="27">
        <f>D50+E50</f>
        <v>3160209</v>
      </c>
    </row>
    <row r="51" spans="1:6" ht="14.1" customHeight="1">
      <c r="A51" s="330" t="s">
        <v>273</v>
      </c>
      <c r="B51" s="331">
        <v>18906296</v>
      </c>
      <c r="C51" s="331">
        <f>-Data!K51</f>
        <v>-820683</v>
      </c>
      <c r="D51" s="331">
        <f>B51+C51</f>
        <v>18085613</v>
      </c>
      <c r="E51" s="331">
        <f>-'- 15 -'!H51-'- 16 -'!B51</f>
        <v>-8527926</v>
      </c>
      <c r="F51" s="331">
        <f>D51+E51</f>
        <v>9557687</v>
      </c>
    </row>
    <row r="52" spans="1:6" ht="50.1" customHeight="1">
      <c r="A52" s="30"/>
      <c r="B52" s="30"/>
      <c r="C52" s="30"/>
      <c r="D52" s="30"/>
      <c r="E52" s="30"/>
      <c r="F52" s="30"/>
    </row>
    <row r="53" spans="1:6" ht="14.45" customHeight="1">
      <c r="A53" s="1" t="s">
        <v>624</v>
      </c>
    </row>
    <row r="54" spans="1:6" ht="12" customHeight="1">
      <c r="A54" s="682" t="s">
        <v>740</v>
      </c>
    </row>
    <row r="55" spans="1:6" ht="12" customHeight="1">
      <c r="A55" s="1" t="s">
        <v>613</v>
      </c>
    </row>
    <row r="56" spans="1:6" ht="12" customHeight="1">
      <c r="A56" s="1" t="s">
        <v>625</v>
      </c>
    </row>
    <row r="57" spans="1:6" ht="12" customHeight="1">
      <c r="A57" s="1" t="s">
        <v>626</v>
      </c>
    </row>
    <row r="58" spans="1:6" ht="12" customHeight="1">
      <c r="A58" s="1" t="s">
        <v>627</v>
      </c>
    </row>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30.xml><?xml version="1.0" encoding="utf-8"?>
<worksheet xmlns="http://schemas.openxmlformats.org/spreadsheetml/2006/main" xmlns:r="http://schemas.openxmlformats.org/officeDocument/2006/relationships">
  <sheetPr codeName="Sheet30">
    <pageSetUpPr fitToPage="1"/>
  </sheetPr>
  <dimension ref="A1:F52"/>
  <sheetViews>
    <sheetView showGridLines="0" showZeros="0" workbookViewId="0"/>
  </sheetViews>
  <sheetFormatPr defaultColWidth="15.83203125" defaultRowHeight="12"/>
  <cols>
    <col min="1" max="1" width="32.83203125" style="1" customWidth="1"/>
    <col min="2" max="2" width="19.83203125" style="1" customWidth="1"/>
    <col min="3" max="3" width="15.83203125" style="1" customWidth="1"/>
    <col min="4" max="4" width="19.83203125" style="1" customWidth="1"/>
    <col min="5" max="5" width="15.83203125" style="1"/>
    <col min="6" max="6" width="28.83203125" style="1" customWidth="1"/>
    <col min="7" max="16384" width="15.83203125" style="1"/>
  </cols>
  <sheetData>
    <row r="1" spans="1:6" ht="6.95" customHeight="1">
      <c r="A1" s="6"/>
      <c r="B1" s="6"/>
      <c r="C1" s="6"/>
      <c r="D1" s="7"/>
      <c r="E1" s="7"/>
      <c r="F1" s="7"/>
    </row>
    <row r="2" spans="1:6" ht="15.95" customHeight="1">
      <c r="A2" s="152"/>
      <c r="B2" s="8" t="s">
        <v>492</v>
      </c>
      <c r="C2" s="190"/>
      <c r="D2" s="178"/>
      <c r="E2" s="9"/>
      <c r="F2" s="523" t="s">
        <v>452</v>
      </c>
    </row>
    <row r="3" spans="1:6" ht="15.95" customHeight="1">
      <c r="A3" s="154"/>
      <c r="B3" s="10" t="str">
        <f>OPYEAR</f>
        <v>OPERATING FUND 2012/2013 ACTUAL</v>
      </c>
      <c r="C3" s="36"/>
      <c r="D3" s="179"/>
      <c r="E3" s="11"/>
      <c r="F3" s="74"/>
    </row>
    <row r="4" spans="1:6" ht="15.95" customHeight="1">
      <c r="D4" s="7"/>
      <c r="E4" s="7"/>
      <c r="F4" s="7"/>
    </row>
    <row r="5" spans="1:6" ht="15.95" customHeight="1">
      <c r="D5" s="7"/>
      <c r="E5" s="7"/>
      <c r="F5" s="7"/>
    </row>
    <row r="6" spans="1:6" ht="15.95" customHeight="1">
      <c r="B6" s="174" t="s">
        <v>34</v>
      </c>
      <c r="C6" s="187"/>
      <c r="D6" s="46"/>
      <c r="E6" s="191"/>
      <c r="F6" s="50"/>
    </row>
    <row r="7" spans="1:6" ht="15.95" customHeight="1">
      <c r="B7" s="419"/>
      <c r="C7" s="358"/>
      <c r="D7" s="419"/>
      <c r="E7" s="358"/>
      <c r="F7" s="7"/>
    </row>
    <row r="8" spans="1:6" ht="15.95" customHeight="1">
      <c r="A8" s="75"/>
      <c r="B8" s="345" t="s">
        <v>79</v>
      </c>
      <c r="C8" s="346"/>
      <c r="D8" s="344" t="s">
        <v>80</v>
      </c>
      <c r="E8" s="346"/>
      <c r="F8" s="7"/>
    </row>
    <row r="9" spans="1:6" ht="15.95" customHeight="1">
      <c r="A9" s="42" t="s">
        <v>94</v>
      </c>
      <c r="B9" s="189" t="s">
        <v>95</v>
      </c>
      <c r="C9" s="189" t="s">
        <v>96</v>
      </c>
      <c r="D9" s="192" t="s">
        <v>95</v>
      </c>
      <c r="E9" s="189" t="s">
        <v>96</v>
      </c>
    </row>
    <row r="10" spans="1:6" ht="5.0999999999999996" customHeight="1">
      <c r="A10" s="5"/>
    </row>
    <row r="11" spans="1:6" ht="14.1" customHeight="1">
      <c r="A11" s="330" t="s">
        <v>236</v>
      </c>
      <c r="B11" s="331">
        <v>53121</v>
      </c>
      <c r="C11" s="337">
        <f>B11/'- 3 -'!$D11*100</f>
        <v>0.33949836354260127</v>
      </c>
      <c r="D11" s="331">
        <v>18154</v>
      </c>
      <c r="E11" s="337">
        <f>D11/'- 3 -'!$D11*100</f>
        <v>0.11602291545250247</v>
      </c>
    </row>
    <row r="12" spans="1:6" ht="14.1" customHeight="1">
      <c r="A12" s="26" t="s">
        <v>237</v>
      </c>
      <c r="B12" s="27">
        <v>233038</v>
      </c>
      <c r="C12" s="79">
        <f>B12/'- 3 -'!$D12*100</f>
        <v>0.78916552851770494</v>
      </c>
      <c r="D12" s="27">
        <v>54511</v>
      </c>
      <c r="E12" s="79">
        <f>D12/'- 3 -'!$D12*100</f>
        <v>0.18459737092246162</v>
      </c>
    </row>
    <row r="13" spans="1:6" ht="14.1" customHeight="1">
      <c r="A13" s="330" t="s">
        <v>238</v>
      </c>
      <c r="B13" s="331">
        <v>243396</v>
      </c>
      <c r="C13" s="337">
        <f>B13/'- 3 -'!$D13*100</f>
        <v>0.30260643532625409</v>
      </c>
      <c r="D13" s="331">
        <v>120950</v>
      </c>
      <c r="E13" s="337">
        <f>D13/'- 3 -'!$D13*100</f>
        <v>0.15037325326920092</v>
      </c>
    </row>
    <row r="14" spans="1:6" ht="14.1" customHeight="1">
      <c r="A14" s="26" t="s">
        <v>656</v>
      </c>
      <c r="B14" s="27">
        <v>114633</v>
      </c>
      <c r="C14" s="79">
        <f>B14/'- 3 -'!$D14*100</f>
        <v>0.16407930174669247</v>
      </c>
      <c r="D14" s="27">
        <v>259636</v>
      </c>
      <c r="E14" s="79">
        <f>D14/'- 3 -'!$D14*100</f>
        <v>0.37162853269393842</v>
      </c>
    </row>
    <row r="15" spans="1:6" ht="14.1" customHeight="1">
      <c r="A15" s="330" t="s">
        <v>239</v>
      </c>
      <c r="B15" s="331">
        <v>113045</v>
      </c>
      <c r="C15" s="337">
        <f>B15/'- 3 -'!$D15*100</f>
        <v>0.60789147401623567</v>
      </c>
      <c r="D15" s="331">
        <v>79965</v>
      </c>
      <c r="E15" s="337">
        <f>D15/'- 3 -'!$D15*100</f>
        <v>0.43000611897658703</v>
      </c>
    </row>
    <row r="16" spans="1:6" ht="14.1" customHeight="1">
      <c r="A16" s="26" t="s">
        <v>240</v>
      </c>
      <c r="B16" s="27">
        <v>9431</v>
      </c>
      <c r="C16" s="79">
        <f>B16/'- 3 -'!$D16*100</f>
        <v>7.3809632818403331E-2</v>
      </c>
      <c r="D16" s="27">
        <v>19433</v>
      </c>
      <c r="E16" s="79">
        <f>D16/'- 3 -'!$D16*100</f>
        <v>0.15208807067755614</v>
      </c>
    </row>
    <row r="17" spans="1:5" ht="14.1" customHeight="1">
      <c r="A17" s="330" t="s">
        <v>241</v>
      </c>
      <c r="B17" s="331">
        <v>77021</v>
      </c>
      <c r="C17" s="337">
        <f>B17/'- 3 -'!$D17*100</f>
        <v>0.47854000842622085</v>
      </c>
      <c r="D17" s="331">
        <v>62171</v>
      </c>
      <c r="E17" s="337">
        <f>D17/'- 3 -'!$D17*100</f>
        <v>0.38627531275712568</v>
      </c>
    </row>
    <row r="18" spans="1:5" ht="14.1" customHeight="1">
      <c r="A18" s="26" t="s">
        <v>242</v>
      </c>
      <c r="B18" s="27">
        <v>2774919</v>
      </c>
      <c r="C18" s="79">
        <f>B18/'- 3 -'!$D18*100</f>
        <v>2.4632145451392451</v>
      </c>
      <c r="D18" s="27">
        <v>82700</v>
      </c>
      <c r="E18" s="79">
        <f>D18/'- 3 -'!$D18*100</f>
        <v>7.3410374458863684E-2</v>
      </c>
    </row>
    <row r="19" spans="1:5" ht="14.1" customHeight="1">
      <c r="A19" s="330" t="s">
        <v>243</v>
      </c>
      <c r="B19" s="331">
        <v>34625</v>
      </c>
      <c r="C19" s="337">
        <f>B19/'- 3 -'!$D19*100</f>
        <v>8.8868404026640868E-2</v>
      </c>
      <c r="D19" s="331">
        <v>43582</v>
      </c>
      <c r="E19" s="337">
        <f>D19/'- 3 -'!$D19*100</f>
        <v>0.1118574089325361</v>
      </c>
    </row>
    <row r="20" spans="1:5" ht="14.1" customHeight="1">
      <c r="A20" s="26" t="s">
        <v>244</v>
      </c>
      <c r="B20" s="27">
        <v>195612</v>
      </c>
      <c r="C20" s="79">
        <f>B20/'- 3 -'!$D20*100</f>
        <v>0.2890948410554755</v>
      </c>
      <c r="D20" s="27">
        <v>376444</v>
      </c>
      <c r="E20" s="79">
        <f>D20/'- 3 -'!$D20*100</f>
        <v>0.55634633021638458</v>
      </c>
    </row>
    <row r="21" spans="1:5" ht="14.1" customHeight="1">
      <c r="A21" s="330" t="s">
        <v>245</v>
      </c>
      <c r="B21" s="331">
        <v>167944</v>
      </c>
      <c r="C21" s="337">
        <f>B21/'- 3 -'!$D21*100</f>
        <v>0.51419180275197818</v>
      </c>
      <c r="D21" s="331">
        <v>133858</v>
      </c>
      <c r="E21" s="337">
        <f>D21/'- 3 -'!$D21*100</f>
        <v>0.4098311718952406</v>
      </c>
    </row>
    <row r="22" spans="1:5" ht="14.1" customHeight="1">
      <c r="A22" s="26" t="s">
        <v>246</v>
      </c>
      <c r="B22" s="27">
        <v>51554</v>
      </c>
      <c r="C22" s="79">
        <f>B22/'- 3 -'!$D22*100</f>
        <v>0.27755049654265135</v>
      </c>
      <c r="D22" s="27">
        <v>4279</v>
      </c>
      <c r="E22" s="79">
        <f>D22/'- 3 -'!$D22*100</f>
        <v>2.3036788119370079E-2</v>
      </c>
    </row>
    <row r="23" spans="1:5" ht="14.1" customHeight="1">
      <c r="A23" s="330" t="s">
        <v>247</v>
      </c>
      <c r="B23" s="331">
        <v>68148</v>
      </c>
      <c r="C23" s="337">
        <f>B23/'- 3 -'!$D23*100</f>
        <v>0.42398650718997072</v>
      </c>
      <c r="D23" s="331">
        <v>0</v>
      </c>
      <c r="E23" s="337">
        <f>D23/'- 3 -'!$D23*100</f>
        <v>0</v>
      </c>
    </row>
    <row r="24" spans="1:5" ht="14.1" customHeight="1">
      <c r="A24" s="26" t="s">
        <v>248</v>
      </c>
      <c r="B24" s="27">
        <v>201243</v>
      </c>
      <c r="C24" s="79">
        <f>B24/'- 3 -'!$D24*100</f>
        <v>0.39406363844906434</v>
      </c>
      <c r="D24" s="27">
        <v>99492</v>
      </c>
      <c r="E24" s="79">
        <f>D24/'- 3 -'!$D24*100</f>
        <v>0.19482009071905262</v>
      </c>
    </row>
    <row r="25" spans="1:5" ht="14.1" customHeight="1">
      <c r="A25" s="330" t="s">
        <v>249</v>
      </c>
      <c r="B25" s="331">
        <v>231105</v>
      </c>
      <c r="C25" s="337">
        <f>B25/'- 3 -'!$D25*100</f>
        <v>0.15427635387989558</v>
      </c>
      <c r="D25" s="331">
        <v>439420</v>
      </c>
      <c r="E25" s="337">
        <f>D25/'- 3 -'!$D25*100</f>
        <v>0.29333902521323085</v>
      </c>
    </row>
    <row r="26" spans="1:5" ht="14.1" customHeight="1">
      <c r="A26" s="26" t="s">
        <v>250</v>
      </c>
      <c r="B26" s="27">
        <v>318287</v>
      </c>
      <c r="C26" s="79">
        <f>B26/'- 3 -'!$D26*100</f>
        <v>0.85382299368147874</v>
      </c>
      <c r="D26" s="27">
        <v>73931</v>
      </c>
      <c r="E26" s="79">
        <f>D26/'- 3 -'!$D26*100</f>
        <v>0.19832411548654327</v>
      </c>
    </row>
    <row r="27" spans="1:5" ht="14.1" customHeight="1">
      <c r="A27" s="330" t="s">
        <v>251</v>
      </c>
      <c r="B27" s="331">
        <v>155386</v>
      </c>
      <c r="C27" s="337">
        <f>B27/'- 3 -'!$D27*100</f>
        <v>0.42616397678299595</v>
      </c>
      <c r="D27" s="331">
        <v>123168</v>
      </c>
      <c r="E27" s="337">
        <f>D27/'- 3 -'!$D27*100</f>
        <v>0.33780240621682806</v>
      </c>
    </row>
    <row r="28" spans="1:5" ht="14.1" customHeight="1">
      <c r="A28" s="26" t="s">
        <v>252</v>
      </c>
      <c r="B28" s="27">
        <v>80950</v>
      </c>
      <c r="C28" s="79">
        <f>B28/'- 3 -'!$D28*100</f>
        <v>0.31784861524215058</v>
      </c>
      <c r="D28" s="27">
        <v>64818</v>
      </c>
      <c r="E28" s="79">
        <f>D28/'- 3 -'!$D28*100</f>
        <v>0.25450662807616697</v>
      </c>
    </row>
    <row r="29" spans="1:5" ht="14.1" customHeight="1">
      <c r="A29" s="330" t="s">
        <v>253</v>
      </c>
      <c r="B29" s="331">
        <v>416658</v>
      </c>
      <c r="C29" s="337">
        <f>B29/'- 3 -'!$D29*100</f>
        <v>0.30176052538826631</v>
      </c>
      <c r="D29" s="331">
        <v>1029352</v>
      </c>
      <c r="E29" s="337">
        <f>D29/'- 3 -'!$D29*100</f>
        <v>0.74549822715383529</v>
      </c>
    </row>
    <row r="30" spans="1:5" ht="14.1" customHeight="1">
      <c r="A30" s="26" t="s">
        <v>254</v>
      </c>
      <c r="B30" s="27">
        <v>37978</v>
      </c>
      <c r="C30" s="79">
        <f>B30/'- 3 -'!$D30*100</f>
        <v>0.28524001943459565</v>
      </c>
      <c r="D30" s="27">
        <v>33747</v>
      </c>
      <c r="E30" s="79">
        <f>D30/'- 3 -'!$D30*100</f>
        <v>0.25346239759490496</v>
      </c>
    </row>
    <row r="31" spans="1:5" ht="14.1" customHeight="1">
      <c r="A31" s="330" t="s">
        <v>255</v>
      </c>
      <c r="B31" s="331">
        <v>267891</v>
      </c>
      <c r="C31" s="337">
        <f>B31/'- 3 -'!$D31*100</f>
        <v>0.82077911191290143</v>
      </c>
      <c r="D31" s="331">
        <v>96259</v>
      </c>
      <c r="E31" s="337">
        <f>D31/'- 3 -'!$D31*100</f>
        <v>0.29492359404990831</v>
      </c>
    </row>
    <row r="32" spans="1:5" ht="14.1" customHeight="1">
      <c r="A32" s="26" t="s">
        <v>256</v>
      </c>
      <c r="B32" s="27">
        <v>120873</v>
      </c>
      <c r="C32" s="79">
        <f>B32/'- 3 -'!$D32*100</f>
        <v>0.48972893303205106</v>
      </c>
      <c r="D32" s="27">
        <v>140424</v>
      </c>
      <c r="E32" s="79">
        <f>D32/'- 3 -'!$D32*100</f>
        <v>0.56894174623028082</v>
      </c>
    </row>
    <row r="33" spans="1:5" ht="14.1" customHeight="1">
      <c r="A33" s="330" t="s">
        <v>257</v>
      </c>
      <c r="B33" s="331">
        <v>97190</v>
      </c>
      <c r="C33" s="337">
        <f>B33/'- 3 -'!$D33*100</f>
        <v>0.38497689366228371</v>
      </c>
      <c r="D33" s="331">
        <v>76061</v>
      </c>
      <c r="E33" s="337">
        <f>D33/'- 3 -'!$D33*100</f>
        <v>0.30128333685406894</v>
      </c>
    </row>
    <row r="34" spans="1:5" ht="14.1" customHeight="1">
      <c r="A34" s="26" t="s">
        <v>258</v>
      </c>
      <c r="B34" s="27">
        <v>84271</v>
      </c>
      <c r="C34" s="79">
        <f>B34/'- 3 -'!$D34*100</f>
        <v>0.34794802287189186</v>
      </c>
      <c r="D34" s="27">
        <v>109842</v>
      </c>
      <c r="E34" s="79">
        <f>D34/'- 3 -'!$D34*100</f>
        <v>0.45352857718900147</v>
      </c>
    </row>
    <row r="35" spans="1:5" ht="14.1" customHeight="1">
      <c r="A35" s="330" t="s">
        <v>259</v>
      </c>
      <c r="B35" s="331">
        <v>397769</v>
      </c>
      <c r="C35" s="337">
        <f>B35/'- 3 -'!$D35*100</f>
        <v>0.23957290735291797</v>
      </c>
      <c r="D35" s="331">
        <v>778836</v>
      </c>
      <c r="E35" s="337">
        <f>D35/'- 3 -'!$D35*100</f>
        <v>0.46908634124609316</v>
      </c>
    </row>
    <row r="36" spans="1:5" ht="14.1" customHeight="1">
      <c r="A36" s="26" t="s">
        <v>260</v>
      </c>
      <c r="B36" s="27">
        <v>96006</v>
      </c>
      <c r="C36" s="79">
        <f>B36/'- 3 -'!$D36*100</f>
        <v>0.46717925355454959</v>
      </c>
      <c r="D36" s="27">
        <v>60307</v>
      </c>
      <c r="E36" s="79">
        <f>D36/'- 3 -'!$D36*100</f>
        <v>0.29346269237458311</v>
      </c>
    </row>
    <row r="37" spans="1:5" ht="14.1" customHeight="1">
      <c r="A37" s="330" t="s">
        <v>261</v>
      </c>
      <c r="B37" s="331">
        <v>128330</v>
      </c>
      <c r="C37" s="337">
        <f>B37/'- 3 -'!$D37*100</f>
        <v>0.32408145962875112</v>
      </c>
      <c r="D37" s="331">
        <v>147569</v>
      </c>
      <c r="E37" s="337">
        <f>D37/'- 3 -'!$D37*100</f>
        <v>0.37266716212853712</v>
      </c>
    </row>
    <row r="38" spans="1:5" ht="14.1" customHeight="1">
      <c r="A38" s="26" t="s">
        <v>262</v>
      </c>
      <c r="B38" s="27">
        <v>326815</v>
      </c>
      <c r="C38" s="79">
        <f>B38/'- 3 -'!$D38*100</f>
        <v>0.29702063442513277</v>
      </c>
      <c r="D38" s="27">
        <v>387162</v>
      </c>
      <c r="E38" s="79">
        <f>D38/'- 3 -'!$D38*100</f>
        <v>0.35186604918777675</v>
      </c>
    </row>
    <row r="39" spans="1:5" ht="14.1" customHeight="1">
      <c r="A39" s="330" t="s">
        <v>263</v>
      </c>
      <c r="B39" s="331">
        <v>106627</v>
      </c>
      <c r="C39" s="337">
        <f>B39/'- 3 -'!$D39*100</f>
        <v>0.54590662189591033</v>
      </c>
      <c r="D39" s="331">
        <v>110460</v>
      </c>
      <c r="E39" s="337">
        <f>D39/'- 3 -'!$D39*100</f>
        <v>0.56553073287837274</v>
      </c>
    </row>
    <row r="40" spans="1:5" ht="14.1" customHeight="1">
      <c r="A40" s="26" t="s">
        <v>264</v>
      </c>
      <c r="B40" s="27">
        <v>473358</v>
      </c>
      <c r="C40" s="79">
        <f>B40/'- 3 -'!$D40*100</f>
        <v>0.51016466653739334</v>
      </c>
      <c r="D40" s="27">
        <v>260251</v>
      </c>
      <c r="E40" s="79">
        <f>D40/'- 3 -'!$D40*100</f>
        <v>0.28048720974616076</v>
      </c>
    </row>
    <row r="41" spans="1:5" ht="14.1" customHeight="1">
      <c r="A41" s="330" t="s">
        <v>265</v>
      </c>
      <c r="B41" s="331">
        <v>384115</v>
      </c>
      <c r="C41" s="337">
        <f>B41/'- 3 -'!$D41*100</f>
        <v>0.66338672936051057</v>
      </c>
      <c r="D41" s="331">
        <v>459298</v>
      </c>
      <c r="E41" s="337">
        <f>D41/'- 3 -'!$D41*100</f>
        <v>0.79323170931055509</v>
      </c>
    </row>
    <row r="42" spans="1:5" ht="14.1" customHeight="1">
      <c r="A42" s="26" t="s">
        <v>266</v>
      </c>
      <c r="B42" s="27">
        <v>117820</v>
      </c>
      <c r="C42" s="79">
        <f>B42/'- 3 -'!$D42*100</f>
        <v>0.5987153992476878</v>
      </c>
      <c r="D42" s="27">
        <v>98525</v>
      </c>
      <c r="E42" s="79">
        <f>D42/'- 3 -'!$D42*100</f>
        <v>0.50066571643930102</v>
      </c>
    </row>
    <row r="43" spans="1:5" ht="14.1" customHeight="1">
      <c r="A43" s="330" t="s">
        <v>267</v>
      </c>
      <c r="B43" s="331">
        <v>47264</v>
      </c>
      <c r="C43" s="337">
        <f>B43/'- 3 -'!$D43*100</f>
        <v>0.40585933655943873</v>
      </c>
      <c r="D43" s="331">
        <v>9846</v>
      </c>
      <c r="E43" s="337">
        <f>D43/'- 3 -'!$D43*100</f>
        <v>8.454830373570231E-2</v>
      </c>
    </row>
    <row r="44" spans="1:5" ht="14.1" customHeight="1">
      <c r="A44" s="26" t="s">
        <v>268</v>
      </c>
      <c r="B44" s="27">
        <v>44262</v>
      </c>
      <c r="C44" s="79">
        <f>B44/'- 3 -'!$D44*100</f>
        <v>0.45378283074490938</v>
      </c>
      <c r="D44" s="27">
        <v>27536</v>
      </c>
      <c r="E44" s="79">
        <f>D44/'- 3 -'!$D44*100</f>
        <v>0.28230455079733913</v>
      </c>
    </row>
    <row r="45" spans="1:5" ht="14.1" customHeight="1">
      <c r="A45" s="330" t="s">
        <v>269</v>
      </c>
      <c r="B45" s="331">
        <v>44082</v>
      </c>
      <c r="C45" s="337">
        <f>B45/'- 3 -'!$D45*100</f>
        <v>0.27052954861173334</v>
      </c>
      <c r="D45" s="331">
        <v>53226</v>
      </c>
      <c r="E45" s="337">
        <f>D45/'- 3 -'!$D45*100</f>
        <v>0.32664592700894057</v>
      </c>
    </row>
    <row r="46" spans="1:5" ht="14.1" customHeight="1">
      <c r="A46" s="26" t="s">
        <v>270</v>
      </c>
      <c r="B46" s="27">
        <v>1909558</v>
      </c>
      <c r="C46" s="79">
        <f>B46/'- 3 -'!$D46*100</f>
        <v>0.54976855159077387</v>
      </c>
      <c r="D46" s="27">
        <v>965903</v>
      </c>
      <c r="E46" s="79">
        <f>D46/'- 3 -'!$D46*100</f>
        <v>0.27808691502807625</v>
      </c>
    </row>
    <row r="47" spans="1:5" ht="5.0999999999999996" customHeight="1">
      <c r="A47"/>
      <c r="B47" s="29"/>
      <c r="C47"/>
      <c r="D47" s="29"/>
      <c r="E47"/>
    </row>
    <row r="48" spans="1:5" ht="14.1" customHeight="1">
      <c r="A48" s="332" t="s">
        <v>271</v>
      </c>
      <c r="B48" s="333">
        <f>SUM(B11:B46)</f>
        <v>10224325</v>
      </c>
      <c r="C48" s="340">
        <f>B48/'- 3 -'!$D48*100</f>
        <v>0.51149084027716685</v>
      </c>
      <c r="D48" s="333">
        <f>SUM(D11:D46)</f>
        <v>6901116</v>
      </c>
      <c r="E48" s="340">
        <f>D48/'- 3 -'!$D48*100</f>
        <v>0.34524114028947644</v>
      </c>
    </row>
    <row r="49" spans="1:5" ht="5.0999999999999996" customHeight="1">
      <c r="A49" s="28" t="s">
        <v>17</v>
      </c>
      <c r="B49" s="29"/>
      <c r="C49"/>
      <c r="D49" s="29"/>
      <c r="E49"/>
    </row>
    <row r="50" spans="1:5" ht="14.1" customHeight="1">
      <c r="A50" s="26" t="s">
        <v>272</v>
      </c>
      <c r="B50" s="27">
        <v>0</v>
      </c>
      <c r="C50" s="79">
        <f>B50/'- 3 -'!$D50*100</f>
        <v>0</v>
      </c>
      <c r="D50" s="27">
        <v>8208</v>
      </c>
      <c r="E50" s="79">
        <f>D50/'- 3 -'!$D50*100</f>
        <v>0.25880228898769148</v>
      </c>
    </row>
    <row r="51" spans="1:5" ht="14.1" customHeight="1">
      <c r="A51" s="330" t="s">
        <v>273</v>
      </c>
      <c r="B51" s="331">
        <v>0</v>
      </c>
      <c r="C51" s="337">
        <f>B51/'- 3 -'!$D51*100</f>
        <v>0</v>
      </c>
      <c r="D51" s="331">
        <v>42301</v>
      </c>
      <c r="E51" s="337">
        <f>D51/'- 3 -'!$D51*100</f>
        <v>0.233893095025311</v>
      </c>
    </row>
    <row r="52" spans="1:5"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31.xml><?xml version="1.0" encoding="utf-8"?>
<worksheet xmlns="http://schemas.openxmlformats.org/spreadsheetml/2006/main" xmlns:r="http://schemas.openxmlformats.org/officeDocument/2006/relationships">
  <sheetPr codeName="Sheet31">
    <pageSetUpPr fitToPage="1"/>
  </sheetPr>
  <dimension ref="A1:G52"/>
  <sheetViews>
    <sheetView showGridLines="0" showZeros="0" workbookViewId="0"/>
  </sheetViews>
  <sheetFormatPr defaultColWidth="15.83203125" defaultRowHeight="12"/>
  <cols>
    <col min="1" max="1" width="34.83203125" style="1" customWidth="1"/>
    <col min="2" max="2" width="19.83203125" style="1" customWidth="1"/>
    <col min="3" max="3" width="12.83203125" style="1" customWidth="1"/>
    <col min="4" max="4" width="19.83203125" style="1" customWidth="1"/>
    <col min="5" max="5" width="12.83203125" style="1" customWidth="1"/>
    <col min="6" max="6" width="19.83203125" style="1" customWidth="1"/>
    <col min="7" max="7" width="12.83203125" style="1" customWidth="1"/>
    <col min="8" max="16384" width="15.83203125" style="1"/>
  </cols>
  <sheetData>
    <row r="1" spans="1:7" ht="6.95" customHeight="1">
      <c r="A1" s="6"/>
      <c r="B1" s="7"/>
      <c r="C1" s="7"/>
      <c r="D1" s="7"/>
      <c r="E1" s="7"/>
      <c r="F1" s="7"/>
      <c r="G1" s="7"/>
    </row>
    <row r="2" spans="1:7" ht="15.95" customHeight="1">
      <c r="A2" s="152"/>
      <c r="B2" s="8" t="s">
        <v>492</v>
      </c>
      <c r="C2" s="9"/>
      <c r="D2" s="9"/>
      <c r="E2" s="9"/>
      <c r="F2" s="9"/>
      <c r="G2" s="523" t="s">
        <v>466</v>
      </c>
    </row>
    <row r="3" spans="1:7" ht="15.95" customHeight="1">
      <c r="A3" s="154"/>
      <c r="B3" s="10" t="str">
        <f>OPYEAR</f>
        <v>OPERATING FUND 2012/2013 ACTUAL</v>
      </c>
      <c r="C3" s="11"/>
      <c r="D3" s="11"/>
      <c r="E3" s="11"/>
      <c r="F3" s="11"/>
      <c r="G3" s="84"/>
    </row>
    <row r="4" spans="1:7" ht="15.95" customHeight="1">
      <c r="B4" s="7"/>
      <c r="C4" s="7"/>
      <c r="D4" s="7"/>
      <c r="E4" s="7"/>
      <c r="F4" s="7"/>
      <c r="G4" s="7"/>
    </row>
    <row r="5" spans="1:7" ht="15.95" customHeight="1">
      <c r="B5" s="7"/>
      <c r="C5" s="7"/>
      <c r="D5" s="7"/>
      <c r="E5" s="7"/>
      <c r="F5" s="7"/>
      <c r="G5" s="7"/>
    </row>
    <row r="6" spans="1:7" ht="15.95" customHeight="1">
      <c r="B6" s="185" t="s">
        <v>35</v>
      </c>
      <c r="C6" s="186"/>
      <c r="D6" s="186"/>
      <c r="E6" s="186"/>
      <c r="F6" s="187"/>
      <c r="G6" s="188"/>
    </row>
    <row r="7" spans="1:7" ht="15.95" customHeight="1">
      <c r="B7" s="753" t="s">
        <v>467</v>
      </c>
      <c r="C7" s="754"/>
      <c r="D7" s="360" t="s">
        <v>469</v>
      </c>
      <c r="E7" s="360"/>
      <c r="F7" s="357" t="s">
        <v>519</v>
      </c>
      <c r="G7" s="358"/>
    </row>
    <row r="8" spans="1:7" ht="15.95" customHeight="1">
      <c r="A8" s="75"/>
      <c r="B8" s="755" t="s">
        <v>468</v>
      </c>
      <c r="C8" s="756"/>
      <c r="D8" s="345" t="s">
        <v>144</v>
      </c>
      <c r="E8" s="345"/>
      <c r="F8" s="344" t="s">
        <v>520</v>
      </c>
      <c r="G8" s="346"/>
    </row>
    <row r="9" spans="1:7" ht="15.95" customHeight="1">
      <c r="A9" s="42" t="s">
        <v>94</v>
      </c>
      <c r="B9" s="189" t="s">
        <v>95</v>
      </c>
      <c r="C9" s="189" t="s">
        <v>96</v>
      </c>
      <c r="D9" s="192" t="s">
        <v>95</v>
      </c>
      <c r="E9" s="189" t="s">
        <v>96</v>
      </c>
      <c r="F9" s="192" t="s">
        <v>95</v>
      </c>
      <c r="G9" s="189" t="s">
        <v>96</v>
      </c>
    </row>
    <row r="10" spans="1:7" ht="5.0999999999999996" customHeight="1">
      <c r="A10" s="5"/>
    </row>
    <row r="11" spans="1:7" ht="14.1" customHeight="1">
      <c r="A11" s="330" t="s">
        <v>236</v>
      </c>
      <c r="B11" s="331">
        <v>12950</v>
      </c>
      <c r="C11" s="337">
        <f>B11/'- 3 -'!$D11*100</f>
        <v>8.2763950375118814E-2</v>
      </c>
      <c r="D11" s="331">
        <v>0</v>
      </c>
      <c r="E11" s="337">
        <f>D11/'- 3 -'!$D11*100</f>
        <v>0</v>
      </c>
      <c r="F11" s="331">
        <v>258098</v>
      </c>
      <c r="G11" s="337">
        <f>F11/'- 3 -'!$D11*100</f>
        <v>1.6495142906499936</v>
      </c>
    </row>
    <row r="12" spans="1:7" ht="14.1" customHeight="1">
      <c r="A12" s="26" t="s">
        <v>237</v>
      </c>
      <c r="B12" s="27">
        <v>261</v>
      </c>
      <c r="C12" s="79">
        <f>B12/'- 3 -'!$D12*100</f>
        <v>8.8385672269381379E-4</v>
      </c>
      <c r="D12" s="27">
        <v>0</v>
      </c>
      <c r="E12" s="79">
        <f>D12/'- 3 -'!$D12*100</f>
        <v>0</v>
      </c>
      <c r="F12" s="27">
        <v>463966</v>
      </c>
      <c r="G12" s="79">
        <f>F12/'- 3 -'!$D12*100</f>
        <v>1.5711857019209119</v>
      </c>
    </row>
    <row r="13" spans="1:7" ht="14.1" customHeight="1">
      <c r="A13" s="330" t="s">
        <v>238</v>
      </c>
      <c r="B13" s="331">
        <v>23304</v>
      </c>
      <c r="C13" s="337">
        <f>B13/'- 3 -'!$D13*100</f>
        <v>2.8973115288842152E-2</v>
      </c>
      <c r="D13" s="331">
        <v>13021</v>
      </c>
      <c r="E13" s="337">
        <f>D13/'- 3 -'!$D13*100</f>
        <v>1.6188591408170857E-2</v>
      </c>
      <c r="F13" s="331">
        <v>1388329</v>
      </c>
      <c r="G13" s="337">
        <f>F13/'- 3 -'!$D13*100</f>
        <v>1.7260648891110084</v>
      </c>
    </row>
    <row r="14" spans="1:7" ht="14.1" customHeight="1">
      <c r="A14" s="26" t="s">
        <v>656</v>
      </c>
      <c r="B14" s="27">
        <v>3088</v>
      </c>
      <c r="C14" s="79">
        <f>B14/'- 3 -'!$D14*100</f>
        <v>4.4199914840734027E-3</v>
      </c>
      <c r="D14" s="27">
        <v>989</v>
      </c>
      <c r="E14" s="79">
        <f>D14/'- 3 -'!$D14*100</f>
        <v>1.4155996041931979E-3</v>
      </c>
      <c r="F14" s="27">
        <v>1028238</v>
      </c>
      <c r="G14" s="79">
        <f>F14/'- 3 -'!$D14*100</f>
        <v>1.4717626954665373</v>
      </c>
    </row>
    <row r="15" spans="1:7" ht="14.1" customHeight="1">
      <c r="A15" s="330" t="s">
        <v>239</v>
      </c>
      <c r="B15" s="331">
        <v>11626</v>
      </c>
      <c r="C15" s="337">
        <f>B15/'- 3 -'!$D15*100</f>
        <v>6.2517990861274325E-2</v>
      </c>
      <c r="D15" s="331">
        <v>0</v>
      </c>
      <c r="E15" s="337">
        <f>D15/'- 3 -'!$D15*100</f>
        <v>0</v>
      </c>
      <c r="F15" s="331">
        <v>286490</v>
      </c>
      <c r="G15" s="337">
        <f>F15/'- 3 -'!$D15*100</f>
        <v>1.5405796664240907</v>
      </c>
    </row>
    <row r="16" spans="1:7" ht="14.1" customHeight="1">
      <c r="A16" s="26" t="s">
        <v>240</v>
      </c>
      <c r="B16" s="27">
        <v>13437</v>
      </c>
      <c r="C16" s="79">
        <f>B16/'- 3 -'!$D16*100</f>
        <v>0.10516170461042154</v>
      </c>
      <c r="D16" s="27">
        <v>0</v>
      </c>
      <c r="E16" s="79">
        <f>D16/'- 3 -'!$D16*100</f>
        <v>0</v>
      </c>
      <c r="F16" s="27">
        <v>198365</v>
      </c>
      <c r="G16" s="79">
        <f>F16/'- 3 -'!$D16*100</f>
        <v>1.5524597406449558</v>
      </c>
    </row>
    <row r="17" spans="1:7" ht="14.1" customHeight="1">
      <c r="A17" s="330" t="s">
        <v>241</v>
      </c>
      <c r="B17" s="331">
        <v>78611</v>
      </c>
      <c r="C17" s="337">
        <f>B17/'- 3 -'!$D17*100</f>
        <v>0.48841885462917456</v>
      </c>
      <c r="D17" s="331">
        <v>0</v>
      </c>
      <c r="E17" s="337">
        <f>D17/'- 3 -'!$D17*100</f>
        <v>0</v>
      </c>
      <c r="F17" s="331">
        <v>258716</v>
      </c>
      <c r="G17" s="337">
        <f>F17/'- 3 -'!$D17*100</f>
        <v>1.6074311787694024</v>
      </c>
    </row>
    <row r="18" spans="1:7" ht="14.1" customHeight="1">
      <c r="A18" s="26" t="s">
        <v>242</v>
      </c>
      <c r="B18" s="27">
        <v>243801</v>
      </c>
      <c r="C18" s="79">
        <f>B18/'- 3 -'!$D18*100</f>
        <v>0.21641502664383827</v>
      </c>
      <c r="D18" s="27">
        <v>0</v>
      </c>
      <c r="E18" s="79">
        <f>D18/'- 3 -'!$D18*100</f>
        <v>0</v>
      </c>
      <c r="F18" s="27">
        <v>1643494</v>
      </c>
      <c r="G18" s="79">
        <f>F18/'- 3 -'!$D18*100</f>
        <v>1.4588816198415442</v>
      </c>
    </row>
    <row r="19" spans="1:7" ht="14.1" customHeight="1">
      <c r="A19" s="330" t="s">
        <v>243</v>
      </c>
      <c r="B19" s="331">
        <v>9475</v>
      </c>
      <c r="C19" s="337">
        <f>B19/'- 3 -'!$D19*100</f>
        <v>2.4318501896098837E-2</v>
      </c>
      <c r="D19" s="331">
        <v>0</v>
      </c>
      <c r="E19" s="337">
        <f>D19/'- 3 -'!$D19*100</f>
        <v>0</v>
      </c>
      <c r="F19" s="331">
        <v>649933</v>
      </c>
      <c r="G19" s="337">
        <f>F19/'- 3 -'!$D19*100</f>
        <v>1.6681157670540583</v>
      </c>
    </row>
    <row r="20" spans="1:7" ht="14.1" customHeight="1">
      <c r="A20" s="26" t="s">
        <v>244</v>
      </c>
      <c r="B20" s="27">
        <v>33417</v>
      </c>
      <c r="C20" s="79">
        <f>B20/'- 3 -'!$D20*100</f>
        <v>4.9386961452011248E-2</v>
      </c>
      <c r="D20" s="27">
        <v>0</v>
      </c>
      <c r="E20" s="79">
        <f>D20/'- 3 -'!$D20*100</f>
        <v>0</v>
      </c>
      <c r="F20" s="27">
        <v>1186819</v>
      </c>
      <c r="G20" s="79">
        <f>F20/'- 3 -'!$D20*100</f>
        <v>1.75399898864394</v>
      </c>
    </row>
    <row r="21" spans="1:7" ht="14.1" customHeight="1">
      <c r="A21" s="330" t="s">
        <v>245</v>
      </c>
      <c r="B21" s="331">
        <v>15221</v>
      </c>
      <c r="C21" s="337">
        <f>B21/'- 3 -'!$D21*100</f>
        <v>4.6601923436906702E-2</v>
      </c>
      <c r="D21" s="331">
        <v>0</v>
      </c>
      <c r="E21" s="337">
        <f>D21/'- 3 -'!$D21*100</f>
        <v>0</v>
      </c>
      <c r="F21" s="331">
        <v>546265</v>
      </c>
      <c r="G21" s="337">
        <f>F21/'- 3 -'!$D21*100</f>
        <v>1.6724919326103305</v>
      </c>
    </row>
    <row r="22" spans="1:7" ht="14.1" customHeight="1">
      <c r="A22" s="26" t="s">
        <v>246</v>
      </c>
      <c r="B22" s="27">
        <v>3302</v>
      </c>
      <c r="C22" s="79">
        <f>B22/'- 3 -'!$D22*100</f>
        <v>1.7776927873372282E-2</v>
      </c>
      <c r="D22" s="27">
        <v>0</v>
      </c>
      <c r="E22" s="79">
        <f>D22/'- 3 -'!$D22*100</f>
        <v>0</v>
      </c>
      <c r="F22" s="27">
        <v>316156</v>
      </c>
      <c r="G22" s="79">
        <f>F22/'- 3 -'!$D22*100</f>
        <v>1.7020843151828853</v>
      </c>
    </row>
    <row r="23" spans="1:7" ht="14.1" customHeight="1">
      <c r="A23" s="330" t="s">
        <v>247</v>
      </c>
      <c r="B23" s="331">
        <v>3583</v>
      </c>
      <c r="C23" s="337">
        <f>B23/'- 3 -'!$D23*100</f>
        <v>2.2291830358362172E-2</v>
      </c>
      <c r="D23" s="331">
        <v>0</v>
      </c>
      <c r="E23" s="337">
        <f>D23/'- 3 -'!$D23*100</f>
        <v>0</v>
      </c>
      <c r="F23" s="331">
        <v>250156</v>
      </c>
      <c r="G23" s="337">
        <f>F23/'- 3 -'!$D23*100</f>
        <v>1.5563592283355978</v>
      </c>
    </row>
    <row r="24" spans="1:7" ht="14.1" customHeight="1">
      <c r="A24" s="26" t="s">
        <v>248</v>
      </c>
      <c r="B24" s="27">
        <v>39360</v>
      </c>
      <c r="C24" s="79">
        <f>B24/'- 3 -'!$D24*100</f>
        <v>7.7072717109937586E-2</v>
      </c>
      <c r="D24" s="27">
        <v>0</v>
      </c>
      <c r="E24" s="79">
        <f>D24/'- 3 -'!$D24*100</f>
        <v>0</v>
      </c>
      <c r="F24" s="27">
        <v>857444</v>
      </c>
      <c r="G24" s="79">
        <f>F24/'- 3 -'!$D24*100</f>
        <v>1.6790025114231026</v>
      </c>
    </row>
    <row r="25" spans="1:7" ht="14.1" customHeight="1">
      <c r="A25" s="330" t="s">
        <v>249</v>
      </c>
      <c r="B25" s="331">
        <v>94473</v>
      </c>
      <c r="C25" s="337">
        <f>B25/'- 3 -'!$D25*100</f>
        <v>6.3066355033839061E-2</v>
      </c>
      <c r="D25" s="331">
        <v>9108</v>
      </c>
      <c r="E25" s="337">
        <f>D25/'- 3 -'!$D25*100</f>
        <v>6.080132542082989E-3</v>
      </c>
      <c r="F25" s="331">
        <v>2511891</v>
      </c>
      <c r="G25" s="337">
        <f>F25/'- 3 -'!$D25*100</f>
        <v>1.676836869923735</v>
      </c>
    </row>
    <row r="26" spans="1:7" ht="14.1" customHeight="1">
      <c r="A26" s="26" t="s">
        <v>250</v>
      </c>
      <c r="B26" s="27">
        <v>84216</v>
      </c>
      <c r="C26" s="79">
        <f>B26/'- 3 -'!$D26*100</f>
        <v>0.22591421338565321</v>
      </c>
      <c r="D26" s="27">
        <v>0</v>
      </c>
      <c r="E26" s="79">
        <f>D26/'- 3 -'!$D26*100</f>
        <v>0</v>
      </c>
      <c r="F26" s="27">
        <v>605615</v>
      </c>
      <c r="G26" s="79">
        <f>F26/'- 3 -'!$D26*100</f>
        <v>1.6245967077461807</v>
      </c>
    </row>
    <row r="27" spans="1:7" ht="14.1" customHeight="1">
      <c r="A27" s="330" t="s">
        <v>251</v>
      </c>
      <c r="B27" s="331">
        <v>1569</v>
      </c>
      <c r="C27" s="337">
        <f>B27/'- 3 -'!$D27*100</f>
        <v>4.3031629591631206E-3</v>
      </c>
      <c r="D27" s="331">
        <v>10000</v>
      </c>
      <c r="E27" s="337">
        <f>D27/'- 3 -'!$D27*100</f>
        <v>2.7426150154003317E-2</v>
      </c>
      <c r="F27" s="331">
        <v>665442</v>
      </c>
      <c r="G27" s="337">
        <f>F27/'- 3 -'!$D27*100</f>
        <v>1.8250512210780274</v>
      </c>
    </row>
    <row r="28" spans="1:7" ht="14.1" customHeight="1">
      <c r="A28" s="26" t="s">
        <v>252</v>
      </c>
      <c r="B28" s="27">
        <v>31734</v>
      </c>
      <c r="C28" s="79">
        <f>B28/'- 3 -'!$D28*100</f>
        <v>0.12460293954409396</v>
      </c>
      <c r="D28" s="27">
        <v>0</v>
      </c>
      <c r="E28" s="79">
        <f>D28/'- 3 -'!$D28*100</f>
        <v>0</v>
      </c>
      <c r="F28" s="27">
        <v>385737</v>
      </c>
      <c r="G28" s="79">
        <f>F28/'- 3 -'!$D28*100</f>
        <v>1.5145888980563487</v>
      </c>
    </row>
    <row r="29" spans="1:7" ht="14.1" customHeight="1">
      <c r="A29" s="330" t="s">
        <v>253</v>
      </c>
      <c r="B29" s="331">
        <v>90970</v>
      </c>
      <c r="C29" s="337">
        <f>B29/'- 3 -'!$D29*100</f>
        <v>6.5884142377130861E-2</v>
      </c>
      <c r="D29" s="331">
        <v>0</v>
      </c>
      <c r="E29" s="337">
        <f>D29/'- 3 -'!$D29*100</f>
        <v>0</v>
      </c>
      <c r="F29" s="331">
        <v>2346746</v>
      </c>
      <c r="G29" s="337">
        <f>F29/'- 3 -'!$D29*100</f>
        <v>1.6996080860389395</v>
      </c>
    </row>
    <row r="30" spans="1:7" ht="14.1" customHeight="1">
      <c r="A30" s="26" t="s">
        <v>254</v>
      </c>
      <c r="B30" s="27">
        <v>4890</v>
      </c>
      <c r="C30" s="79">
        <f>B30/'- 3 -'!$D30*100</f>
        <v>3.6727149798177178E-2</v>
      </c>
      <c r="D30" s="27">
        <v>0</v>
      </c>
      <c r="E30" s="79">
        <f>D30/'- 3 -'!$D30*100</f>
        <v>0</v>
      </c>
      <c r="F30" s="27">
        <v>207743</v>
      </c>
      <c r="G30" s="79">
        <f>F30/'- 3 -'!$D30*100</f>
        <v>1.5602879919269368</v>
      </c>
    </row>
    <row r="31" spans="1:7" ht="14.1" customHeight="1">
      <c r="A31" s="330" t="s">
        <v>255</v>
      </c>
      <c r="B31" s="331">
        <v>34433</v>
      </c>
      <c r="C31" s="337">
        <f>B31/'- 3 -'!$D31*100</f>
        <v>0.10549771048858281</v>
      </c>
      <c r="D31" s="331">
        <v>0</v>
      </c>
      <c r="E31" s="337">
        <f>D31/'- 3 -'!$D31*100</f>
        <v>0</v>
      </c>
      <c r="F31" s="331">
        <v>559788</v>
      </c>
      <c r="G31" s="337">
        <f>F31/'- 3 -'!$D31*100</f>
        <v>1.7151091208719191</v>
      </c>
    </row>
    <row r="32" spans="1:7" ht="14.1" customHeight="1">
      <c r="A32" s="26" t="s">
        <v>256</v>
      </c>
      <c r="B32" s="27">
        <v>18355</v>
      </c>
      <c r="C32" s="79">
        <f>B32/'- 3 -'!$D32*100</f>
        <v>7.4367100723927576E-2</v>
      </c>
      <c r="D32" s="27">
        <v>0</v>
      </c>
      <c r="E32" s="79">
        <f>D32/'- 3 -'!$D32*100</f>
        <v>0</v>
      </c>
      <c r="F32" s="27">
        <v>396987</v>
      </c>
      <c r="G32" s="79">
        <f>F32/'- 3 -'!$D32*100</f>
        <v>1.608432155548343</v>
      </c>
    </row>
    <row r="33" spans="1:7" ht="14.1" customHeight="1">
      <c r="A33" s="330" t="s">
        <v>257</v>
      </c>
      <c r="B33" s="331">
        <v>9990</v>
      </c>
      <c r="C33" s="337">
        <f>B33/'- 3 -'!$D33*100</f>
        <v>3.9571140731414906E-2</v>
      </c>
      <c r="D33" s="331">
        <v>0</v>
      </c>
      <c r="E33" s="337">
        <f>D33/'- 3 -'!$D33*100</f>
        <v>0</v>
      </c>
      <c r="F33" s="331">
        <v>414501</v>
      </c>
      <c r="G33" s="337">
        <f>F33/'- 3 -'!$D33*100</f>
        <v>1.6418696100412622</v>
      </c>
    </row>
    <row r="34" spans="1:7" ht="14.1" customHeight="1">
      <c r="A34" s="26" t="s">
        <v>258</v>
      </c>
      <c r="B34" s="27">
        <v>71164</v>
      </c>
      <c r="C34" s="79">
        <f>B34/'- 3 -'!$D34*100</f>
        <v>0.29383029867517069</v>
      </c>
      <c r="D34" s="27">
        <v>84</v>
      </c>
      <c r="E34" s="79">
        <f>D34/'- 3 -'!$D34*100</f>
        <v>3.4682908617720111E-4</v>
      </c>
      <c r="F34" s="27">
        <v>389351</v>
      </c>
      <c r="G34" s="79">
        <f>F34/'- 3 -'!$D34*100</f>
        <v>1.6075982325259455</v>
      </c>
    </row>
    <row r="35" spans="1:7" ht="14.1" customHeight="1">
      <c r="A35" s="330" t="s">
        <v>259</v>
      </c>
      <c r="B35" s="331">
        <v>14597</v>
      </c>
      <c r="C35" s="337">
        <f>B35/'- 3 -'!$D35*100</f>
        <v>8.7916497480460872E-3</v>
      </c>
      <c r="D35" s="331">
        <v>0</v>
      </c>
      <c r="E35" s="337">
        <f>D35/'- 3 -'!$D35*100</f>
        <v>0</v>
      </c>
      <c r="F35" s="331">
        <v>2854095</v>
      </c>
      <c r="G35" s="337">
        <f>F35/'- 3 -'!$D35*100</f>
        <v>1.7189972999691439</v>
      </c>
    </row>
    <row r="36" spans="1:7" ht="14.1" customHeight="1">
      <c r="A36" s="26" t="s">
        <v>260</v>
      </c>
      <c r="B36" s="27">
        <v>21592</v>
      </c>
      <c r="C36" s="79">
        <f>B36/'- 3 -'!$D36*100</f>
        <v>0.10506983358071201</v>
      </c>
      <c r="D36" s="27">
        <v>0</v>
      </c>
      <c r="E36" s="79">
        <f>D36/'- 3 -'!$D36*100</f>
        <v>0</v>
      </c>
      <c r="F36" s="27">
        <v>317789</v>
      </c>
      <c r="G36" s="79">
        <f>F36/'- 3 -'!$D36*100</f>
        <v>1.5464078058438719</v>
      </c>
    </row>
    <row r="37" spans="1:7" ht="14.1" customHeight="1">
      <c r="A37" s="330" t="s">
        <v>261</v>
      </c>
      <c r="B37" s="331">
        <v>24187</v>
      </c>
      <c r="C37" s="337">
        <f>B37/'- 3 -'!$D37*100</f>
        <v>6.1081261310999786E-2</v>
      </c>
      <c r="D37" s="331">
        <v>0</v>
      </c>
      <c r="E37" s="337">
        <f>D37/'- 3 -'!$D37*100</f>
        <v>0</v>
      </c>
      <c r="F37" s="331">
        <v>665365</v>
      </c>
      <c r="G37" s="337">
        <f>F37/'- 3 -'!$D37*100</f>
        <v>1.6802965821388918</v>
      </c>
    </row>
    <row r="38" spans="1:7" ht="14.1" customHeight="1">
      <c r="A38" s="26" t="s">
        <v>262</v>
      </c>
      <c r="B38" s="27">
        <v>19037</v>
      </c>
      <c r="C38" s="79">
        <f>B38/'- 3 -'!$D38*100</f>
        <v>1.7301475812160558E-2</v>
      </c>
      <c r="D38" s="27">
        <v>34059</v>
      </c>
      <c r="E38" s="79">
        <f>D38/'- 3 -'!$D38*100</f>
        <v>3.0953982491273648E-2</v>
      </c>
      <c r="F38" s="27">
        <v>1923562</v>
      </c>
      <c r="G38" s="79">
        <f>F38/'- 3 -'!$D38*100</f>
        <v>1.7481988452062398</v>
      </c>
    </row>
    <row r="39" spans="1:7" ht="14.1" customHeight="1">
      <c r="A39" s="330" t="s">
        <v>263</v>
      </c>
      <c r="B39" s="331">
        <v>107525</v>
      </c>
      <c r="C39" s="337">
        <f>B39/'- 3 -'!$D39*100</f>
        <v>0.5505041829870273</v>
      </c>
      <c r="D39" s="331">
        <v>0</v>
      </c>
      <c r="E39" s="337">
        <f>D39/'- 3 -'!$D39*100</f>
        <v>0</v>
      </c>
      <c r="F39" s="331">
        <v>318330</v>
      </c>
      <c r="G39" s="337">
        <f>F39/'- 3 -'!$D39*100</f>
        <v>1.6297790892374833</v>
      </c>
    </row>
    <row r="40" spans="1:7" ht="14.1" customHeight="1">
      <c r="A40" s="26" t="s">
        <v>264</v>
      </c>
      <c r="B40" s="27">
        <v>22927</v>
      </c>
      <c r="C40" s="79">
        <f>B40/'- 3 -'!$D40*100</f>
        <v>2.4709723527864363E-2</v>
      </c>
      <c r="D40" s="27">
        <v>0</v>
      </c>
      <c r="E40" s="79">
        <f>D40/'- 3 -'!$D40*100</f>
        <v>0</v>
      </c>
      <c r="F40" s="27">
        <v>1580730</v>
      </c>
      <c r="G40" s="79">
        <f>F40/'- 3 -'!$D40*100</f>
        <v>1.7036420496445688</v>
      </c>
    </row>
    <row r="41" spans="1:7" ht="14.1" customHeight="1">
      <c r="A41" s="330" t="s">
        <v>265</v>
      </c>
      <c r="B41" s="331">
        <v>119708</v>
      </c>
      <c r="C41" s="337">
        <f>B41/'- 3 -'!$D41*100</f>
        <v>0.20674198768152249</v>
      </c>
      <c r="D41" s="331">
        <v>463</v>
      </c>
      <c r="E41" s="337">
        <f>D41/'- 3 -'!$D41*100</f>
        <v>7.9962525726388304E-4</v>
      </c>
      <c r="F41" s="331">
        <v>931834</v>
      </c>
      <c r="G41" s="337">
        <f>F41/'- 3 -'!$D41*100</f>
        <v>1.6093261381797692</v>
      </c>
    </row>
    <row r="42" spans="1:7" ht="14.1" customHeight="1">
      <c r="A42" s="26" t="s">
        <v>266</v>
      </c>
      <c r="B42" s="27">
        <v>0</v>
      </c>
      <c r="C42" s="79">
        <f>B42/'- 3 -'!$D42*100</f>
        <v>0</v>
      </c>
      <c r="D42" s="27">
        <v>0</v>
      </c>
      <c r="E42" s="79">
        <f>D42/'- 3 -'!$D42*100</f>
        <v>0</v>
      </c>
      <c r="F42" s="27">
        <v>317451</v>
      </c>
      <c r="G42" s="79">
        <f>F42/'- 3 -'!$D42*100</f>
        <v>1.613162469925121</v>
      </c>
    </row>
    <row r="43" spans="1:7" ht="14.1" customHeight="1">
      <c r="A43" s="330" t="s">
        <v>267</v>
      </c>
      <c r="B43" s="331">
        <v>15883</v>
      </c>
      <c r="C43" s="337">
        <f>B43/'- 3 -'!$D43*100</f>
        <v>0.13638845299960997</v>
      </c>
      <c r="D43" s="331">
        <v>0</v>
      </c>
      <c r="E43" s="337">
        <f>D43/'- 3 -'!$D43*100</f>
        <v>0</v>
      </c>
      <c r="F43" s="331">
        <v>191964</v>
      </c>
      <c r="G43" s="337">
        <f>F43/'- 3 -'!$D43*100</f>
        <v>1.6484085494942471</v>
      </c>
    </row>
    <row r="44" spans="1:7" ht="14.1" customHeight="1">
      <c r="A44" s="26" t="s">
        <v>268</v>
      </c>
      <c r="B44" s="27">
        <v>960</v>
      </c>
      <c r="C44" s="79">
        <f>B44/'- 3 -'!$D44*100</f>
        <v>9.8421110097852114E-3</v>
      </c>
      <c r="D44" s="27">
        <v>0</v>
      </c>
      <c r="E44" s="79">
        <f>D44/'- 3 -'!$D44*100</f>
        <v>0</v>
      </c>
      <c r="F44" s="27">
        <v>150073</v>
      </c>
      <c r="G44" s="79">
        <f>F44/'- 3 -'!$D44*100</f>
        <v>1.5385782558036416</v>
      </c>
    </row>
    <row r="45" spans="1:7" ht="14.1" customHeight="1">
      <c r="A45" s="330" t="s">
        <v>269</v>
      </c>
      <c r="B45" s="331">
        <v>21328</v>
      </c>
      <c r="C45" s="337">
        <f>B45/'- 3 -'!$D45*100</f>
        <v>0.13088912056601446</v>
      </c>
      <c r="D45" s="331">
        <v>0</v>
      </c>
      <c r="E45" s="337">
        <f>D45/'- 3 -'!$D45*100</f>
        <v>0</v>
      </c>
      <c r="F45" s="331">
        <v>269808</v>
      </c>
      <c r="G45" s="337">
        <f>F45/'- 3 -'!$D45*100</f>
        <v>1.655801380423632</v>
      </c>
    </row>
    <row r="46" spans="1:7" ht="14.1" customHeight="1">
      <c r="A46" s="26" t="s">
        <v>270</v>
      </c>
      <c r="B46" s="27">
        <v>186928</v>
      </c>
      <c r="C46" s="79">
        <f>B46/'- 3 -'!$D46*100</f>
        <v>5.381723718879456E-2</v>
      </c>
      <c r="D46" s="27">
        <v>-280770</v>
      </c>
      <c r="E46" s="79">
        <f>D46/'- 3 -'!$D46*100</f>
        <v>-8.0834683329933724E-2</v>
      </c>
      <c r="F46" s="27">
        <v>6003942</v>
      </c>
      <c r="G46" s="79">
        <f>F46/'- 3 -'!$D46*100</f>
        <v>1.7285562926996794</v>
      </c>
    </row>
    <row r="47" spans="1:7" ht="5.0999999999999996" customHeight="1">
      <c r="A47"/>
      <c r="B47" s="29"/>
      <c r="C47"/>
      <c r="D47" s="29"/>
      <c r="E47"/>
      <c r="F47" s="29"/>
      <c r="G47"/>
    </row>
    <row r="48" spans="1:7" ht="14.1" customHeight="1">
      <c r="A48" s="332" t="s">
        <v>271</v>
      </c>
      <c r="B48" s="333">
        <f>SUM(B11:B46)</f>
        <v>1487902</v>
      </c>
      <c r="C48" s="340">
        <f>B48/'- 3 -'!$D48*100</f>
        <v>7.4435059940883841E-2</v>
      </c>
      <c r="D48" s="333">
        <f>SUM(D11:D46)</f>
        <v>-213046</v>
      </c>
      <c r="E48" s="340">
        <f>D48/'- 3 -'!$F48*100</f>
        <v>-1.081384956940082E-2</v>
      </c>
      <c r="F48" s="333">
        <f>SUM(F11:F46)</f>
        <v>33341213</v>
      </c>
      <c r="G48" s="340">
        <f>F48/'- 3 -'!$D48*100</f>
        <v>1.6679560805461486</v>
      </c>
    </row>
    <row r="49" spans="1:7" ht="5.0999999999999996" customHeight="1">
      <c r="A49" s="28" t="s">
        <v>17</v>
      </c>
      <c r="B49" s="29"/>
      <c r="C49"/>
      <c r="D49" s="29"/>
      <c r="E49"/>
      <c r="F49" s="29"/>
      <c r="G49"/>
    </row>
    <row r="50" spans="1:7" ht="14.1" customHeight="1">
      <c r="A50" s="26" t="s">
        <v>272</v>
      </c>
      <c r="B50" s="27">
        <v>0</v>
      </c>
      <c r="C50" s="79">
        <f>B50/'- 3 -'!$D50*100</f>
        <v>0</v>
      </c>
      <c r="D50" s="27">
        <v>0</v>
      </c>
      <c r="E50" s="79">
        <f>D50/'- 3 -'!$D50*100</f>
        <v>0</v>
      </c>
      <c r="F50" s="27">
        <v>42881</v>
      </c>
      <c r="G50" s="79">
        <f>F50/'- 3 -'!$D50*100</f>
        <v>1.3520590830995609</v>
      </c>
    </row>
    <row r="51" spans="1:7" ht="14.1" customHeight="1">
      <c r="A51" s="330" t="s">
        <v>273</v>
      </c>
      <c r="B51" s="331">
        <v>39210</v>
      </c>
      <c r="C51" s="337">
        <f>B51/'- 3 -'!$D51*100</f>
        <v>0.21680216202790581</v>
      </c>
      <c r="D51" s="331">
        <v>0</v>
      </c>
      <c r="E51" s="337">
        <f>D51/'- 3 -'!$D51*100</f>
        <v>0</v>
      </c>
      <c r="F51" s="331">
        <v>119377</v>
      </c>
      <c r="G51" s="337">
        <f>F51/'- 3 -'!$D51*100</f>
        <v>0.66006609784252268</v>
      </c>
    </row>
    <row r="52" spans="1:7" ht="50.1" customHeight="1"/>
  </sheetData>
  <mergeCells count="2">
    <mergeCell ref="B7:C7"/>
    <mergeCell ref="B8:C8"/>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32.xml><?xml version="1.0" encoding="utf-8"?>
<worksheet xmlns="http://schemas.openxmlformats.org/spreadsheetml/2006/main" xmlns:r="http://schemas.openxmlformats.org/officeDocument/2006/relationships">
  <sheetPr codeName="Sheet32">
    <pageSetUpPr fitToPage="1"/>
  </sheetPr>
  <dimension ref="A1:H52"/>
  <sheetViews>
    <sheetView showGridLines="0" showZeros="0" workbookViewId="0"/>
  </sheetViews>
  <sheetFormatPr defaultColWidth="15.83203125" defaultRowHeight="12"/>
  <cols>
    <col min="1" max="1" width="32.83203125" style="1" customWidth="1"/>
    <col min="2" max="2" width="16.83203125" style="1" customWidth="1"/>
    <col min="3" max="3" width="17.83203125" style="1" customWidth="1"/>
    <col min="4" max="4" width="10.83203125" style="1" customWidth="1"/>
    <col min="5" max="5" width="15.83203125" style="1" customWidth="1"/>
    <col min="6" max="6" width="11.83203125" style="1" customWidth="1"/>
    <col min="7" max="7" width="14.83203125" style="1" customWidth="1"/>
    <col min="8" max="8" width="11.83203125" style="1" customWidth="1"/>
    <col min="9" max="16384" width="15.83203125" style="1"/>
  </cols>
  <sheetData>
    <row r="1" spans="1:8" ht="6.95" customHeight="1">
      <c r="A1" s="6"/>
      <c r="B1" s="7"/>
      <c r="C1" s="7"/>
      <c r="D1" s="7"/>
      <c r="E1" s="7"/>
      <c r="F1" s="7"/>
      <c r="G1" s="7"/>
      <c r="H1" s="7"/>
    </row>
    <row r="2" spans="1:8" ht="15.95" customHeight="1">
      <c r="A2" s="152"/>
      <c r="B2" s="8" t="s">
        <v>496</v>
      </c>
      <c r="C2" s="9"/>
      <c r="D2" s="9"/>
      <c r="E2" s="9"/>
      <c r="F2" s="82"/>
      <c r="G2" s="82"/>
      <c r="H2" s="82"/>
    </row>
    <row r="3" spans="1:8" ht="15.95" customHeight="1">
      <c r="A3" s="154"/>
      <c r="B3" s="10" t="str">
        <f>OPYEAR</f>
        <v>OPERATING FUND 2012/2013 ACTUAL</v>
      </c>
      <c r="C3" s="11"/>
      <c r="D3" s="11"/>
      <c r="E3" s="11"/>
      <c r="F3" s="84"/>
      <c r="G3" s="84"/>
      <c r="H3" s="84"/>
    </row>
    <row r="4" spans="1:8" ht="15.95" customHeight="1">
      <c r="B4" s="7"/>
      <c r="C4" s="7"/>
      <c r="D4" s="7"/>
      <c r="E4" s="7"/>
      <c r="F4" s="7"/>
      <c r="G4" s="7"/>
      <c r="H4" s="7"/>
    </row>
    <row r="5" spans="1:8" ht="15.95" customHeight="1">
      <c r="B5" s="7"/>
      <c r="C5" s="7"/>
      <c r="D5" s="7"/>
      <c r="E5" s="7"/>
      <c r="F5" s="7"/>
      <c r="G5" s="7"/>
      <c r="H5" s="7"/>
    </row>
    <row r="6" spans="1:8" ht="15.95" customHeight="1">
      <c r="B6" s="357" t="s">
        <v>39</v>
      </c>
      <c r="C6" s="360"/>
      <c r="D6" s="364"/>
      <c r="E6" s="364"/>
      <c r="F6" s="364"/>
      <c r="G6" s="364"/>
      <c r="H6" s="354"/>
    </row>
    <row r="7" spans="1:8" ht="15.95" customHeight="1">
      <c r="B7" s="344" t="s">
        <v>69</v>
      </c>
      <c r="C7" s="345"/>
      <c r="D7" s="356"/>
      <c r="E7" s="356"/>
      <c r="F7" s="356"/>
      <c r="G7" s="356"/>
      <c r="H7" s="365"/>
    </row>
    <row r="8" spans="1:8" ht="15.95" customHeight="1">
      <c r="A8" s="75"/>
      <c r="B8" s="38"/>
      <c r="C8" s="85" t="s">
        <v>201</v>
      </c>
      <c r="D8" s="86" t="s">
        <v>74</v>
      </c>
      <c r="E8" s="183" t="s">
        <v>86</v>
      </c>
      <c r="F8" s="183" t="s">
        <v>87</v>
      </c>
      <c r="G8" s="183" t="s">
        <v>88</v>
      </c>
      <c r="H8" s="183" t="s">
        <v>87</v>
      </c>
    </row>
    <row r="9" spans="1:8" ht="15.95" customHeight="1">
      <c r="A9" s="42" t="s">
        <v>94</v>
      </c>
      <c r="B9" s="87" t="s">
        <v>95</v>
      </c>
      <c r="C9" s="87" t="s">
        <v>101</v>
      </c>
      <c r="D9" s="87" t="s">
        <v>97</v>
      </c>
      <c r="E9" s="87" t="s">
        <v>102</v>
      </c>
      <c r="F9" s="87" t="s">
        <v>103</v>
      </c>
      <c r="G9" s="87" t="s">
        <v>104</v>
      </c>
      <c r="H9" s="87" t="s">
        <v>103</v>
      </c>
    </row>
    <row r="10" spans="1:8" ht="5.0999999999999996" customHeight="1">
      <c r="A10" s="5"/>
    </row>
    <row r="11" spans="1:8" ht="14.1" customHeight="1">
      <c r="A11" s="330" t="s">
        <v>236</v>
      </c>
      <c r="B11" s="331">
        <f>'- 30 -'!$D11</f>
        <v>946645</v>
      </c>
      <c r="C11" s="331">
        <v>686</v>
      </c>
      <c r="D11" s="331">
        <f ca="1">IF(AND(CELL("type",C11)="v",C11&gt;0),B11/C11,"")</f>
        <v>1379.9489795918366</v>
      </c>
      <c r="E11" s="331">
        <v>616113</v>
      </c>
      <c r="F11" s="420">
        <f ca="1">IF(AND(CELL("type",E11)="v",E11&gt;0),B11/E11,"")</f>
        <v>1.5364795094406383</v>
      </c>
      <c r="G11" s="331">
        <v>396055</v>
      </c>
      <c r="H11" s="420">
        <f ca="1">IF(AND(CELL("type",G11)="v",G11&gt;0),B11/G11,"")</f>
        <v>2.3901857065306586</v>
      </c>
    </row>
    <row r="12" spans="1:8" ht="14.1" customHeight="1">
      <c r="A12" s="26" t="s">
        <v>237</v>
      </c>
      <c r="B12" s="27">
        <f>'- 30 -'!$D12</f>
        <v>1969954</v>
      </c>
      <c r="C12" s="27">
        <v>1581</v>
      </c>
      <c r="D12" s="27">
        <f t="shared" ref="D12:D46" ca="1" si="0">IF(AND(CELL("type",C12)="v",C12&gt;0),B12/C12,"")</f>
        <v>1246.0177103099304</v>
      </c>
      <c r="E12" s="27">
        <v>1228158</v>
      </c>
      <c r="F12" s="421">
        <f t="shared" ref="F12:F46" ca="1" si="1">IF(AND(CELL("type",E12)="v",E12&gt;0),B12/E12,"")</f>
        <v>1.6039906917513871</v>
      </c>
      <c r="G12" s="27">
        <v>870392</v>
      </c>
      <c r="H12" s="421">
        <f t="shared" ref="H12:H46" ca="1" si="2">IF(AND(CELL("type",G12)="v",G12&gt;0),B12/G12,"")</f>
        <v>2.2632951589628583</v>
      </c>
    </row>
    <row r="13" spans="1:8" ht="14.1" customHeight="1">
      <c r="A13" s="330" t="s">
        <v>238</v>
      </c>
      <c r="B13" s="331">
        <f>'- 30 -'!$D13</f>
        <v>1703822</v>
      </c>
      <c r="C13" s="331">
        <v>2856</v>
      </c>
      <c r="D13" s="331">
        <f t="shared" ca="1" si="0"/>
        <v>596.57633053221286</v>
      </c>
      <c r="E13" s="331">
        <v>818608.4</v>
      </c>
      <c r="F13" s="420">
        <f t="shared" ca="1" si="1"/>
        <v>2.0813639342083468</v>
      </c>
      <c r="G13" s="331">
        <v>506284</v>
      </c>
      <c r="H13" s="420">
        <f t="shared" ca="1" si="2"/>
        <v>3.3653483025337558</v>
      </c>
    </row>
    <row r="14" spans="1:8" ht="14.1" customHeight="1">
      <c r="A14" s="26" t="s">
        <v>656</v>
      </c>
      <c r="B14" s="27">
        <f>'- 30 -'!$D14</f>
        <v>6768473</v>
      </c>
      <c r="C14" s="27">
        <v>4192</v>
      </c>
      <c r="D14" s="27">
        <f t="shared" ca="1" si="0"/>
        <v>1614.6166507633588</v>
      </c>
      <c r="E14" s="27">
        <v>2898252</v>
      </c>
      <c r="F14" s="421">
        <f t="shared" ca="1" si="1"/>
        <v>2.3353638676001949</v>
      </c>
      <c r="G14" s="27">
        <v>1538404</v>
      </c>
      <c r="H14" s="421">
        <f t="shared" ca="1" si="2"/>
        <v>4.3996719977327148</v>
      </c>
    </row>
    <row r="15" spans="1:8" ht="14.1" customHeight="1">
      <c r="A15" s="330" t="s">
        <v>239</v>
      </c>
      <c r="B15" s="331">
        <f>'- 30 -'!$D15</f>
        <v>1149663</v>
      </c>
      <c r="C15" s="331">
        <v>1060</v>
      </c>
      <c r="D15" s="331">
        <f t="shared" ca="1" si="0"/>
        <v>1084.5877358490566</v>
      </c>
      <c r="E15" s="331">
        <v>705000</v>
      </c>
      <c r="F15" s="420">
        <f t="shared" ca="1" si="1"/>
        <v>1.6307276595744682</v>
      </c>
      <c r="G15" s="331">
        <v>458720</v>
      </c>
      <c r="H15" s="420">
        <f t="shared" ca="1" si="2"/>
        <v>2.5062412800837111</v>
      </c>
    </row>
    <row r="16" spans="1:8" ht="14.1" customHeight="1">
      <c r="A16" s="26" t="s">
        <v>240</v>
      </c>
      <c r="B16" s="27">
        <f>'- 30 -'!$D16</f>
        <v>339648</v>
      </c>
      <c r="C16" s="27">
        <v>248</v>
      </c>
      <c r="D16" s="27">
        <f t="shared" ca="1" si="0"/>
        <v>1369.5483870967741</v>
      </c>
      <c r="E16" s="27">
        <v>60078</v>
      </c>
      <c r="F16" s="421">
        <f t="shared" ca="1" si="1"/>
        <v>5.6534505143313689</v>
      </c>
      <c r="G16" s="27">
        <v>38874</v>
      </c>
      <c r="H16" s="421">
        <f t="shared" ca="1" si="2"/>
        <v>8.7371507948757525</v>
      </c>
    </row>
    <row r="17" spans="1:8" ht="14.1" customHeight="1">
      <c r="A17" s="330" t="s">
        <v>241</v>
      </c>
      <c r="B17" s="331">
        <f>'- 30 -'!$D17</f>
        <v>1222666</v>
      </c>
      <c r="C17" s="331">
        <v>643</v>
      </c>
      <c r="D17" s="331">
        <f t="shared" ca="1" si="0"/>
        <v>1901.50233281493</v>
      </c>
      <c r="E17" s="331">
        <v>899665</v>
      </c>
      <c r="F17" s="420">
        <f t="shared" ca="1" si="1"/>
        <v>1.3590236365758366</v>
      </c>
      <c r="G17" s="331">
        <v>575645</v>
      </c>
      <c r="H17" s="420">
        <f t="shared" ca="1" si="2"/>
        <v>2.1239930860165552</v>
      </c>
    </row>
    <row r="18" spans="1:8" ht="14.1" customHeight="1">
      <c r="A18" s="26" t="s">
        <v>242</v>
      </c>
      <c r="B18" s="27">
        <f>'- 30 -'!$D18</f>
        <v>6367270</v>
      </c>
      <c r="C18" s="27">
        <v>4997</v>
      </c>
      <c r="D18" s="27">
        <f t="shared" ca="1" si="0"/>
        <v>1274.2185311186713</v>
      </c>
      <c r="E18" s="27">
        <v>1480800</v>
      </c>
      <c r="F18" s="421">
        <f t="shared" ca="1" si="1"/>
        <v>4.2998851971907079</v>
      </c>
      <c r="G18" s="27">
        <v>999373</v>
      </c>
      <c r="H18" s="421">
        <f t="shared" ca="1" si="2"/>
        <v>6.3712647830189528</v>
      </c>
    </row>
    <row r="19" spans="1:8" ht="14.1" customHeight="1">
      <c r="A19" s="330" t="s">
        <v>243</v>
      </c>
      <c r="B19" s="331">
        <f>'- 30 -'!$D19</f>
        <v>1856955</v>
      </c>
      <c r="C19" s="331">
        <v>2763</v>
      </c>
      <c r="D19" s="331">
        <f t="shared" ca="1" si="0"/>
        <v>672.07926167209553</v>
      </c>
      <c r="E19" s="331">
        <v>710892</v>
      </c>
      <c r="F19" s="420">
        <f t="shared" ca="1" si="1"/>
        <v>2.6121478368022149</v>
      </c>
      <c r="G19" s="331">
        <v>425880</v>
      </c>
      <c r="H19" s="420">
        <f t="shared" ca="1" si="2"/>
        <v>4.3602775429698504</v>
      </c>
    </row>
    <row r="20" spans="1:8" ht="14.1" customHeight="1">
      <c r="A20" s="26" t="s">
        <v>244</v>
      </c>
      <c r="B20" s="27">
        <f>'- 30 -'!$D20</f>
        <v>2875208</v>
      </c>
      <c r="C20" s="27">
        <v>5052</v>
      </c>
      <c r="D20" s="27">
        <f t="shared" ca="1" si="0"/>
        <v>569.12272367379251</v>
      </c>
      <c r="E20" s="27">
        <v>1381253</v>
      </c>
      <c r="F20" s="421">
        <f t="shared" ca="1" si="1"/>
        <v>2.0815940309269916</v>
      </c>
      <c r="G20" s="27">
        <v>838565</v>
      </c>
      <c r="H20" s="421">
        <f t="shared" ca="1" si="2"/>
        <v>3.4287240702867399</v>
      </c>
    </row>
    <row r="21" spans="1:8" ht="14.1" customHeight="1">
      <c r="A21" s="330" t="s">
        <v>245</v>
      </c>
      <c r="B21" s="331">
        <f>'- 30 -'!$D21</f>
        <v>1798789</v>
      </c>
      <c r="C21" s="331">
        <v>1610</v>
      </c>
      <c r="D21" s="331">
        <f t="shared" ca="1" si="0"/>
        <v>1117.260248447205</v>
      </c>
      <c r="E21" s="331">
        <v>908851.19999999995</v>
      </c>
      <c r="F21" s="420">
        <f t="shared" ca="1" si="1"/>
        <v>1.9791897727592813</v>
      </c>
      <c r="G21" s="331">
        <v>593526</v>
      </c>
      <c r="H21" s="420">
        <f t="shared" ca="1" si="2"/>
        <v>3.0306827333596171</v>
      </c>
    </row>
    <row r="22" spans="1:8" ht="14.1" customHeight="1">
      <c r="A22" s="26" t="s">
        <v>246</v>
      </c>
      <c r="B22" s="27">
        <f>'- 30 -'!$D22</f>
        <v>428931</v>
      </c>
      <c r="C22" s="27">
        <v>494</v>
      </c>
      <c r="D22" s="27">
        <f t="shared" ca="1" si="0"/>
        <v>868.28137651821862</v>
      </c>
      <c r="E22" s="27">
        <v>178502</v>
      </c>
      <c r="F22" s="421">
        <f t="shared" ca="1" si="1"/>
        <v>2.4029478661303516</v>
      </c>
      <c r="G22" s="27">
        <v>112326</v>
      </c>
      <c r="H22" s="421">
        <f t="shared" ca="1" si="2"/>
        <v>3.8186261417659315</v>
      </c>
    </row>
    <row r="23" spans="1:8" ht="14.1" customHeight="1">
      <c r="A23" s="330" t="s">
        <v>247</v>
      </c>
      <c r="B23" s="331">
        <f>'- 30 -'!$D23</f>
        <v>1500080</v>
      </c>
      <c r="C23" s="331">
        <v>814</v>
      </c>
      <c r="D23" s="331">
        <f t="shared" ca="1" si="0"/>
        <v>1842.8501228501229</v>
      </c>
      <c r="E23" s="331">
        <v>1048631</v>
      </c>
      <c r="F23" s="420">
        <f t="shared" ca="1" si="1"/>
        <v>1.4305127351756719</v>
      </c>
      <c r="G23" s="331">
        <v>616888</v>
      </c>
      <c r="H23" s="420">
        <f t="shared" ca="1" si="2"/>
        <v>2.4316893828377273</v>
      </c>
    </row>
    <row r="24" spans="1:8" ht="14.1" customHeight="1">
      <c r="A24" s="26" t="s">
        <v>248</v>
      </c>
      <c r="B24" s="27">
        <f>'- 30 -'!$D24</f>
        <v>2077469</v>
      </c>
      <c r="C24" s="27">
        <v>3019</v>
      </c>
      <c r="D24" s="27">
        <f t="shared" ca="1" si="0"/>
        <v>688.13150049685328</v>
      </c>
      <c r="E24" s="27">
        <v>1050528</v>
      </c>
      <c r="F24" s="421">
        <f t="shared" ca="1" si="1"/>
        <v>1.9775474808858022</v>
      </c>
      <c r="G24" s="27">
        <v>673320</v>
      </c>
      <c r="H24" s="421">
        <f t="shared" ca="1" si="2"/>
        <v>3.0854110972494504</v>
      </c>
    </row>
    <row r="25" spans="1:8" ht="14.1" customHeight="1">
      <c r="A25" s="330" t="s">
        <v>249</v>
      </c>
      <c r="B25" s="331">
        <f>'- 30 -'!$D25</f>
        <v>2918359</v>
      </c>
      <c r="C25" s="331">
        <v>2318</v>
      </c>
      <c r="D25" s="331">
        <f t="shared" ca="1" si="0"/>
        <v>1258.9987057808455</v>
      </c>
      <c r="E25" s="331">
        <v>798112</v>
      </c>
      <c r="F25" s="420">
        <f t="shared" ca="1" si="1"/>
        <v>3.6565782747283588</v>
      </c>
      <c r="G25" s="331">
        <v>427084</v>
      </c>
      <c r="H25" s="420">
        <f t="shared" ca="1" si="2"/>
        <v>6.8332201627782823</v>
      </c>
    </row>
    <row r="26" spans="1:8" ht="14.1" customHeight="1">
      <c r="A26" s="26" t="s">
        <v>250</v>
      </c>
      <c r="B26" s="27">
        <f>'- 30 -'!$D26</f>
        <v>2449614</v>
      </c>
      <c r="C26" s="27">
        <v>1332</v>
      </c>
      <c r="D26" s="27">
        <f t="shared" ca="1" si="0"/>
        <v>1839.0495495495495</v>
      </c>
      <c r="E26" s="27">
        <v>1275327</v>
      </c>
      <c r="F26" s="421">
        <f t="shared" ca="1" si="1"/>
        <v>1.9207732605049528</v>
      </c>
      <c r="G26" s="27">
        <v>1068942</v>
      </c>
      <c r="H26" s="421">
        <f t="shared" ca="1" si="2"/>
        <v>2.2916248028424366</v>
      </c>
    </row>
    <row r="27" spans="1:8" ht="14.1" customHeight="1">
      <c r="A27" s="330" t="s">
        <v>251</v>
      </c>
      <c r="B27" s="331">
        <f>'- 30 -'!$D27</f>
        <v>0</v>
      </c>
      <c r="C27" s="331">
        <v>2</v>
      </c>
      <c r="D27" s="331">
        <f ca="1">IF(AND(CELL("type",C27)="v",C27&gt;0),B27/C27,"")</f>
        <v>0</v>
      </c>
      <c r="E27" s="331">
        <v>0</v>
      </c>
      <c r="F27" s="420" t="str">
        <f ca="1">IF(AND(CELL("type",E27)="v",E27&gt;0),B27/E27,"")</f>
        <v/>
      </c>
      <c r="G27" s="331">
        <v>0</v>
      </c>
      <c r="H27" s="420" t="str">
        <f ca="1">IF(AND(CELL("type",G27)="v",G27&gt;0),B27/G27,"")</f>
        <v/>
      </c>
    </row>
    <row r="28" spans="1:8" ht="14.1" customHeight="1">
      <c r="A28" s="26" t="s">
        <v>252</v>
      </c>
      <c r="B28" s="27">
        <f>'- 30 -'!$D28</f>
        <v>1881838</v>
      </c>
      <c r="C28" s="27">
        <v>862</v>
      </c>
      <c r="D28" s="27">
        <f t="shared" ca="1" si="0"/>
        <v>2183.1067285382833</v>
      </c>
      <c r="E28" s="27">
        <v>1290000</v>
      </c>
      <c r="F28" s="421">
        <f t="shared" ca="1" si="1"/>
        <v>1.4587891472868217</v>
      </c>
      <c r="G28" s="27">
        <v>850840</v>
      </c>
      <c r="H28" s="421">
        <f t="shared" ca="1" si="2"/>
        <v>2.2117413379718864</v>
      </c>
    </row>
    <row r="29" spans="1:8" ht="14.1" customHeight="1">
      <c r="A29" s="330" t="s">
        <v>253</v>
      </c>
      <c r="B29" s="331">
        <f>'- 30 -'!$D29</f>
        <v>1680891</v>
      </c>
      <c r="C29" s="331">
        <v>2018</v>
      </c>
      <c r="D29" s="331">
        <f t="shared" ca="1" si="0"/>
        <v>832.94895936570867</v>
      </c>
      <c r="E29" s="331">
        <v>447322</v>
      </c>
      <c r="F29" s="420">
        <f t="shared" ca="1" si="1"/>
        <v>3.7576756788174963</v>
      </c>
      <c r="G29" s="331">
        <v>269310</v>
      </c>
      <c r="H29" s="420">
        <f t="shared" ca="1" si="2"/>
        <v>6.2414726523337416</v>
      </c>
    </row>
    <row r="30" spans="1:8" ht="14.1" customHeight="1">
      <c r="A30" s="26" t="s">
        <v>254</v>
      </c>
      <c r="B30" s="27">
        <f>'- 30 -'!$D30</f>
        <v>1036963</v>
      </c>
      <c r="C30" s="27">
        <v>674</v>
      </c>
      <c r="D30" s="27">
        <f t="shared" ca="1" si="0"/>
        <v>1538.5207715133531</v>
      </c>
      <c r="E30" s="27">
        <v>570182</v>
      </c>
      <c r="F30" s="421">
        <f t="shared" ca="1" si="1"/>
        <v>1.818652640735765</v>
      </c>
      <c r="G30" s="27">
        <v>410095</v>
      </c>
      <c r="H30" s="421">
        <f t="shared" ca="1" si="2"/>
        <v>2.5285921554761703</v>
      </c>
    </row>
    <row r="31" spans="1:8" ht="14.1" customHeight="1">
      <c r="A31" s="330" t="s">
        <v>255</v>
      </c>
      <c r="B31" s="331">
        <f>'- 30 -'!$D31</f>
        <v>962378</v>
      </c>
      <c r="C31" s="331">
        <v>1128</v>
      </c>
      <c r="D31" s="331">
        <f t="shared" ca="1" si="0"/>
        <v>853.17198581560285</v>
      </c>
      <c r="E31" s="331">
        <v>608600</v>
      </c>
      <c r="F31" s="420">
        <f t="shared" ca="1" si="1"/>
        <v>1.5812980611238909</v>
      </c>
      <c r="G31" s="331">
        <v>391473</v>
      </c>
      <c r="H31" s="420">
        <f t="shared" ca="1" si="2"/>
        <v>2.4583508952086097</v>
      </c>
    </row>
    <row r="32" spans="1:8" ht="14.1" customHeight="1">
      <c r="A32" s="26" t="s">
        <v>256</v>
      </c>
      <c r="B32" s="27">
        <f>'- 30 -'!$D32</f>
        <v>1588191</v>
      </c>
      <c r="C32" s="27">
        <v>1353</v>
      </c>
      <c r="D32" s="27">
        <f t="shared" ca="1" si="0"/>
        <v>1173.8292682926829</v>
      </c>
      <c r="E32" s="27">
        <v>1007522</v>
      </c>
      <c r="F32" s="421">
        <f t="shared" ca="1" si="1"/>
        <v>1.576333817028313</v>
      </c>
      <c r="G32" s="27">
        <v>707778</v>
      </c>
      <c r="H32" s="421">
        <f t="shared" ca="1" si="2"/>
        <v>2.2439112264014986</v>
      </c>
    </row>
    <row r="33" spans="1:8" ht="14.1" customHeight="1">
      <c r="A33" s="330" t="s">
        <v>257</v>
      </c>
      <c r="B33" s="331">
        <f>'- 30 -'!$D33</f>
        <v>2244297</v>
      </c>
      <c r="C33" s="331">
        <v>1142</v>
      </c>
      <c r="D33" s="331">
        <f t="shared" ca="1" si="0"/>
        <v>1965.2338003502628</v>
      </c>
      <c r="E33" s="331">
        <v>1410066</v>
      </c>
      <c r="F33" s="420">
        <f t="shared" ca="1" si="1"/>
        <v>1.5916254983809268</v>
      </c>
      <c r="G33" s="331">
        <v>872080</v>
      </c>
      <c r="H33" s="420">
        <f t="shared" ca="1" si="2"/>
        <v>2.5734989909182642</v>
      </c>
    </row>
    <row r="34" spans="1:8" ht="14.1" customHeight="1">
      <c r="A34" s="26" t="s">
        <v>258</v>
      </c>
      <c r="B34" s="27">
        <f>'- 30 -'!$D34</f>
        <v>2170123</v>
      </c>
      <c r="C34" s="27">
        <v>1372</v>
      </c>
      <c r="D34" s="27">
        <f t="shared" ca="1" si="0"/>
        <v>1581.7223032069971</v>
      </c>
      <c r="E34" s="27">
        <v>1300753</v>
      </c>
      <c r="F34" s="421">
        <f t="shared" ca="1" si="1"/>
        <v>1.6683590197370293</v>
      </c>
      <c r="G34" s="27">
        <v>857470</v>
      </c>
      <c r="H34" s="421">
        <f t="shared" ca="1" si="2"/>
        <v>2.5308442277863947</v>
      </c>
    </row>
    <row r="35" spans="1:8" ht="14.1" customHeight="1">
      <c r="A35" s="330" t="s">
        <v>259</v>
      </c>
      <c r="B35" s="331">
        <f>'- 30 -'!$D35</f>
        <v>3092408</v>
      </c>
      <c r="C35" s="331">
        <v>3293</v>
      </c>
      <c r="D35" s="331">
        <f t="shared" ca="1" si="0"/>
        <v>939.08533252353482</v>
      </c>
      <c r="E35" s="331">
        <v>943936</v>
      </c>
      <c r="F35" s="420">
        <f t="shared" ca="1" si="1"/>
        <v>3.2760780391890973</v>
      </c>
      <c r="G35" s="331">
        <v>446880</v>
      </c>
      <c r="H35" s="420">
        <f t="shared" ca="1" si="2"/>
        <v>6.91999641962048</v>
      </c>
    </row>
    <row r="36" spans="1:8" ht="14.1" customHeight="1">
      <c r="A36" s="26" t="s">
        <v>260</v>
      </c>
      <c r="B36" s="27">
        <f>'- 30 -'!$D36</f>
        <v>1400821</v>
      </c>
      <c r="C36" s="27">
        <v>911</v>
      </c>
      <c r="D36" s="27">
        <f t="shared" ca="1" si="0"/>
        <v>1537.6739846322723</v>
      </c>
      <c r="E36" s="27">
        <v>861552</v>
      </c>
      <c r="F36" s="421">
        <f t="shared" ca="1" si="1"/>
        <v>1.6259273961409177</v>
      </c>
      <c r="G36" s="27">
        <v>554280</v>
      </c>
      <c r="H36" s="421">
        <f t="shared" ca="1" si="2"/>
        <v>2.5272804358807823</v>
      </c>
    </row>
    <row r="37" spans="1:8" ht="14.1" customHeight="1">
      <c r="A37" s="330" t="s">
        <v>261</v>
      </c>
      <c r="B37" s="331">
        <f>'- 30 -'!$D37</f>
        <v>2276984</v>
      </c>
      <c r="C37" s="331">
        <v>2283</v>
      </c>
      <c r="D37" s="331">
        <f t="shared" ca="1" si="0"/>
        <v>997.36487078405605</v>
      </c>
      <c r="E37" s="331">
        <v>1106886</v>
      </c>
      <c r="F37" s="420">
        <f t="shared" ca="1" si="1"/>
        <v>2.0571079587238432</v>
      </c>
      <c r="G37" s="331">
        <v>692664</v>
      </c>
      <c r="H37" s="420">
        <f t="shared" ca="1" si="2"/>
        <v>3.2872850328586445</v>
      </c>
    </row>
    <row r="38" spans="1:8" ht="14.1" customHeight="1">
      <c r="A38" s="26" t="s">
        <v>262</v>
      </c>
      <c r="B38" s="27">
        <f>'- 30 -'!$D38</f>
        <v>2663841</v>
      </c>
      <c r="C38" s="27">
        <v>2793</v>
      </c>
      <c r="D38" s="27">
        <f t="shared" ca="1" si="0"/>
        <v>953.7561761546724</v>
      </c>
      <c r="E38" s="27">
        <v>598800</v>
      </c>
      <c r="F38" s="421">
        <f t="shared" ca="1" si="1"/>
        <v>4.4486322645290581</v>
      </c>
      <c r="G38" s="27">
        <v>430060</v>
      </c>
      <c r="H38" s="421">
        <f t="shared" ca="1" si="2"/>
        <v>6.1941147746826024</v>
      </c>
    </row>
    <row r="39" spans="1:8" ht="14.1" customHeight="1">
      <c r="A39" s="330" t="s">
        <v>263</v>
      </c>
      <c r="B39" s="331">
        <f>'- 30 -'!$D39</f>
        <v>1793879</v>
      </c>
      <c r="C39" s="331">
        <v>876</v>
      </c>
      <c r="D39" s="331">
        <f t="shared" ca="1" si="0"/>
        <v>2047.8070776255709</v>
      </c>
      <c r="E39" s="331">
        <v>1165104</v>
      </c>
      <c r="F39" s="420">
        <f t="shared" ca="1" si="1"/>
        <v>1.5396728532388524</v>
      </c>
      <c r="G39" s="331">
        <v>708660</v>
      </c>
      <c r="H39" s="420">
        <f t="shared" ca="1" si="2"/>
        <v>2.5313676516241923</v>
      </c>
    </row>
    <row r="40" spans="1:8" ht="14.1" customHeight="1">
      <c r="A40" s="26" t="s">
        <v>264</v>
      </c>
      <c r="B40" s="27">
        <f>'- 30 -'!$D40</f>
        <v>1559797</v>
      </c>
      <c r="C40" s="27">
        <v>1739</v>
      </c>
      <c r="D40" s="27">
        <f t="shared" ca="1" si="0"/>
        <v>896.95054629097183</v>
      </c>
      <c r="E40" s="27">
        <v>401949</v>
      </c>
      <c r="F40" s="421">
        <f t="shared" ca="1" si="1"/>
        <v>3.880584352741268</v>
      </c>
      <c r="G40" s="27">
        <v>244348</v>
      </c>
      <c r="H40" s="421">
        <f t="shared" ca="1" si="2"/>
        <v>6.383506310671665</v>
      </c>
    </row>
    <row r="41" spans="1:8" ht="14.1" customHeight="1">
      <c r="A41" s="330" t="s">
        <v>265</v>
      </c>
      <c r="B41" s="331">
        <f>'- 30 -'!$D41</f>
        <v>4020902</v>
      </c>
      <c r="C41" s="331">
        <v>3625</v>
      </c>
      <c r="D41" s="331">
        <f t="shared" ca="1" si="0"/>
        <v>1109.2143448275863</v>
      </c>
      <c r="E41" s="331">
        <v>2215010</v>
      </c>
      <c r="F41" s="420">
        <f t="shared" ca="1" si="1"/>
        <v>1.8152974478670525</v>
      </c>
      <c r="G41" s="331">
        <v>1492182</v>
      </c>
      <c r="H41" s="420">
        <f t="shared" ca="1" si="2"/>
        <v>2.6946458273856675</v>
      </c>
    </row>
    <row r="42" spans="1:8" ht="14.1" customHeight="1">
      <c r="A42" s="26" t="s">
        <v>266</v>
      </c>
      <c r="B42" s="27">
        <f>'- 30 -'!$D42</f>
        <v>1381998</v>
      </c>
      <c r="C42" s="27">
        <v>1312</v>
      </c>
      <c r="D42" s="27">
        <f t="shared" ca="1" si="0"/>
        <v>1053.3521341463415</v>
      </c>
      <c r="E42" s="27">
        <v>766565</v>
      </c>
      <c r="F42" s="421">
        <f t="shared" ca="1" si="1"/>
        <v>1.8028451599016391</v>
      </c>
      <c r="G42" s="27">
        <v>661311</v>
      </c>
      <c r="H42" s="421">
        <f t="shared" ca="1" si="2"/>
        <v>2.0897852901282454</v>
      </c>
    </row>
    <row r="43" spans="1:8" ht="14.1" customHeight="1">
      <c r="A43" s="330" t="s">
        <v>267</v>
      </c>
      <c r="B43" s="331">
        <f>'- 30 -'!$D43</f>
        <v>972634</v>
      </c>
      <c r="C43" s="331">
        <v>561</v>
      </c>
      <c r="D43" s="331">
        <f t="shared" ca="1" si="0"/>
        <v>1733.7504456327986</v>
      </c>
      <c r="E43" s="331">
        <v>649012</v>
      </c>
      <c r="F43" s="420">
        <f t="shared" ca="1" si="1"/>
        <v>1.4986379296530727</v>
      </c>
      <c r="G43" s="331">
        <v>401783</v>
      </c>
      <c r="H43" s="420">
        <f t="shared" ca="1" si="2"/>
        <v>2.4207943093660012</v>
      </c>
    </row>
    <row r="44" spans="1:8" ht="14.1" customHeight="1">
      <c r="A44" s="26" t="s">
        <v>268</v>
      </c>
      <c r="B44" s="27">
        <f>'- 30 -'!$D44</f>
        <v>943321</v>
      </c>
      <c r="C44" s="27">
        <v>437</v>
      </c>
      <c r="D44" s="27">
        <f t="shared" ca="1" si="0"/>
        <v>2158.6292906178492</v>
      </c>
      <c r="E44" s="27">
        <v>710594</v>
      </c>
      <c r="F44" s="421">
        <f t="shared" ca="1" si="1"/>
        <v>1.3275105052955696</v>
      </c>
      <c r="G44" s="27">
        <v>505827</v>
      </c>
      <c r="H44" s="421">
        <f t="shared" ca="1" si="2"/>
        <v>1.8649083579959156</v>
      </c>
    </row>
    <row r="45" spans="1:8" ht="14.1" customHeight="1">
      <c r="A45" s="330" t="s">
        <v>269</v>
      </c>
      <c r="B45" s="331">
        <f>'- 30 -'!$D45</f>
        <v>520988</v>
      </c>
      <c r="C45" s="331">
        <v>958</v>
      </c>
      <c r="D45" s="331">
        <f t="shared" ca="1" si="0"/>
        <v>543.82881002087686</v>
      </c>
      <c r="E45" s="331">
        <v>257020</v>
      </c>
      <c r="F45" s="420">
        <f t="shared" ca="1" si="1"/>
        <v>2.0270329157264024</v>
      </c>
      <c r="G45" s="331">
        <v>155865</v>
      </c>
      <c r="H45" s="420">
        <f t="shared" ca="1" si="2"/>
        <v>3.3425592660315018</v>
      </c>
    </row>
    <row r="46" spans="1:8" ht="14.1" customHeight="1">
      <c r="A46" s="26" t="s">
        <v>270</v>
      </c>
      <c r="B46" s="27">
        <f>'- 30 -'!$D46</f>
        <v>4391350</v>
      </c>
      <c r="C46" s="27">
        <v>2327</v>
      </c>
      <c r="D46" s="27">
        <f t="shared" ca="1" si="0"/>
        <v>1887.1293510958315</v>
      </c>
      <c r="E46" s="27">
        <v>1055615</v>
      </c>
      <c r="F46" s="421">
        <f t="shared" ca="1" si="1"/>
        <v>4.1599920425533927</v>
      </c>
      <c r="G46" s="27">
        <v>664411</v>
      </c>
      <c r="H46" s="421">
        <f t="shared" ca="1" si="2"/>
        <v>6.6093878638372932</v>
      </c>
    </row>
    <row r="47" spans="1:8" ht="5.0999999999999996" customHeight="1">
      <c r="A47"/>
      <c r="B47" s="29"/>
      <c r="C47" s="426"/>
      <c r="D47" s="29"/>
      <c r="E47" s="426"/>
      <c r="F47" s="423"/>
      <c r="G47" s="426"/>
      <c r="H47" s="423"/>
    </row>
    <row r="48" spans="1:8" ht="14.1" customHeight="1">
      <c r="A48" s="332" t="s">
        <v>271</v>
      </c>
      <c r="B48" s="333">
        <f>SUM(B11:B46)</f>
        <v>72957150</v>
      </c>
      <c r="C48" s="333">
        <f>SUM(C11:C46)</f>
        <v>63331</v>
      </c>
      <c r="D48" s="333">
        <f>B48/C48</f>
        <v>1151.9974420110213</v>
      </c>
      <c r="E48" s="333">
        <f>SUM(E11:E46)</f>
        <v>33425258.600000001</v>
      </c>
      <c r="F48" s="424">
        <f>B48/E48</f>
        <v>2.182695154974807</v>
      </c>
      <c r="G48" s="333">
        <f>SUM(G11:G46)</f>
        <v>21457595</v>
      </c>
      <c r="H48" s="424">
        <f>B48/G48</f>
        <v>3.4000618429045755</v>
      </c>
    </row>
    <row r="49" spans="1:8" ht="5.0999999999999996" customHeight="1">
      <c r="A49" s="28" t="s">
        <v>17</v>
      </c>
      <c r="B49" s="29"/>
      <c r="C49" s="426"/>
      <c r="D49" s="29"/>
      <c r="E49" s="426"/>
      <c r="F49" s="423"/>
      <c r="G49" s="426"/>
      <c r="H49" s="423"/>
    </row>
    <row r="50" spans="1:8" ht="14.1" customHeight="1">
      <c r="A50" s="26" t="s">
        <v>272</v>
      </c>
      <c r="B50" s="27">
        <f>'- 30 -'!$D50</f>
        <v>9400</v>
      </c>
      <c r="C50" s="44" t="s">
        <v>196</v>
      </c>
      <c r="D50" s="27" t="str">
        <f ca="1">IF(AND(CELL("type",C50)="v",C50&gt;0),B50/C50,"")</f>
        <v/>
      </c>
      <c r="E50" s="44" t="s">
        <v>196</v>
      </c>
      <c r="F50" s="421" t="str">
        <f ca="1">IF(AND(CELL("type",E50)="v",E50&gt;0),B50/E50,"")</f>
        <v/>
      </c>
      <c r="G50" s="44" t="s">
        <v>196</v>
      </c>
      <c r="H50" s="421" t="str">
        <f ca="1">IF(AND(CELL("type",G50)="v",G50&gt;0),B50/G50,"")</f>
        <v/>
      </c>
    </row>
    <row r="51" spans="1:8" ht="14.1" customHeight="1">
      <c r="A51" s="330" t="s">
        <v>273</v>
      </c>
      <c r="B51" s="331">
        <f>'- 30 -'!$D51</f>
        <v>0</v>
      </c>
      <c r="C51" s="331">
        <v>0</v>
      </c>
      <c r="D51" s="331" t="str">
        <f ca="1">IF(AND(CELL("type",C51)="v",C51&gt;0),B51/C51,"")</f>
        <v/>
      </c>
      <c r="E51" s="331">
        <v>0</v>
      </c>
      <c r="F51" s="420" t="str">
        <f ca="1">IF(AND(CELL("type",E51)="v",E51&gt;0),B51/E51,"")</f>
        <v/>
      </c>
      <c r="G51" s="331">
        <v>0</v>
      </c>
      <c r="H51" s="420" t="str">
        <f ca="1">IF(AND(CELL("type",G51)="v",G51&gt;0),B51/G51,"")</f>
        <v/>
      </c>
    </row>
    <row r="52" spans="1:8"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33.xml><?xml version="1.0" encoding="utf-8"?>
<worksheet xmlns="http://schemas.openxmlformats.org/spreadsheetml/2006/main" xmlns:r="http://schemas.openxmlformats.org/officeDocument/2006/relationships">
  <sheetPr codeName="Sheet33">
    <pageSetUpPr fitToPage="1"/>
  </sheetPr>
  <dimension ref="A1:E52"/>
  <sheetViews>
    <sheetView showGridLines="0" showZeros="0" workbookViewId="0"/>
  </sheetViews>
  <sheetFormatPr defaultColWidth="15.83203125" defaultRowHeight="12"/>
  <cols>
    <col min="1" max="1" width="32.83203125" style="1" customWidth="1"/>
    <col min="2" max="2" width="22.83203125" style="1" customWidth="1"/>
    <col min="3" max="3" width="19.83203125" style="1" customWidth="1"/>
    <col min="4" max="4" width="15.83203125" style="1"/>
    <col min="5" max="5" width="41.83203125" style="1" customWidth="1"/>
    <col min="6" max="16384" width="15.83203125" style="1"/>
  </cols>
  <sheetData>
    <row r="1" spans="1:5" ht="6.95" customHeight="1">
      <c r="A1" s="6"/>
      <c r="B1" s="7"/>
      <c r="C1" s="7"/>
      <c r="D1" s="7"/>
      <c r="E1" s="7"/>
    </row>
    <row r="2" spans="1:5" ht="15.95" customHeight="1">
      <c r="A2" s="152"/>
      <c r="B2" s="8" t="s">
        <v>495</v>
      </c>
      <c r="C2" s="9"/>
      <c r="D2" s="9"/>
      <c r="E2" s="180"/>
    </row>
    <row r="3" spans="1:5" ht="15.95" customHeight="1">
      <c r="A3" s="154"/>
      <c r="B3" s="10" t="str">
        <f>OPYEAR</f>
        <v>OPERATING FUND 2012/2013 ACTUAL</v>
      </c>
      <c r="C3" s="11"/>
      <c r="D3" s="11"/>
      <c r="E3" s="181"/>
    </row>
    <row r="4" spans="1:5" ht="15.95" customHeight="1">
      <c r="B4" s="7"/>
      <c r="C4" s="7"/>
      <c r="D4" s="7"/>
      <c r="E4" s="7"/>
    </row>
    <row r="5" spans="1:5" ht="15.95" customHeight="1">
      <c r="B5" s="7"/>
      <c r="C5" s="7"/>
      <c r="D5" s="7"/>
      <c r="E5" s="7"/>
    </row>
    <row r="6" spans="1:5" ht="15.95" customHeight="1">
      <c r="B6" s="357" t="s">
        <v>40</v>
      </c>
      <c r="C6" s="364"/>
      <c r="D6" s="354"/>
    </row>
    <row r="7" spans="1:5" ht="15.95" customHeight="1">
      <c r="B7" s="344" t="s">
        <v>70</v>
      </c>
      <c r="C7" s="345"/>
      <c r="D7" s="365"/>
    </row>
    <row r="8" spans="1:5" ht="15.95" customHeight="1">
      <c r="A8" s="75"/>
      <c r="B8" s="182"/>
      <c r="C8" s="183" t="s">
        <v>86</v>
      </c>
      <c r="D8" s="86" t="s">
        <v>87</v>
      </c>
    </row>
    <row r="9" spans="1:5" ht="15.95" customHeight="1">
      <c r="A9" s="42" t="s">
        <v>94</v>
      </c>
      <c r="B9" s="87" t="s">
        <v>95</v>
      </c>
      <c r="C9" s="87" t="s">
        <v>105</v>
      </c>
      <c r="D9" s="87" t="s">
        <v>103</v>
      </c>
    </row>
    <row r="10" spans="1:5" ht="5.0999999999999996" customHeight="1">
      <c r="A10" s="5"/>
    </row>
    <row r="11" spans="1:5" ht="14.1" customHeight="1">
      <c r="A11" s="330" t="s">
        <v>236</v>
      </c>
      <c r="B11" s="331">
        <f>SUM('- 30 -'!$B11,'- 30 -'!$D11,'- 31 -'!$D11)</f>
        <v>1133423</v>
      </c>
      <c r="C11" s="331">
        <v>628761</v>
      </c>
      <c r="D11" s="420">
        <f ca="1">IF(AND(CELL("type",C11)="v",C11&gt;0),B11/C11,"")</f>
        <v>1.802629297936736</v>
      </c>
      <c r="E11" s="184"/>
    </row>
    <row r="12" spans="1:5" ht="14.1" customHeight="1">
      <c r="A12" s="26" t="s">
        <v>237</v>
      </c>
      <c r="B12" s="27">
        <f>SUM('- 30 -'!$B12,'- 30 -'!$D12,'- 31 -'!$D12)</f>
        <v>2242729</v>
      </c>
      <c r="C12" s="27">
        <v>1194515</v>
      </c>
      <c r="D12" s="421">
        <f t="shared" ref="D12:D46" ca="1" si="0">IF(AND(CELL("type",C12)="v",C12&gt;0),B12/C12,"")</f>
        <v>1.8775226765674771</v>
      </c>
      <c r="E12" s="184"/>
    </row>
    <row r="13" spans="1:5" ht="14.1" customHeight="1">
      <c r="A13" s="330" t="s">
        <v>238</v>
      </c>
      <c r="B13" s="331">
        <f>SUM('- 30 -'!$B13,'- 30 -'!$D13,'- 31 -'!$D13)</f>
        <v>1967762</v>
      </c>
      <c r="C13" s="331">
        <v>838894</v>
      </c>
      <c r="D13" s="420">
        <f t="shared" ca="1" si="0"/>
        <v>2.3456622648391812</v>
      </c>
      <c r="E13" s="184"/>
    </row>
    <row r="14" spans="1:5" ht="14.1" customHeight="1">
      <c r="A14" s="26" t="s">
        <v>656</v>
      </c>
      <c r="B14" s="27">
        <f>SUM('- 30 -'!$B14,'- 30 -'!$D14,'- 31 -'!$D14)</f>
        <v>7190737</v>
      </c>
      <c r="C14" s="44" t="s">
        <v>196</v>
      </c>
      <c r="D14" s="421" t="str">
        <f t="shared" ca="1" si="0"/>
        <v/>
      </c>
      <c r="E14" s="184"/>
    </row>
    <row r="15" spans="1:5" ht="14.1" customHeight="1">
      <c r="A15" s="330" t="s">
        <v>239</v>
      </c>
      <c r="B15" s="331">
        <f>SUM('- 30 -'!$B15,'- 30 -'!$D15,'- 31 -'!$D15)</f>
        <v>1271180</v>
      </c>
      <c r="C15" s="331">
        <v>750923</v>
      </c>
      <c r="D15" s="420">
        <f t="shared" ca="1" si="0"/>
        <v>1.6928233653783411</v>
      </c>
      <c r="E15" s="184"/>
    </row>
    <row r="16" spans="1:5" ht="14.1" customHeight="1">
      <c r="A16" s="26" t="s">
        <v>240</v>
      </c>
      <c r="B16" s="27">
        <f>SUM('- 30 -'!$B16,'- 30 -'!$D16,'- 31 -'!$D16)</f>
        <v>421835</v>
      </c>
      <c r="C16" s="27">
        <v>60078</v>
      </c>
      <c r="D16" s="421">
        <f t="shared" ca="1" si="0"/>
        <v>7.0214554412596959</v>
      </c>
      <c r="E16" s="184"/>
    </row>
    <row r="17" spans="1:5" ht="14.1" customHeight="1">
      <c r="A17" s="330" t="s">
        <v>241</v>
      </c>
      <c r="B17" s="331">
        <f>SUM('- 30 -'!$B17,'- 30 -'!$D17,'- 31 -'!$D17)</f>
        <v>1313960</v>
      </c>
      <c r="C17" s="331">
        <v>856930.91249999998</v>
      </c>
      <c r="D17" s="420">
        <f t="shared" ca="1" si="0"/>
        <v>1.533332478538636</v>
      </c>
      <c r="E17" s="184"/>
    </row>
    <row r="18" spans="1:5" ht="14.1" customHeight="1">
      <c r="A18" s="26" t="s">
        <v>242</v>
      </c>
      <c r="B18" s="27">
        <f>SUM('- 30 -'!$B18,'- 30 -'!$D18,'- 31 -'!$D18)</f>
        <v>7304857</v>
      </c>
      <c r="C18" s="27">
        <v>1681000</v>
      </c>
      <c r="D18" s="421">
        <f t="shared" ca="1" si="0"/>
        <v>4.3455425342058298</v>
      </c>
      <c r="E18" s="184"/>
    </row>
    <row r="19" spans="1:5" ht="14.1" customHeight="1">
      <c r="A19" s="330" t="s">
        <v>243</v>
      </c>
      <c r="B19" s="331">
        <f>SUM('- 30 -'!$B19,'- 30 -'!$D19,'- 31 -'!$D19)</f>
        <v>2039127</v>
      </c>
      <c r="C19" s="331">
        <v>824789</v>
      </c>
      <c r="D19" s="420">
        <f t="shared" ca="1" si="0"/>
        <v>2.4723014007218818</v>
      </c>
      <c r="E19" s="184"/>
    </row>
    <row r="20" spans="1:5" ht="14.1" customHeight="1">
      <c r="A20" s="26" t="s">
        <v>244</v>
      </c>
      <c r="B20" s="27">
        <f>SUM('- 30 -'!$B20,'- 30 -'!$D20,'- 31 -'!$D20)</f>
        <v>3330693</v>
      </c>
      <c r="C20" s="27">
        <v>1602156</v>
      </c>
      <c r="D20" s="421">
        <f t="shared" ca="1" si="0"/>
        <v>2.0788818317317417</v>
      </c>
      <c r="E20" s="184"/>
    </row>
    <row r="21" spans="1:5" ht="14.1" customHeight="1">
      <c r="A21" s="330" t="s">
        <v>245</v>
      </c>
      <c r="B21" s="331">
        <f>SUM('- 30 -'!$B21,'- 30 -'!$D21,'- 31 -'!$D21)</f>
        <v>2062896</v>
      </c>
      <c r="C21" s="331">
        <v>920081</v>
      </c>
      <c r="D21" s="420">
        <f t="shared" ca="1" si="0"/>
        <v>2.2420808602720848</v>
      </c>
      <c r="E21" s="184"/>
    </row>
    <row r="22" spans="1:5" ht="14.1" customHeight="1">
      <c r="A22" s="26" t="s">
        <v>246</v>
      </c>
      <c r="B22" s="27">
        <f>SUM('- 30 -'!$B22,'- 30 -'!$D22,'- 31 -'!$D22)</f>
        <v>560624</v>
      </c>
      <c r="C22" s="27">
        <v>181347</v>
      </c>
      <c r="D22" s="421">
        <f t="shared" ca="1" si="0"/>
        <v>3.0914434757674512</v>
      </c>
      <c r="E22" s="184"/>
    </row>
    <row r="23" spans="1:5" ht="14.1" customHeight="1">
      <c r="A23" s="330" t="s">
        <v>247</v>
      </c>
      <c r="B23" s="331">
        <f>SUM('- 30 -'!$B23,'- 30 -'!$D23,'- 31 -'!$D23)</f>
        <v>1561480</v>
      </c>
      <c r="C23" s="331">
        <v>942606</v>
      </c>
      <c r="D23" s="420">
        <f t="shared" ca="1" si="0"/>
        <v>1.656556397901138</v>
      </c>
      <c r="E23" s="184"/>
    </row>
    <row r="24" spans="1:5" ht="14.1" customHeight="1">
      <c r="A24" s="26" t="s">
        <v>248</v>
      </c>
      <c r="B24" s="27">
        <f>SUM('- 30 -'!$B24,'- 30 -'!$D24,'- 31 -'!$D24)</f>
        <v>2339966</v>
      </c>
      <c r="C24" s="27">
        <v>1116069</v>
      </c>
      <c r="D24" s="421">
        <f t="shared" ca="1" si="0"/>
        <v>2.0966140982322776</v>
      </c>
      <c r="E24" s="184"/>
    </row>
    <row r="25" spans="1:5" ht="14.1" customHeight="1">
      <c r="A25" s="330" t="s">
        <v>249</v>
      </c>
      <c r="B25" s="331">
        <f>SUM('- 30 -'!$B25,'- 30 -'!$D25,'- 31 -'!$D25)</f>
        <v>3263117</v>
      </c>
      <c r="C25" s="331">
        <v>832993</v>
      </c>
      <c r="D25" s="420">
        <f t="shared" ca="1" si="0"/>
        <v>3.9173402417547325</v>
      </c>
      <c r="E25" s="184"/>
    </row>
    <row r="26" spans="1:5" ht="14.1" customHeight="1">
      <c r="A26" s="26" t="s">
        <v>250</v>
      </c>
      <c r="B26" s="27">
        <f>SUM('- 30 -'!$B26,'- 30 -'!$D26,'- 31 -'!$D26)</f>
        <v>2831171</v>
      </c>
      <c r="C26" s="27">
        <v>1334922</v>
      </c>
      <c r="D26" s="421">
        <f t="shared" ca="1" si="0"/>
        <v>2.1208512557287991</v>
      </c>
      <c r="E26" s="184"/>
    </row>
    <row r="27" spans="1:5" ht="14.1" customHeight="1">
      <c r="A27" s="330" t="s">
        <v>251</v>
      </c>
      <c r="B27" s="331">
        <f>SUM('- 30 -'!$B27,'- 30 -'!$D27,'- 31 -'!$D27)</f>
        <v>66596</v>
      </c>
      <c r="C27" s="425" t="s">
        <v>196</v>
      </c>
      <c r="D27" s="422" t="str">
        <f t="shared" ca="1" si="0"/>
        <v/>
      </c>
      <c r="E27" s="184"/>
    </row>
    <row r="28" spans="1:5" ht="14.1" customHeight="1">
      <c r="A28" s="26" t="s">
        <v>252</v>
      </c>
      <c r="B28" s="27">
        <f>SUM('- 30 -'!$B28,'- 30 -'!$D28,'- 31 -'!$D28)</f>
        <v>2047513</v>
      </c>
      <c r="C28" s="27">
        <v>1249000</v>
      </c>
      <c r="D28" s="421">
        <f t="shared" ca="1" si="0"/>
        <v>1.6393218574859887</v>
      </c>
      <c r="E28" s="184"/>
    </row>
    <row r="29" spans="1:5" ht="14.1" customHeight="1">
      <c r="A29" s="330" t="s">
        <v>253</v>
      </c>
      <c r="B29" s="331">
        <f>SUM('- 30 -'!$B29,'- 30 -'!$D29,'- 31 -'!$D29)</f>
        <v>2308424</v>
      </c>
      <c r="C29" s="331">
        <v>579429</v>
      </c>
      <c r="D29" s="420">
        <f t="shared" ca="1" si="0"/>
        <v>3.9839635227094261</v>
      </c>
      <c r="E29" s="184"/>
    </row>
    <row r="30" spans="1:5" ht="14.1" customHeight="1">
      <c r="A30" s="26" t="s">
        <v>254</v>
      </c>
      <c r="B30" s="27">
        <f>SUM('- 30 -'!$B30,'- 30 -'!$D30,'- 31 -'!$D30)</f>
        <v>1127155</v>
      </c>
      <c r="C30" s="27">
        <v>660954</v>
      </c>
      <c r="D30" s="421">
        <f t="shared" ca="1" si="0"/>
        <v>1.7053456065021166</v>
      </c>
      <c r="E30" s="184"/>
    </row>
    <row r="31" spans="1:5" ht="14.1" customHeight="1">
      <c r="A31" s="330" t="s">
        <v>255</v>
      </c>
      <c r="B31" s="331">
        <f>SUM('- 30 -'!$B31,'- 30 -'!$D31,'- 31 -'!$D31)</f>
        <v>1078745</v>
      </c>
      <c r="C31" s="331">
        <v>593703</v>
      </c>
      <c r="D31" s="420">
        <f t="shared" ca="1" si="0"/>
        <v>1.8169775123251861</v>
      </c>
      <c r="E31" s="184"/>
    </row>
    <row r="32" spans="1:5" ht="14.1" customHeight="1">
      <c r="A32" s="26" t="s">
        <v>256</v>
      </c>
      <c r="B32" s="27">
        <f>SUM('- 30 -'!$B32,'- 30 -'!$D32,'- 31 -'!$D32)</f>
        <v>1787046</v>
      </c>
      <c r="C32" s="27">
        <v>1033041</v>
      </c>
      <c r="D32" s="421">
        <f t="shared" ca="1" si="0"/>
        <v>1.7298887459452239</v>
      </c>
      <c r="E32" s="184"/>
    </row>
    <row r="33" spans="1:5" ht="14.1" customHeight="1">
      <c r="A33" s="330" t="s">
        <v>257</v>
      </c>
      <c r="B33" s="331">
        <f>SUM('- 30 -'!$B33,'- 30 -'!$D33,'- 31 -'!$D33)</f>
        <v>2388507</v>
      </c>
      <c r="C33" s="331">
        <v>1453476</v>
      </c>
      <c r="D33" s="420">
        <f t="shared" ca="1" si="0"/>
        <v>1.6433068038275143</v>
      </c>
      <c r="E33" s="184"/>
    </row>
    <row r="34" spans="1:5" ht="14.1" customHeight="1">
      <c r="A34" s="26" t="s">
        <v>258</v>
      </c>
      <c r="B34" s="27">
        <f>SUM('- 30 -'!$B34,'- 30 -'!$D34,'- 31 -'!$D34)</f>
        <v>2401193</v>
      </c>
      <c r="C34" s="27">
        <v>1337107</v>
      </c>
      <c r="D34" s="421">
        <f t="shared" ca="1" si="0"/>
        <v>1.7958121526549484</v>
      </c>
      <c r="E34" s="184"/>
    </row>
    <row r="35" spans="1:5" ht="14.1" customHeight="1">
      <c r="A35" s="330" t="s">
        <v>259</v>
      </c>
      <c r="B35" s="331">
        <f>SUM('- 30 -'!$B35,'- 30 -'!$D35,'- 31 -'!$D35)</f>
        <v>3549500</v>
      </c>
      <c r="C35" s="331">
        <v>1132893</v>
      </c>
      <c r="D35" s="420">
        <f t="shared" ca="1" si="0"/>
        <v>3.1331290775033476</v>
      </c>
      <c r="E35" s="184"/>
    </row>
    <row r="36" spans="1:5" ht="14.1" customHeight="1">
      <c r="A36" s="26" t="s">
        <v>260</v>
      </c>
      <c r="B36" s="27">
        <f>SUM('- 30 -'!$B36,'- 30 -'!$D36,'- 31 -'!$D36)</f>
        <v>1532038</v>
      </c>
      <c r="C36" s="27">
        <v>894427</v>
      </c>
      <c r="D36" s="421">
        <f t="shared" ca="1" si="0"/>
        <v>1.712870921830401</v>
      </c>
      <c r="E36" s="184"/>
    </row>
    <row r="37" spans="1:5" ht="14.1" customHeight="1">
      <c r="A37" s="330" t="s">
        <v>261</v>
      </c>
      <c r="B37" s="331">
        <f>SUM('- 30 -'!$B37,'- 30 -'!$D37,'- 31 -'!$D37)</f>
        <v>2542792</v>
      </c>
      <c r="C37" s="331">
        <v>1126886</v>
      </c>
      <c r="D37" s="420">
        <f t="shared" ca="1" si="0"/>
        <v>2.2564766977316251</v>
      </c>
      <c r="E37" s="184"/>
    </row>
    <row r="38" spans="1:5" ht="14.1" customHeight="1">
      <c r="A38" s="26" t="s">
        <v>262</v>
      </c>
      <c r="B38" s="27">
        <f>SUM('- 30 -'!$B38,'- 30 -'!$D38,'- 31 -'!$D38)</f>
        <v>3299011</v>
      </c>
      <c r="C38" s="27">
        <v>855464</v>
      </c>
      <c r="D38" s="421">
        <f t="shared" ca="1" si="0"/>
        <v>3.8563995679537655</v>
      </c>
      <c r="E38" s="184"/>
    </row>
    <row r="39" spans="1:5" ht="14.1" customHeight="1">
      <c r="A39" s="330" t="s">
        <v>263</v>
      </c>
      <c r="B39" s="331">
        <f>SUM('- 30 -'!$B39,'- 30 -'!$D39,'- 31 -'!$D39)</f>
        <v>1892213</v>
      </c>
      <c r="C39" s="331">
        <v>1071806</v>
      </c>
      <c r="D39" s="420">
        <f t="shared" ca="1" si="0"/>
        <v>1.7654435597486859</v>
      </c>
      <c r="E39" s="184"/>
    </row>
    <row r="40" spans="1:5" ht="14.1" customHeight="1">
      <c r="A40" s="26" t="s">
        <v>264</v>
      </c>
      <c r="B40" s="27">
        <f>SUM('- 30 -'!$B40,'- 30 -'!$D40,'- 31 -'!$D40)</f>
        <v>1753978</v>
      </c>
      <c r="C40" s="27">
        <v>493099</v>
      </c>
      <c r="D40" s="421">
        <f t="shared" ca="1" si="0"/>
        <v>3.5570504097554445</v>
      </c>
      <c r="E40" s="184"/>
    </row>
    <row r="41" spans="1:5" ht="14.1" customHeight="1">
      <c r="A41" s="330" t="s">
        <v>265</v>
      </c>
      <c r="B41" s="331">
        <f>SUM('- 30 -'!$B41,'- 30 -'!$D41,'- 31 -'!$D41)</f>
        <v>4450658</v>
      </c>
      <c r="C41" s="331">
        <v>2298730</v>
      </c>
      <c r="D41" s="420">
        <f t="shared" ca="1" si="0"/>
        <v>1.9361377804265834</v>
      </c>
      <c r="E41" s="184"/>
    </row>
    <row r="42" spans="1:5" ht="14.1" customHeight="1">
      <c r="A42" s="26" t="s">
        <v>266</v>
      </c>
      <c r="B42" s="27">
        <f>SUM('- 30 -'!$B42,'- 30 -'!$D42,'- 31 -'!$D42)</f>
        <v>1545029</v>
      </c>
      <c r="C42" s="27">
        <v>719528</v>
      </c>
      <c r="D42" s="421">
        <f t="shared" ca="1" si="0"/>
        <v>2.1472812732791495</v>
      </c>
      <c r="E42" s="184"/>
    </row>
    <row r="43" spans="1:5" ht="14.1" customHeight="1">
      <c r="A43" s="330" t="s">
        <v>267</v>
      </c>
      <c r="B43" s="331">
        <f>SUM('- 30 -'!$B43,'- 30 -'!$D43,'- 31 -'!$D43)</f>
        <v>995153</v>
      </c>
      <c r="C43" s="331">
        <v>589193</v>
      </c>
      <c r="D43" s="420">
        <f t="shared" ca="1" si="0"/>
        <v>1.689010222456818</v>
      </c>
      <c r="E43" s="184"/>
    </row>
    <row r="44" spans="1:5" ht="14.1" customHeight="1">
      <c r="A44" s="26" t="s">
        <v>268</v>
      </c>
      <c r="B44" s="27">
        <f>SUM('- 30 -'!$B44,'- 30 -'!$D44,'- 31 -'!$D44)</f>
        <v>998785</v>
      </c>
      <c r="C44" s="27">
        <v>753528</v>
      </c>
      <c r="D44" s="421">
        <f t="shared" ca="1" si="0"/>
        <v>1.3254782834878067</v>
      </c>
      <c r="E44" s="184"/>
    </row>
    <row r="45" spans="1:5" ht="14.1" customHeight="1">
      <c r="A45" s="330" t="s">
        <v>269</v>
      </c>
      <c r="B45" s="331">
        <f>SUM('- 30 -'!$B45,'- 30 -'!$D45,'- 31 -'!$D45)</f>
        <v>619628</v>
      </c>
      <c r="C45" s="331">
        <v>300998</v>
      </c>
      <c r="D45" s="420">
        <f t="shared" ca="1" si="0"/>
        <v>2.058578462315364</v>
      </c>
      <c r="E45" s="184"/>
    </row>
    <row r="46" spans="1:5" ht="14.1" customHeight="1">
      <c r="A46" s="26" t="s">
        <v>270</v>
      </c>
      <c r="B46" s="27">
        <f>SUM('- 30 -'!$B46,'- 30 -'!$D46,'- 31 -'!$D46)</f>
        <v>5040513</v>
      </c>
      <c r="C46" s="27">
        <v>1150021</v>
      </c>
      <c r="D46" s="421">
        <f t="shared" ca="1" si="0"/>
        <v>4.382974745678557</v>
      </c>
      <c r="E46" s="184"/>
    </row>
    <row r="47" spans="1:5" ht="5.0999999999999996" customHeight="1">
      <c r="A47"/>
      <c r="B47" s="29"/>
      <c r="C47" s="426"/>
      <c r="D47" s="423"/>
      <c r="E47" s="184"/>
    </row>
    <row r="48" spans="1:5" ht="14.1" customHeight="1">
      <c r="A48" s="332" t="s">
        <v>271</v>
      </c>
      <c r="B48" s="333">
        <f>SUM(B11:B46)</f>
        <v>82260034</v>
      </c>
      <c r="C48" s="333">
        <f>SUM(C11:C46)</f>
        <v>32059347.912500001</v>
      </c>
      <c r="D48" s="424">
        <f>B48/C48</f>
        <v>2.5658673477861553</v>
      </c>
      <c r="E48" s="184"/>
    </row>
    <row r="49" spans="1:5" ht="5.0999999999999996" customHeight="1">
      <c r="A49" s="28" t="s">
        <v>17</v>
      </c>
      <c r="B49" s="29"/>
      <c r="C49" s="426"/>
      <c r="D49" s="423"/>
    </row>
    <row r="50" spans="1:5" ht="14.1" customHeight="1">
      <c r="A50" s="26" t="s">
        <v>272</v>
      </c>
      <c r="B50" s="27">
        <f>SUM('- 30 -'!$B50,'- 30 -'!$D50,'- 31 -'!$D50)</f>
        <v>35508</v>
      </c>
      <c r="C50" s="44" t="s">
        <v>196</v>
      </c>
      <c r="D50" s="421" t="str">
        <f ca="1">IF(AND(CELL("type",C50)="v",C50&gt;0),B50/C50,"")</f>
        <v/>
      </c>
      <c r="E50" s="184"/>
    </row>
    <row r="51" spans="1:5" ht="14.1" customHeight="1">
      <c r="A51" s="330" t="s">
        <v>273</v>
      </c>
      <c r="B51" s="331">
        <f>SUM('- 30 -'!$B51,'- 30 -'!$D51,'- 31 -'!$D51)</f>
        <v>0</v>
      </c>
      <c r="C51" s="331">
        <v>0</v>
      </c>
      <c r="D51" s="420" t="str">
        <f ca="1">IF(AND(CELL("type",C51)="v",C51&gt;0),B51/C51,"")</f>
        <v/>
      </c>
      <c r="E51" s="184"/>
    </row>
    <row r="52" spans="1:5"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34.xml><?xml version="1.0" encoding="utf-8"?>
<worksheet xmlns="http://schemas.openxmlformats.org/spreadsheetml/2006/main" xmlns:r="http://schemas.openxmlformats.org/officeDocument/2006/relationships">
  <sheetPr codeName="Sheet34">
    <pageSetUpPr fitToPage="1"/>
  </sheetPr>
  <dimension ref="A1:I54"/>
  <sheetViews>
    <sheetView showGridLines="0" showZeros="0" workbookViewId="0"/>
  </sheetViews>
  <sheetFormatPr defaultColWidth="15.83203125" defaultRowHeight="12"/>
  <cols>
    <col min="1" max="1" width="32.83203125" style="1" customWidth="1"/>
    <col min="2" max="2" width="18.83203125" style="1" customWidth="1"/>
    <col min="3" max="3" width="15.83203125" style="1"/>
    <col min="4" max="4" width="15.83203125" style="1" customWidth="1"/>
    <col min="5" max="5" width="15.83203125" style="1"/>
    <col min="6" max="6" width="17.83203125" style="1" customWidth="1"/>
    <col min="7" max="16384" width="15.83203125" style="1"/>
  </cols>
  <sheetData>
    <row r="1" spans="1:9" ht="6.95" customHeight="1">
      <c r="A1" s="6"/>
      <c r="B1" s="7"/>
      <c r="C1" s="7"/>
      <c r="D1" s="7"/>
      <c r="E1" s="7"/>
      <c r="F1" s="7"/>
    </row>
    <row r="2" spans="1:9" ht="15.95" customHeight="1">
      <c r="A2" s="8" t="s">
        <v>491</v>
      </c>
      <c r="B2" s="161"/>
      <c r="C2" s="178"/>
      <c r="D2" s="9"/>
      <c r="E2" s="9"/>
      <c r="F2" s="9"/>
      <c r="G2" s="9"/>
    </row>
    <row r="3" spans="1:9" ht="15.95" customHeight="1">
      <c r="A3" s="10" t="str">
        <f>OPYEAR</f>
        <v>OPERATING FUND 2012/2013 ACTUAL</v>
      </c>
      <c r="B3" s="164"/>
      <c r="C3" s="179"/>
      <c r="D3" s="11"/>
      <c r="E3" s="11"/>
      <c r="F3" s="11"/>
      <c r="G3" s="11"/>
    </row>
    <row r="4" spans="1:9" ht="15.95" customHeight="1">
      <c r="B4" s="7"/>
      <c r="C4" s="7"/>
      <c r="D4" s="78"/>
      <c r="E4" s="7"/>
      <c r="F4" s="7"/>
    </row>
    <row r="5" spans="1:9" ht="15.95" customHeight="1">
      <c r="B5" s="7"/>
      <c r="C5" s="7"/>
      <c r="D5" s="7"/>
      <c r="E5" s="7"/>
      <c r="F5" s="7"/>
    </row>
    <row r="6" spans="1:9" ht="15.95" customHeight="1">
      <c r="B6" s="427"/>
      <c r="C6" s="428"/>
      <c r="D6" s="429"/>
      <c r="E6" s="430"/>
      <c r="F6" s="431" t="s">
        <v>41</v>
      </c>
      <c r="G6" s="432"/>
    </row>
    <row r="7" spans="1:9" ht="15.95" customHeight="1">
      <c r="B7" s="433" t="s">
        <v>66</v>
      </c>
      <c r="C7" s="434"/>
      <c r="D7" s="434"/>
      <c r="E7" s="418"/>
      <c r="F7" s="434" t="s">
        <v>71</v>
      </c>
      <c r="G7" s="418"/>
      <c r="I7" s="3" t="s">
        <v>68</v>
      </c>
    </row>
    <row r="8" spans="1:9" ht="15.95" customHeight="1">
      <c r="A8" s="75"/>
      <c r="B8" s="86" t="s">
        <v>17</v>
      </c>
      <c r="C8" s="19" t="s">
        <v>89</v>
      </c>
      <c r="D8" s="85" t="s">
        <v>89</v>
      </c>
      <c r="E8" s="85" t="s">
        <v>224</v>
      </c>
      <c r="F8" s="86" t="s">
        <v>17</v>
      </c>
      <c r="G8" s="86" t="s">
        <v>89</v>
      </c>
      <c r="I8" s="3" t="s">
        <v>93</v>
      </c>
    </row>
    <row r="9" spans="1:9" ht="15.95" customHeight="1">
      <c r="A9" s="42" t="s">
        <v>94</v>
      </c>
      <c r="B9" s="87" t="s">
        <v>95</v>
      </c>
      <c r="C9" s="87" t="s">
        <v>97</v>
      </c>
      <c r="D9" s="87" t="s">
        <v>407</v>
      </c>
      <c r="E9" s="87" t="s">
        <v>408</v>
      </c>
      <c r="F9" s="87" t="s">
        <v>95</v>
      </c>
      <c r="G9" s="87" t="s">
        <v>407</v>
      </c>
      <c r="I9" s="556" t="str">
        <f>+Data!T9</f>
        <v>Sept. 30 / 12</v>
      </c>
    </row>
    <row r="10" spans="1:9" ht="5.0999999999999996" customHeight="1">
      <c r="A10" s="5"/>
    </row>
    <row r="11" spans="1:9" ht="14.1" customHeight="1">
      <c r="A11" s="330" t="s">
        <v>236</v>
      </c>
      <c r="B11" s="331">
        <f>'- 32 -'!D11</f>
        <v>1341010</v>
      </c>
      <c r="C11" s="331">
        <f>B11/'- 7 -'!E11</f>
        <v>893.11355311355317</v>
      </c>
      <c r="D11" s="420">
        <f>B11/I11</f>
        <v>5.2047941191310656</v>
      </c>
      <c r="E11" s="331">
        <f>I11/'- 7 -'!E11</f>
        <v>171.5944055944056</v>
      </c>
      <c r="F11" s="331">
        <f>'- 32 -'!F11</f>
        <v>222134</v>
      </c>
      <c r="G11" s="420">
        <f>F11/I11</f>
        <v>0.8621574312339656</v>
      </c>
      <c r="I11" s="1">
        <f>+Data!T11</f>
        <v>257649</v>
      </c>
    </row>
    <row r="12" spans="1:9" ht="14.1" customHeight="1">
      <c r="A12" s="26" t="s">
        <v>237</v>
      </c>
      <c r="B12" s="27">
        <f>'- 32 -'!D12</f>
        <v>2199092</v>
      </c>
      <c r="C12" s="27">
        <f>B12/'- 7 -'!E12</f>
        <v>961.64596816512153</v>
      </c>
      <c r="D12" s="421">
        <f t="shared" ref="D12:D46" si="0">B12/I12</f>
        <v>5.7050515742066708</v>
      </c>
      <c r="E12" s="27">
        <f>I12/'- 7 -'!E12</f>
        <v>168.56043379394785</v>
      </c>
      <c r="F12" s="27">
        <f>'- 32 -'!F12</f>
        <v>554280</v>
      </c>
      <c r="G12" s="421">
        <f t="shared" ref="G12:G48" si="1">F12/I12</f>
        <v>1.4379552954361496</v>
      </c>
      <c r="I12" s="1">
        <f>+Data!T12</f>
        <v>385464</v>
      </c>
    </row>
    <row r="13" spans="1:9" ht="14.1" customHeight="1">
      <c r="A13" s="330" t="s">
        <v>238</v>
      </c>
      <c r="B13" s="331">
        <f>'- 32 -'!D13</f>
        <v>5650003</v>
      </c>
      <c r="C13" s="331">
        <f>B13/'- 7 -'!E13</f>
        <v>719.88316238771745</v>
      </c>
      <c r="D13" s="420">
        <f t="shared" si="0"/>
        <v>5.4086009153453896</v>
      </c>
      <c r="E13" s="331">
        <f>I13/'- 7 -'!E13</f>
        <v>133.09970057972862</v>
      </c>
      <c r="F13" s="331">
        <f>'- 32 -'!F13</f>
        <v>423856</v>
      </c>
      <c r="G13" s="420">
        <f t="shared" si="1"/>
        <v>0.40574632430719687</v>
      </c>
      <c r="I13" s="1">
        <f>+Data!T13</f>
        <v>1044633</v>
      </c>
    </row>
    <row r="14" spans="1:9" ht="14.1" customHeight="1">
      <c r="A14" s="26" t="s">
        <v>656</v>
      </c>
      <c r="B14" s="27">
        <f>'- 32 -'!D14</f>
        <v>6014139</v>
      </c>
      <c r="C14" s="44">
        <f>B14/'- 7 -'!E14</f>
        <v>1180.6319199057714</v>
      </c>
      <c r="D14" s="421">
        <f t="shared" si="0"/>
        <v>6.6910899526939529</v>
      </c>
      <c r="E14" s="44">
        <f>I14/'- 7 -'!E14</f>
        <v>176.44837063211622</v>
      </c>
      <c r="F14" s="44">
        <f>'- 32 -'!F14</f>
        <v>650379</v>
      </c>
      <c r="G14" s="421">
        <f t="shared" si="1"/>
        <v>0.72358560258469917</v>
      </c>
      <c r="I14" s="1">
        <f>+Data!T14</f>
        <v>898828</v>
      </c>
    </row>
    <row r="15" spans="1:9" ht="14.1" customHeight="1">
      <c r="A15" s="330" t="s">
        <v>239</v>
      </c>
      <c r="B15" s="331">
        <f>'- 32 -'!D15</f>
        <v>1843999</v>
      </c>
      <c r="C15" s="331">
        <f>B15/'- 7 -'!E15</f>
        <v>1194.2998704663212</v>
      </c>
      <c r="D15" s="420">
        <f t="shared" si="0"/>
        <v>6.3805310653139751</v>
      </c>
      <c r="E15" s="331">
        <f>I15/'- 7 -'!E15</f>
        <v>187.17875647668393</v>
      </c>
      <c r="F15" s="331">
        <f>'- 32 -'!F15</f>
        <v>360796</v>
      </c>
      <c r="G15" s="420">
        <f t="shared" si="1"/>
        <v>1.2484117866880735</v>
      </c>
      <c r="I15" s="1">
        <f>+Data!T15</f>
        <v>289004</v>
      </c>
    </row>
    <row r="16" spans="1:9" ht="14.1" customHeight="1">
      <c r="A16" s="26" t="s">
        <v>240</v>
      </c>
      <c r="B16" s="27">
        <f>'- 32 -'!D16</f>
        <v>1637450</v>
      </c>
      <c r="C16" s="27">
        <f>B16/'- 7 -'!E16</f>
        <v>1649.8236775818639</v>
      </c>
      <c r="D16" s="421">
        <f t="shared" si="0"/>
        <v>8.3211793821557976</v>
      </c>
      <c r="E16" s="27">
        <f>I16/'- 7 -'!E16</f>
        <v>198.26801007556676</v>
      </c>
      <c r="F16" s="27">
        <f>'- 32 -'!F16</f>
        <v>134008</v>
      </c>
      <c r="G16" s="421">
        <f t="shared" si="1"/>
        <v>0.68100070636900922</v>
      </c>
      <c r="I16" s="1">
        <f>+Data!T16</f>
        <v>196781</v>
      </c>
    </row>
    <row r="17" spans="1:9" ht="14.1" customHeight="1">
      <c r="A17" s="330" t="s">
        <v>241</v>
      </c>
      <c r="B17" s="331">
        <f>'- 32 -'!D17</f>
        <v>1375127</v>
      </c>
      <c r="C17" s="331">
        <f>B17/'- 7 -'!E17</f>
        <v>1061.4877099346072</v>
      </c>
      <c r="D17" s="420">
        <f t="shared" si="0"/>
        <v>5.2889703421936236</v>
      </c>
      <c r="E17" s="331">
        <f>I17/'- 7 -'!E17</f>
        <v>200.69836683832688</v>
      </c>
      <c r="F17" s="331">
        <f>'- 32 -'!F17</f>
        <v>166354</v>
      </c>
      <c r="G17" s="420">
        <f t="shared" si="1"/>
        <v>0.63982553779052997</v>
      </c>
      <c r="I17" s="1">
        <f>+Data!T17</f>
        <v>259999</v>
      </c>
    </row>
    <row r="18" spans="1:9" ht="14.1" customHeight="1">
      <c r="A18" s="26" t="s">
        <v>242</v>
      </c>
      <c r="B18" s="27">
        <f>'- 32 -'!D18</f>
        <v>14522869</v>
      </c>
      <c r="C18" s="27">
        <f>B18/'- 7 -'!E18</f>
        <v>2514.347126038781</v>
      </c>
      <c r="D18" s="421">
        <f>B18/I18</f>
        <v>10.580539005480103</v>
      </c>
      <c r="E18" s="27">
        <f>I18/'- 7 -'!E18</f>
        <v>237.63885041551248</v>
      </c>
      <c r="F18" s="27">
        <f>'- 32 -'!F18</f>
        <v>910973</v>
      </c>
      <c r="G18" s="421">
        <f>F18/I18</f>
        <v>0.66368328182532155</v>
      </c>
      <c r="I18" s="1">
        <f>+Data!T18</f>
        <v>1372602</v>
      </c>
    </row>
    <row r="19" spans="1:9" ht="14.1" customHeight="1">
      <c r="A19" s="330" t="s">
        <v>243</v>
      </c>
      <c r="B19" s="331">
        <f>'- 32 -'!D19</f>
        <v>3296178</v>
      </c>
      <c r="C19" s="331">
        <f>B19/'- 7 -'!E19</f>
        <v>786.80877473563601</v>
      </c>
      <c r="D19" s="420">
        <f t="shared" si="0"/>
        <v>6.3260544134129679</v>
      </c>
      <c r="E19" s="331">
        <f>I19/'- 7 -'!E19</f>
        <v>124.37591005657269</v>
      </c>
      <c r="F19" s="331">
        <f>'- 32 -'!F19</f>
        <v>103211</v>
      </c>
      <c r="G19" s="420">
        <f t="shared" si="1"/>
        <v>0.19808347791374306</v>
      </c>
      <c r="I19" s="1">
        <f>+Data!T19</f>
        <v>521048</v>
      </c>
    </row>
    <row r="20" spans="1:9" ht="14.1" customHeight="1">
      <c r="A20" s="26" t="s">
        <v>244</v>
      </c>
      <c r="B20" s="27">
        <f>'- 32 -'!D20</f>
        <v>5459359</v>
      </c>
      <c r="C20" s="27">
        <f>B20/'- 7 -'!E20</f>
        <v>738.69954671537789</v>
      </c>
      <c r="D20" s="421">
        <f t="shared" si="0"/>
        <v>5.8192505502822032</v>
      </c>
      <c r="E20" s="27">
        <f>I20/'- 7 -'!E20</f>
        <v>126.9406670725932</v>
      </c>
      <c r="F20" s="27">
        <f>'- 32 -'!F20</f>
        <v>638077</v>
      </c>
      <c r="G20" s="421">
        <f t="shared" si="1"/>
        <v>0.68014027532763777</v>
      </c>
      <c r="I20" s="1">
        <f>+Data!T20</f>
        <v>938155</v>
      </c>
    </row>
    <row r="21" spans="1:9" ht="14.1" customHeight="1">
      <c r="A21" s="330" t="s">
        <v>245</v>
      </c>
      <c r="B21" s="331">
        <f>'- 32 -'!D21</f>
        <v>2654182</v>
      </c>
      <c r="C21" s="331">
        <f>B21/'- 7 -'!E21</f>
        <v>962.18307050933481</v>
      </c>
      <c r="D21" s="420">
        <f t="shared" si="0"/>
        <v>5.8469757082968936</v>
      </c>
      <c r="E21" s="331">
        <f>I21/'- 7 -'!E21</f>
        <v>164.56081203552657</v>
      </c>
      <c r="F21" s="331">
        <f>'- 32 -'!F21</f>
        <v>378096</v>
      </c>
      <c r="G21" s="420">
        <f t="shared" si="1"/>
        <v>0.83291881544077317</v>
      </c>
      <c r="I21" s="1">
        <f>+Data!T21</f>
        <v>453941</v>
      </c>
    </row>
    <row r="22" spans="1:9" ht="14.1" customHeight="1">
      <c r="A22" s="26" t="s">
        <v>246</v>
      </c>
      <c r="B22" s="27">
        <f>'- 32 -'!D22</f>
        <v>1909664</v>
      </c>
      <c r="C22" s="27">
        <f>B22/'- 7 -'!E22</f>
        <v>1196.9062989658414</v>
      </c>
      <c r="D22" s="421">
        <f t="shared" si="0"/>
        <v>5.6433318656118772</v>
      </c>
      <c r="E22" s="27">
        <f>I22/'- 7 -'!E22</f>
        <v>212.09213412723284</v>
      </c>
      <c r="F22" s="27">
        <f>'- 32 -'!F22</f>
        <v>66566</v>
      </c>
      <c r="G22" s="421">
        <f t="shared" si="1"/>
        <v>0.19671210692892582</v>
      </c>
      <c r="I22" s="1">
        <f>+Data!T22</f>
        <v>338393</v>
      </c>
    </row>
    <row r="23" spans="1:9" ht="14.1" customHeight="1">
      <c r="A23" s="330" t="s">
        <v>247</v>
      </c>
      <c r="B23" s="331">
        <f>'- 32 -'!D23</f>
        <v>1121487</v>
      </c>
      <c r="C23" s="331">
        <f>B23/'- 7 -'!E23</f>
        <v>946.00337410375369</v>
      </c>
      <c r="D23" s="420">
        <f t="shared" si="0"/>
        <v>4.8079663545632263</v>
      </c>
      <c r="E23" s="331">
        <f>I23/'- 7 -'!E23</f>
        <v>196.7574862927035</v>
      </c>
      <c r="F23" s="331">
        <f>'- 32 -'!F23</f>
        <v>271526</v>
      </c>
      <c r="G23" s="420">
        <f t="shared" si="1"/>
        <v>1.1640686627567993</v>
      </c>
      <c r="I23" s="1">
        <f>+Data!T23</f>
        <v>233256</v>
      </c>
    </row>
    <row r="24" spans="1:9" ht="14.1" customHeight="1">
      <c r="A24" s="26" t="s">
        <v>248</v>
      </c>
      <c r="B24" s="27">
        <f>'- 32 -'!D24</f>
        <v>4503568</v>
      </c>
      <c r="C24" s="27">
        <f>B24/'- 7 -'!E24</f>
        <v>1061.2361854042463</v>
      </c>
      <c r="D24" s="421">
        <f t="shared" si="0"/>
        <v>6.3852953978644642</v>
      </c>
      <c r="E24" s="27">
        <f>I24/'- 7 -'!E24</f>
        <v>166.20001413860547</v>
      </c>
      <c r="F24" s="27">
        <f>'- 32 -'!F24</f>
        <v>238032</v>
      </c>
      <c r="G24" s="421">
        <f t="shared" si="1"/>
        <v>0.33748899409190092</v>
      </c>
      <c r="I24" s="1">
        <f>+Data!T24</f>
        <v>705303</v>
      </c>
    </row>
    <row r="25" spans="1:9" ht="14.1" customHeight="1">
      <c r="A25" s="330" t="s">
        <v>249</v>
      </c>
      <c r="B25" s="331">
        <f>'- 32 -'!D25</f>
        <v>14872978</v>
      </c>
      <c r="C25" s="331">
        <f>B25/'- 7 -'!E25</f>
        <v>1085.1594215587561</v>
      </c>
      <c r="D25" s="420">
        <f t="shared" si="0"/>
        <v>6.6544810096678706</v>
      </c>
      <c r="E25" s="331">
        <f>I25/'- 7 -'!E25</f>
        <v>163.07198412350976</v>
      </c>
      <c r="F25" s="331">
        <f>'- 32 -'!F25</f>
        <v>649858</v>
      </c>
      <c r="G25" s="420">
        <f t="shared" si="1"/>
        <v>0.29076004280923046</v>
      </c>
      <c r="I25" s="1">
        <f>+Data!T25</f>
        <v>2235032</v>
      </c>
    </row>
    <row r="26" spans="1:9" ht="14.1" customHeight="1">
      <c r="A26" s="26" t="s">
        <v>250</v>
      </c>
      <c r="B26" s="27">
        <f>'- 32 -'!D26</f>
        <v>3884789</v>
      </c>
      <c r="C26" s="27">
        <f>B26/'- 7 -'!E26</f>
        <v>1250.1332260659694</v>
      </c>
      <c r="D26" s="421">
        <f t="shared" si="0"/>
        <v>5.0464716297546257</v>
      </c>
      <c r="E26" s="27">
        <f>I26/'- 7 -'!E26</f>
        <v>247.72421560740145</v>
      </c>
      <c r="F26" s="27">
        <f>'- 32 -'!F26</f>
        <v>227564</v>
      </c>
      <c r="G26" s="421">
        <f t="shared" si="1"/>
        <v>0.29561329327113561</v>
      </c>
      <c r="I26" s="1">
        <f>+Data!T26</f>
        <v>769803</v>
      </c>
    </row>
    <row r="27" spans="1:9" ht="14.1" customHeight="1">
      <c r="A27" s="330" t="s">
        <v>251</v>
      </c>
      <c r="B27" s="331">
        <f>'- 32 -'!D27</f>
        <v>3696348</v>
      </c>
      <c r="C27" s="425">
        <f>B27/'- 7 -'!E27</f>
        <v>1349.5049360359835</v>
      </c>
      <c r="D27" s="422">
        <f t="shared" si="0"/>
        <v>7.9955613238157044</v>
      </c>
      <c r="E27" s="425">
        <f>I27/'- 7 -'!E27</f>
        <v>168.78176295344355</v>
      </c>
      <c r="F27" s="425">
        <f>'- 32 -'!F27</f>
        <v>298950</v>
      </c>
      <c r="G27" s="422">
        <f t="shared" si="1"/>
        <v>0.64665801427644387</v>
      </c>
      <c r="I27" s="1">
        <f>+Data!T27</f>
        <v>462300</v>
      </c>
    </row>
    <row r="28" spans="1:9" ht="14.1" customHeight="1">
      <c r="A28" s="26" t="s">
        <v>252</v>
      </c>
      <c r="B28" s="27">
        <f>'- 32 -'!D28</f>
        <v>2766350</v>
      </c>
      <c r="C28" s="27">
        <f>B28/'- 7 -'!E28</f>
        <v>1393.9783320735701</v>
      </c>
      <c r="D28" s="421">
        <f t="shared" si="0"/>
        <v>7.0828351311285269</v>
      </c>
      <c r="E28" s="27">
        <f>I28/'- 7 -'!E28</f>
        <v>196.81078357268834</v>
      </c>
      <c r="F28" s="27">
        <f>'- 32 -'!F28</f>
        <v>113025</v>
      </c>
      <c r="G28" s="421">
        <f t="shared" si="1"/>
        <v>0.28938400444477447</v>
      </c>
      <c r="I28" s="1">
        <f>+Data!T28</f>
        <v>390571</v>
      </c>
    </row>
    <row r="29" spans="1:9" ht="14.1" customHeight="1">
      <c r="A29" s="330" t="s">
        <v>253</v>
      </c>
      <c r="B29" s="331">
        <f>'- 32 -'!D29</f>
        <v>11992671</v>
      </c>
      <c r="C29" s="331">
        <f>B29/'- 7 -'!E29</f>
        <v>985.23471131412032</v>
      </c>
      <c r="D29" s="420">
        <f t="shared" si="0"/>
        <v>7.0258057372640961</v>
      </c>
      <c r="E29" s="331">
        <f>I29/'- 7 -'!E29</f>
        <v>140.23085011994345</v>
      </c>
      <c r="F29" s="331">
        <f>'- 32 -'!F29</f>
        <v>1741170</v>
      </c>
      <c r="G29" s="420">
        <f t="shared" si="1"/>
        <v>1.0200498434045364</v>
      </c>
      <c r="I29" s="1">
        <f>+Data!T29</f>
        <v>1706946</v>
      </c>
    </row>
    <row r="30" spans="1:9" ht="14.1" customHeight="1">
      <c r="A30" s="26" t="s">
        <v>254</v>
      </c>
      <c r="B30" s="27">
        <f>'- 32 -'!D30</f>
        <v>1091004</v>
      </c>
      <c r="C30" s="27">
        <f>B30/'- 7 -'!E30</f>
        <v>1012.2508814251253</v>
      </c>
      <c r="D30" s="421">
        <f t="shared" si="0"/>
        <v>5.2020693765645492</v>
      </c>
      <c r="E30" s="27">
        <f>I30/'- 7 -'!E30</f>
        <v>194.58619409909076</v>
      </c>
      <c r="F30" s="27">
        <f>'- 32 -'!F30</f>
        <v>328926</v>
      </c>
      <c r="G30" s="421">
        <f t="shared" si="1"/>
        <v>1.5683681010847539</v>
      </c>
      <c r="I30" s="1">
        <f>+Data!T30</f>
        <v>209725</v>
      </c>
    </row>
    <row r="31" spans="1:9" ht="14.1" customHeight="1">
      <c r="A31" s="330" t="s">
        <v>255</v>
      </c>
      <c r="B31" s="331">
        <f>'- 32 -'!D31</f>
        <v>3081044</v>
      </c>
      <c r="C31" s="331">
        <f>B31/'- 7 -'!E31</f>
        <v>968.57717698836848</v>
      </c>
      <c r="D31" s="420">
        <f t="shared" si="0"/>
        <v>5.1825454496521468</v>
      </c>
      <c r="E31" s="331">
        <f>I31/'- 7 -'!E31</f>
        <v>186.89217227287017</v>
      </c>
      <c r="F31" s="331">
        <f>'- 32 -'!F31</f>
        <v>127142</v>
      </c>
      <c r="G31" s="420">
        <f t="shared" si="1"/>
        <v>0.21386231211228182</v>
      </c>
      <c r="I31" s="1">
        <f>+Data!T31</f>
        <v>594504</v>
      </c>
    </row>
    <row r="32" spans="1:9" ht="14.1" customHeight="1">
      <c r="A32" s="26" t="s">
        <v>256</v>
      </c>
      <c r="B32" s="27">
        <f>'- 32 -'!D32</f>
        <v>2132509</v>
      </c>
      <c r="C32" s="27">
        <f>B32/'- 7 -'!E32</f>
        <v>1033.9437575757577</v>
      </c>
      <c r="D32" s="421">
        <f t="shared" si="0"/>
        <v>5.5459853217308082</v>
      </c>
      <c r="E32" s="27">
        <f>I32/'- 7 -'!E32</f>
        <v>186.4310303030303</v>
      </c>
      <c r="F32" s="27">
        <f>'- 32 -'!F32</f>
        <v>317763</v>
      </c>
      <c r="G32" s="421">
        <f t="shared" si="1"/>
        <v>0.82640163947216483</v>
      </c>
      <c r="I32" s="1">
        <f>+Data!T32</f>
        <v>384514</v>
      </c>
    </row>
    <row r="33" spans="1:9" ht="14.1" customHeight="1">
      <c r="A33" s="330" t="s">
        <v>257</v>
      </c>
      <c r="B33" s="331">
        <f>'- 32 -'!D33</f>
        <v>2577714</v>
      </c>
      <c r="C33" s="331">
        <f>B33/'- 7 -'!E33</f>
        <v>1273.5741106719368</v>
      </c>
      <c r="D33" s="420">
        <f t="shared" si="0"/>
        <v>5.2235747562703025</v>
      </c>
      <c r="E33" s="331">
        <f>I33/'- 7 -'!E33</f>
        <v>243.81274703557312</v>
      </c>
      <c r="F33" s="331">
        <f>'- 32 -'!F33</f>
        <v>430882</v>
      </c>
      <c r="G33" s="420">
        <f t="shared" si="1"/>
        <v>0.87315518251103896</v>
      </c>
      <c r="I33" s="1">
        <f>+Data!T33</f>
        <v>493477</v>
      </c>
    </row>
    <row r="34" spans="1:9" ht="14.1" customHeight="1">
      <c r="A34" s="26" t="s">
        <v>258</v>
      </c>
      <c r="B34" s="27">
        <f>'- 32 -'!D34</f>
        <v>1995779</v>
      </c>
      <c r="C34" s="27">
        <f>B34/'- 7 -'!E34</f>
        <v>978.86525379254203</v>
      </c>
      <c r="D34" s="421">
        <f t="shared" si="0"/>
        <v>5.4080142856755753</v>
      </c>
      <c r="E34" s="27">
        <f>I34/'- 7 -'!E34</f>
        <v>181.00271228670783</v>
      </c>
      <c r="F34" s="27">
        <f>'- 32 -'!F34</f>
        <v>301123</v>
      </c>
      <c r="G34" s="421">
        <f t="shared" si="1"/>
        <v>0.81596082820066063</v>
      </c>
      <c r="I34" s="1">
        <f>+Data!T34</f>
        <v>369041</v>
      </c>
    </row>
    <row r="35" spans="1:9" ht="14.1" customHeight="1">
      <c r="A35" s="330" t="s">
        <v>259</v>
      </c>
      <c r="B35" s="331">
        <f>'- 32 -'!D35</f>
        <v>16614207</v>
      </c>
      <c r="C35" s="331">
        <f>B35/'- 7 -'!E35</f>
        <v>1052.5980106436898</v>
      </c>
      <c r="D35" s="420">
        <f t="shared" si="0"/>
        <v>6.7972116805522145</v>
      </c>
      <c r="E35" s="331">
        <f>I35/'- 7 -'!E35</f>
        <v>154.85732387227571</v>
      </c>
      <c r="F35" s="331">
        <f>'- 32 -'!F35</f>
        <v>885370</v>
      </c>
      <c r="G35" s="420">
        <f t="shared" si="1"/>
        <v>0.36222296409395371</v>
      </c>
      <c r="I35" s="1">
        <f>+Data!T35</f>
        <v>2444268</v>
      </c>
    </row>
    <row r="36" spans="1:9" ht="14.1" customHeight="1">
      <c r="A36" s="26" t="s">
        <v>260</v>
      </c>
      <c r="B36" s="27">
        <f>'- 32 -'!D36</f>
        <v>1992169</v>
      </c>
      <c r="C36" s="27">
        <f>B36/'- 7 -'!E36</f>
        <v>1207.7411336768719</v>
      </c>
      <c r="D36" s="421">
        <f t="shared" si="0"/>
        <v>6.1934961371655968</v>
      </c>
      <c r="E36" s="27">
        <f>I36/'- 7 -'!E36</f>
        <v>195.00151561079116</v>
      </c>
      <c r="F36" s="27">
        <f>'- 32 -'!F36</f>
        <v>157598</v>
      </c>
      <c r="G36" s="421">
        <f t="shared" si="1"/>
        <v>0.48995973947241611</v>
      </c>
      <c r="I36" s="1">
        <f>+Data!T36</f>
        <v>321655</v>
      </c>
    </row>
    <row r="37" spans="1:9" ht="14.1" customHeight="1">
      <c r="A37" s="330" t="s">
        <v>261</v>
      </c>
      <c r="B37" s="331">
        <f>'- 32 -'!D37</f>
        <v>3342666</v>
      </c>
      <c r="C37" s="331">
        <f>B37/'- 7 -'!E37</f>
        <v>896.5176344374413</v>
      </c>
      <c r="D37" s="420">
        <f t="shared" si="0"/>
        <v>5.7738191679549518</v>
      </c>
      <c r="E37" s="331">
        <f>I37/'- 7 -'!E37</f>
        <v>155.27289794823656</v>
      </c>
      <c r="F37" s="331">
        <f>'- 32 -'!F37</f>
        <v>302910</v>
      </c>
      <c r="G37" s="420">
        <f t="shared" si="1"/>
        <v>0.52321935968632061</v>
      </c>
      <c r="I37" s="1">
        <f>+Data!T37</f>
        <v>578935</v>
      </c>
    </row>
    <row r="38" spans="1:9" ht="14.1" customHeight="1">
      <c r="A38" s="26" t="s">
        <v>262</v>
      </c>
      <c r="B38" s="27">
        <f>'- 32 -'!D38</f>
        <v>8864580</v>
      </c>
      <c r="C38" s="27">
        <f>B38/'- 7 -'!E38</f>
        <v>856.34877700065692</v>
      </c>
      <c r="D38" s="421">
        <f t="shared" si="0"/>
        <v>7.3548499506334677</v>
      </c>
      <c r="E38" s="27">
        <f>I38/'- 7 -'!E38</f>
        <v>116.43320839290544</v>
      </c>
      <c r="F38" s="27">
        <f>'- 32 -'!F38</f>
        <v>680675</v>
      </c>
      <c r="G38" s="421">
        <f t="shared" si="1"/>
        <v>0.56474897740755181</v>
      </c>
      <c r="I38" s="1">
        <f>+Data!T38</f>
        <v>1205270</v>
      </c>
    </row>
    <row r="39" spans="1:9" ht="14.1" customHeight="1">
      <c r="A39" s="330" t="s">
        <v>263</v>
      </c>
      <c r="B39" s="331">
        <f>'- 32 -'!D39</f>
        <v>1749063</v>
      </c>
      <c r="C39" s="331">
        <f>B39/'- 7 -'!E39</f>
        <v>1102.8139974779319</v>
      </c>
      <c r="D39" s="420">
        <f t="shared" si="0"/>
        <v>5.593904814294806</v>
      </c>
      <c r="E39" s="331">
        <f>I39/'- 7 -'!E39</f>
        <v>197.14564943253467</v>
      </c>
      <c r="F39" s="331">
        <f>'- 32 -'!F39</f>
        <v>62334</v>
      </c>
      <c r="G39" s="420">
        <f t="shared" si="1"/>
        <v>0.19935843517028973</v>
      </c>
      <c r="I39" s="1">
        <f>+Data!T39</f>
        <v>312673</v>
      </c>
    </row>
    <row r="40" spans="1:9" ht="14.1" customHeight="1">
      <c r="A40" s="26" t="s">
        <v>264</v>
      </c>
      <c r="B40" s="27">
        <f>'- 32 -'!D40</f>
        <v>7414776</v>
      </c>
      <c r="C40" s="27">
        <f>B40/'- 7 -'!E40</f>
        <v>922.7293204076808</v>
      </c>
      <c r="D40" s="421">
        <f t="shared" si="0"/>
        <v>5.2212871583439249</v>
      </c>
      <c r="E40" s="27">
        <f>I40/'- 7 -'!E40</f>
        <v>176.72449195465236</v>
      </c>
      <c r="F40" s="27">
        <f>'- 32 -'!F40</f>
        <v>1385030</v>
      </c>
      <c r="G40" s="421">
        <f t="shared" si="1"/>
        <v>0.97530112210012643</v>
      </c>
      <c r="I40" s="1">
        <f>+Data!T40</f>
        <v>1420105</v>
      </c>
    </row>
    <row r="41" spans="1:9" ht="14.1" customHeight="1">
      <c r="A41" s="330" t="s">
        <v>265</v>
      </c>
      <c r="B41" s="331">
        <f>'- 32 -'!D41</f>
        <v>4143998</v>
      </c>
      <c r="C41" s="331">
        <f>B41/'- 7 -'!E41</f>
        <v>926.24005364327229</v>
      </c>
      <c r="D41" s="420">
        <f t="shared" si="0"/>
        <v>5.7087725582036093</v>
      </c>
      <c r="E41" s="331">
        <f>I41/'- 7 -'!E41</f>
        <v>162.24854716137685</v>
      </c>
      <c r="F41" s="331">
        <f>'- 32 -'!F41</f>
        <v>856991</v>
      </c>
      <c r="G41" s="420">
        <f t="shared" si="1"/>
        <v>1.1805909904945584</v>
      </c>
      <c r="I41" s="1">
        <f>+Data!T41</f>
        <v>725900</v>
      </c>
    </row>
    <row r="42" spans="1:9" ht="14.1" customHeight="1">
      <c r="A42" s="26" t="s">
        <v>266</v>
      </c>
      <c r="B42" s="27">
        <f>'- 32 -'!D42</f>
        <v>1657305</v>
      </c>
      <c r="C42" s="27">
        <f>B42/'- 7 -'!E42</f>
        <v>1160.0090991810737</v>
      </c>
      <c r="D42" s="421">
        <f t="shared" si="0"/>
        <v>5.1370028609420961</v>
      </c>
      <c r="E42" s="27">
        <f>I42/'- 7 -'!E42</f>
        <v>225.81437670609645</v>
      </c>
      <c r="F42" s="27">
        <f>'- 32 -'!F42</f>
        <v>134013</v>
      </c>
      <c r="G42" s="421">
        <f t="shared" si="1"/>
        <v>0.41538833491930161</v>
      </c>
      <c r="I42" s="1">
        <f>+Data!T42</f>
        <v>322621</v>
      </c>
    </row>
    <row r="43" spans="1:9" ht="14.1" customHeight="1">
      <c r="A43" s="330" t="s">
        <v>267</v>
      </c>
      <c r="B43" s="331">
        <f>'- 32 -'!D43</f>
        <v>744644</v>
      </c>
      <c r="C43" s="331">
        <f>B43/'- 7 -'!E43</f>
        <v>763.34597642234746</v>
      </c>
      <c r="D43" s="420">
        <f t="shared" si="0"/>
        <v>4.0780512382391922</v>
      </c>
      <c r="E43" s="331">
        <f>I43/'- 7 -'!E43</f>
        <v>187.18400820092259</v>
      </c>
      <c r="F43" s="331">
        <f>'- 32 -'!F43</f>
        <v>54058</v>
      </c>
      <c r="G43" s="420">
        <f t="shared" si="1"/>
        <v>0.29604924478909955</v>
      </c>
      <c r="I43" s="1">
        <f>+Data!T43</f>
        <v>182598</v>
      </c>
    </row>
    <row r="44" spans="1:9" ht="14.1" customHeight="1">
      <c r="A44" s="26" t="s">
        <v>268</v>
      </c>
      <c r="B44" s="27">
        <f>'- 32 -'!D44</f>
        <v>886757</v>
      </c>
      <c r="C44" s="27">
        <f>B44/'- 7 -'!E44</f>
        <v>1239.3529000698811</v>
      </c>
      <c r="D44" s="421">
        <f t="shared" si="0"/>
        <v>4.9509901902214875</v>
      </c>
      <c r="E44" s="27">
        <f>I44/'- 7 -'!E44</f>
        <v>250.32424877707896</v>
      </c>
      <c r="F44" s="27">
        <f>'- 32 -'!F44</f>
        <v>73300</v>
      </c>
      <c r="G44" s="421">
        <f t="shared" si="1"/>
        <v>0.4092525696929768</v>
      </c>
      <c r="I44" s="1">
        <f>+Data!T44</f>
        <v>179107</v>
      </c>
    </row>
    <row r="45" spans="1:9" ht="14.1" customHeight="1">
      <c r="A45" s="330" t="s">
        <v>269</v>
      </c>
      <c r="B45" s="331">
        <f>'- 32 -'!D45</f>
        <v>1319233</v>
      </c>
      <c r="C45" s="331">
        <f>B45/'- 7 -'!E45</f>
        <v>819.39937888198756</v>
      </c>
      <c r="D45" s="420">
        <f t="shared" si="0"/>
        <v>6.4301388157766466</v>
      </c>
      <c r="E45" s="331">
        <f>I45/'- 7 -'!E45</f>
        <v>127.43105590062112</v>
      </c>
      <c r="F45" s="331">
        <f>'- 32 -'!F45</f>
        <v>135408</v>
      </c>
      <c r="G45" s="420">
        <f t="shared" si="1"/>
        <v>0.65999883020412942</v>
      </c>
      <c r="I45" s="1">
        <f>+Data!T45</f>
        <v>205164</v>
      </c>
    </row>
    <row r="46" spans="1:9" ht="14.1" customHeight="1">
      <c r="A46" s="26" t="s">
        <v>270</v>
      </c>
      <c r="B46" s="27">
        <f>'- 32 -'!D46</f>
        <v>34706043</v>
      </c>
      <c r="C46" s="27">
        <f>B46/'- 7 -'!E46</f>
        <v>1151.9913366747435</v>
      </c>
      <c r="D46" s="421">
        <f t="shared" si="0"/>
        <v>6.9711804934133816</v>
      </c>
      <c r="E46" s="27">
        <f>I46/'- 7 -'!E46</f>
        <v>165.25053938327747</v>
      </c>
      <c r="F46" s="27">
        <f>'- 32 -'!F46</f>
        <v>4420725</v>
      </c>
      <c r="G46" s="421">
        <f t="shared" si="1"/>
        <v>0.88796270686188195</v>
      </c>
      <c r="I46" s="1">
        <f>+Data!T46</f>
        <v>4978503</v>
      </c>
    </row>
    <row r="47" spans="1:9" ht="5.0999999999999996" customHeight="1">
      <c r="A47"/>
      <c r="B47" s="29"/>
      <c r="C47" s="426"/>
      <c r="D47" s="423"/>
      <c r="E47" s="426"/>
      <c r="F47" s="426"/>
      <c r="G47" s="423"/>
      <c r="I47"/>
    </row>
    <row r="48" spans="1:9" ht="14.1" customHeight="1">
      <c r="A48" s="332" t="s">
        <v>271</v>
      </c>
      <c r="B48" s="333">
        <f>SUM(B11:B46)</f>
        <v>185054754</v>
      </c>
      <c r="C48" s="333">
        <f>B48/'- 7 -'!E48</f>
        <v>1074.2684594714303</v>
      </c>
      <c r="D48" s="424">
        <f>B48/I48</f>
        <v>6.5188201481708603</v>
      </c>
      <c r="E48" s="333">
        <f>I48/'- 7 -'!E48</f>
        <v>164.79492224875438</v>
      </c>
      <c r="F48" s="333">
        <f>SUM(F11:F46)</f>
        <v>18803103</v>
      </c>
      <c r="G48" s="424">
        <f t="shared" si="1"/>
        <v>0.66236637554597455</v>
      </c>
      <c r="I48" s="1">
        <f>+Data!T48</f>
        <v>28387768</v>
      </c>
    </row>
    <row r="49" spans="1:9" ht="5.0999999999999996" customHeight="1">
      <c r="A49" s="28" t="s">
        <v>17</v>
      </c>
      <c r="B49" s="29"/>
      <c r="C49" s="426"/>
      <c r="D49" s="423"/>
      <c r="E49" s="426"/>
      <c r="F49" s="426"/>
      <c r="G49" s="423"/>
    </row>
    <row r="50" spans="1:9" ht="14.1" customHeight="1">
      <c r="A50" s="26" t="s">
        <v>272</v>
      </c>
      <c r="B50" s="27">
        <f>'- 32 -'!D50</f>
        <v>525169</v>
      </c>
      <c r="C50" s="27">
        <f>B50/'- 7 -'!E50</f>
        <v>3144.7245508982037</v>
      </c>
      <c r="D50" s="421">
        <f>B50/I50</f>
        <v>7.2406143579986493</v>
      </c>
      <c r="E50" s="27">
        <f>I50/'- 7 -'!E50</f>
        <v>434.31736526946105</v>
      </c>
      <c r="F50" s="27">
        <f>'- 32 -'!F50</f>
        <v>0</v>
      </c>
      <c r="G50" s="421">
        <f>F50/I50</f>
        <v>0</v>
      </c>
      <c r="I50" s="1">
        <f>+Data!T50</f>
        <v>72531</v>
      </c>
    </row>
    <row r="51" spans="1:9" ht="14.1" customHeight="1">
      <c r="A51" s="330" t="s">
        <v>273</v>
      </c>
      <c r="B51" s="331">
        <f>'- 32 -'!D51</f>
        <v>1759005</v>
      </c>
      <c r="C51" s="331">
        <f>B51/'- 7 -'!E51</f>
        <v>2433.3291832669324</v>
      </c>
      <c r="D51" s="422" t="s">
        <v>196</v>
      </c>
      <c r="E51" s="331">
        <f>I51/'- 7 -'!E51</f>
        <v>0</v>
      </c>
      <c r="F51" s="331">
        <f>'- 32 -'!F51</f>
        <v>24030</v>
      </c>
      <c r="G51" s="422" t="s">
        <v>196</v>
      </c>
    </row>
    <row r="52" spans="1:9" ht="50.1" customHeight="1">
      <c r="A52" s="30"/>
      <c r="B52" s="30"/>
      <c r="C52" s="30"/>
      <c r="D52" s="30"/>
      <c r="E52" s="30"/>
      <c r="F52" s="30"/>
      <c r="G52" s="30"/>
      <c r="I52" s="253"/>
    </row>
    <row r="53" spans="1:9" ht="15" customHeight="1">
      <c r="A53" s="151" t="s">
        <v>742</v>
      </c>
    </row>
    <row r="54" spans="1:9" ht="12" customHeight="1">
      <c r="A54" s="32" t="s">
        <v>634</v>
      </c>
    </row>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35.xml><?xml version="1.0" encoding="utf-8"?>
<worksheet xmlns="http://schemas.openxmlformats.org/spreadsheetml/2006/main" xmlns:r="http://schemas.openxmlformats.org/officeDocument/2006/relationships">
  <sheetPr codeName="Sheet52">
    <pageSetUpPr fitToPage="1"/>
  </sheetPr>
  <dimension ref="A1:J56"/>
  <sheetViews>
    <sheetView showGridLines="0" showZeros="0" workbookViewId="0"/>
  </sheetViews>
  <sheetFormatPr defaultColWidth="15.83203125" defaultRowHeight="12"/>
  <cols>
    <col min="1" max="1" width="32.83203125" style="1" customWidth="1"/>
    <col min="2" max="2" width="13.83203125" style="1" customWidth="1"/>
    <col min="3" max="3" width="8.83203125" style="1" customWidth="1"/>
    <col min="4" max="4" width="9.83203125" style="1" customWidth="1"/>
    <col min="5" max="5" width="14.83203125" style="1" customWidth="1"/>
    <col min="6" max="6" width="8.83203125" style="1" customWidth="1"/>
    <col min="7" max="7" width="9.83203125" style="1" customWidth="1"/>
    <col min="8" max="8" width="14.83203125" style="1" customWidth="1"/>
    <col min="9" max="9" width="8.83203125" style="1" customWidth="1"/>
    <col min="10" max="10" width="9.83203125" style="1" customWidth="1"/>
    <col min="11" max="16384" width="15.83203125" style="1"/>
  </cols>
  <sheetData>
    <row r="1" spans="1:10" ht="6.95" customHeight="1">
      <c r="A1" s="6"/>
      <c r="B1" s="7"/>
      <c r="C1" s="7"/>
      <c r="D1" s="7"/>
      <c r="E1" s="7"/>
      <c r="F1" s="7"/>
      <c r="G1" s="7"/>
      <c r="H1" s="7"/>
      <c r="I1" s="7"/>
      <c r="J1" s="7"/>
    </row>
    <row r="2" spans="1:10" ht="15.95" customHeight="1">
      <c r="A2" s="152"/>
      <c r="B2" s="8" t="s">
        <v>545</v>
      </c>
      <c r="C2" s="9"/>
      <c r="D2" s="9"/>
      <c r="E2" s="9"/>
      <c r="F2" s="9"/>
      <c r="G2" s="9"/>
      <c r="H2" s="82"/>
      <c r="I2" s="173"/>
      <c r="J2" s="92"/>
    </row>
    <row r="3" spans="1:10" ht="15.95" customHeight="1">
      <c r="A3" s="154"/>
      <c r="B3" s="10" t="str">
        <f>OPYEAR</f>
        <v>OPERATING FUND 2012/2013 ACTUAL</v>
      </c>
      <c r="C3" s="11"/>
      <c r="D3" s="11"/>
      <c r="E3" s="11"/>
      <c r="F3" s="11"/>
      <c r="G3" s="11"/>
      <c r="H3" s="84"/>
      <c r="I3" s="84"/>
      <c r="J3" s="74"/>
    </row>
    <row r="4" spans="1:10" ht="15.95" customHeight="1">
      <c r="B4" s="7"/>
      <c r="C4" s="7"/>
      <c r="D4" s="7"/>
      <c r="E4" s="7"/>
      <c r="F4" s="7"/>
      <c r="G4" s="7"/>
      <c r="H4" s="7"/>
      <c r="I4" s="7"/>
      <c r="J4" s="7"/>
    </row>
    <row r="5" spans="1:10" ht="14.1" customHeight="1"/>
    <row r="6" spans="1:10" ht="18" customHeight="1">
      <c r="B6" s="513" t="s">
        <v>494</v>
      </c>
      <c r="C6" s="175"/>
      <c r="D6" s="176"/>
      <c r="E6" s="176"/>
      <c r="F6" s="176"/>
      <c r="G6" s="176"/>
      <c r="H6" s="176"/>
      <c r="I6" s="176"/>
      <c r="J6" s="177"/>
    </row>
    <row r="7" spans="1:10" ht="15.95" customHeight="1">
      <c r="B7" s="344" t="s">
        <v>166</v>
      </c>
      <c r="C7" s="345"/>
      <c r="D7" s="346"/>
      <c r="E7" s="344" t="s">
        <v>153</v>
      </c>
      <c r="F7" s="345"/>
      <c r="G7" s="346"/>
      <c r="H7" s="344" t="s">
        <v>521</v>
      </c>
      <c r="I7" s="345"/>
      <c r="J7" s="346"/>
    </row>
    <row r="8" spans="1:10" ht="15.95" customHeight="1">
      <c r="A8" s="75"/>
      <c r="B8" s="157"/>
      <c r="C8" s="77"/>
      <c r="D8" s="19" t="s">
        <v>74</v>
      </c>
      <c r="E8" s="157"/>
      <c r="F8" s="155"/>
      <c r="G8" s="19" t="s">
        <v>74</v>
      </c>
      <c r="H8" s="157"/>
      <c r="I8" s="155"/>
      <c r="J8" s="19" t="s">
        <v>74</v>
      </c>
    </row>
    <row r="9" spans="1:10" ht="15.95" customHeight="1">
      <c r="A9" s="42" t="s">
        <v>94</v>
      </c>
      <c r="B9" s="87" t="s">
        <v>95</v>
      </c>
      <c r="C9" s="87" t="s">
        <v>96</v>
      </c>
      <c r="D9" s="87" t="s">
        <v>97</v>
      </c>
      <c r="E9" s="87" t="s">
        <v>95</v>
      </c>
      <c r="F9" s="87" t="s">
        <v>96</v>
      </c>
      <c r="G9" s="87" t="s">
        <v>97</v>
      </c>
      <c r="H9" s="87" t="s">
        <v>95</v>
      </c>
      <c r="I9" s="87" t="s">
        <v>96</v>
      </c>
      <c r="J9" s="87" t="s">
        <v>97</v>
      </c>
    </row>
    <row r="10" spans="1:10" ht="5.0999999999999996" customHeight="1">
      <c r="A10" s="5"/>
    </row>
    <row r="11" spans="1:10" ht="14.1" customHeight="1">
      <c r="A11" s="330" t="s">
        <v>236</v>
      </c>
      <c r="B11" s="331">
        <v>139777</v>
      </c>
      <c r="C11" s="337">
        <f>B11/'- 3 -'!$D11*100</f>
        <v>0.89332020784424582</v>
      </c>
      <c r="D11" s="331">
        <f>B11/'- 7 -'!$E11</f>
        <v>93.091575091575095</v>
      </c>
      <c r="E11" s="331">
        <v>146738</v>
      </c>
      <c r="F11" s="337">
        <f>E11/'- 3 -'!$D11*100</f>
        <v>0.93780822781036177</v>
      </c>
      <c r="G11" s="331">
        <f>E11/'- 7 -'!$E11</f>
        <v>97.727605727605734</v>
      </c>
      <c r="H11" s="331">
        <v>170798</v>
      </c>
      <c r="I11" s="337">
        <f>H11/'- 3 -'!$D11*100</f>
        <v>1.0915766174648296</v>
      </c>
      <c r="J11" s="331">
        <f>H11/'- 7 -'!$E11</f>
        <v>113.75158175158175</v>
      </c>
    </row>
    <row r="12" spans="1:10" ht="14.1" customHeight="1">
      <c r="A12" s="26" t="s">
        <v>237</v>
      </c>
      <c r="B12" s="27">
        <v>268124</v>
      </c>
      <c r="C12" s="79">
        <f>B12/'- 3 -'!$D12*100</f>
        <v>0.90798160887186252</v>
      </c>
      <c r="D12" s="27">
        <f>B12/'- 7 -'!$E12</f>
        <v>117.24855693545565</v>
      </c>
      <c r="E12" s="27">
        <v>156101</v>
      </c>
      <c r="F12" s="79">
        <f>E12/'- 3 -'!$D12*100</f>
        <v>0.52862420792807285</v>
      </c>
      <c r="G12" s="27">
        <f>E12/'- 7 -'!$E12</f>
        <v>68.261763162497815</v>
      </c>
      <c r="H12" s="27">
        <v>636041</v>
      </c>
      <c r="I12" s="79">
        <f>H12/'- 3 -'!$D12*100</f>
        <v>2.1539046504172261</v>
      </c>
      <c r="J12" s="27">
        <f>H12/'- 7 -'!$E12</f>
        <v>278.13582298408255</v>
      </c>
    </row>
    <row r="13" spans="1:10" ht="14.1" customHeight="1">
      <c r="A13" s="330" t="s">
        <v>238</v>
      </c>
      <c r="B13" s="331">
        <v>314902</v>
      </c>
      <c r="C13" s="337">
        <f>B13/'- 3 -'!$D13*100</f>
        <v>0.39150755023545197</v>
      </c>
      <c r="D13" s="331">
        <f>B13/'- 7 -'!$E13</f>
        <v>40.122571191947507</v>
      </c>
      <c r="E13" s="331">
        <v>236215</v>
      </c>
      <c r="F13" s="337">
        <f>E13/'- 3 -'!$D13*100</f>
        <v>0.29367852849098219</v>
      </c>
      <c r="G13" s="331">
        <f>E13/'- 7 -'!$E13</f>
        <v>30.096833789896159</v>
      </c>
      <c r="H13" s="331">
        <v>839227</v>
      </c>
      <c r="I13" s="337">
        <f>H13/'- 3 -'!$D13*100</f>
        <v>1.0433839952158055</v>
      </c>
      <c r="J13" s="331">
        <f>H13/'- 7 -'!$E13</f>
        <v>106.92833025418869</v>
      </c>
    </row>
    <row r="14" spans="1:10" ht="14.1" customHeight="1">
      <c r="A14" s="26" t="s">
        <v>656</v>
      </c>
      <c r="B14" s="27">
        <v>294121</v>
      </c>
      <c r="C14" s="79">
        <f>B14/'- 3 -'!$D14*100</f>
        <v>0.42098844406967389</v>
      </c>
      <c r="D14" s="27">
        <f>B14/'- 7 -'!$E14</f>
        <v>57.738712210443659</v>
      </c>
      <c r="E14" s="27">
        <v>484533</v>
      </c>
      <c r="F14" s="79">
        <f>E14/'- 3 -'!$D14*100</f>
        <v>0.69353359253644364</v>
      </c>
      <c r="G14" s="27">
        <f>E14/'- 7 -'!$E14</f>
        <v>95.118374558303884</v>
      </c>
      <c r="H14" s="27">
        <v>962149</v>
      </c>
      <c r="I14" s="79">
        <f>H14/'- 3 -'!$D14*100</f>
        <v>1.3771665759098899</v>
      </c>
      <c r="J14" s="27">
        <f>H14/'- 7 -'!$E14</f>
        <v>188.87887711032587</v>
      </c>
    </row>
    <row r="15" spans="1:10" ht="14.1" customHeight="1">
      <c r="A15" s="330" t="s">
        <v>239</v>
      </c>
      <c r="B15" s="331">
        <v>92433</v>
      </c>
      <c r="C15" s="337">
        <f>B15/'- 3 -'!$D15*100</f>
        <v>0.49705190515053926</v>
      </c>
      <c r="D15" s="331">
        <f>B15/'- 7 -'!$E15</f>
        <v>59.865932642487046</v>
      </c>
      <c r="E15" s="331">
        <v>124078</v>
      </c>
      <c r="F15" s="337">
        <f>E15/'- 3 -'!$D15*100</f>
        <v>0.66722064941383064</v>
      </c>
      <c r="G15" s="331">
        <f>E15/'- 7 -'!$E15</f>
        <v>80.361398963730565</v>
      </c>
      <c r="H15" s="331">
        <v>193901</v>
      </c>
      <c r="I15" s="337">
        <f>H15/'- 3 -'!$D15*100</f>
        <v>1.0426888823320104</v>
      </c>
      <c r="J15" s="331">
        <f>H15/'- 7 -'!$E15</f>
        <v>125.58354922279793</v>
      </c>
    </row>
    <row r="16" spans="1:10" ht="14.1" customHeight="1">
      <c r="A16" s="26" t="s">
        <v>240</v>
      </c>
      <c r="B16" s="27">
        <v>109713</v>
      </c>
      <c r="C16" s="79">
        <f>B16/'- 3 -'!$D16*100</f>
        <v>0.8586444963848463</v>
      </c>
      <c r="D16" s="27">
        <f>B16/'- 7 -'!$E16</f>
        <v>110.54206549118388</v>
      </c>
      <c r="E16" s="27">
        <v>55915</v>
      </c>
      <c r="F16" s="79">
        <f>E16/'- 3 -'!$D16*100</f>
        <v>0.43760636401664965</v>
      </c>
      <c r="G16" s="27">
        <f>E16/'- 7 -'!$E16</f>
        <v>56.337531486146098</v>
      </c>
      <c r="H16" s="27">
        <v>72816</v>
      </c>
      <c r="I16" s="79">
        <f>H16/'- 3 -'!$D16*100</f>
        <v>0.56987829745571605</v>
      </c>
      <c r="J16" s="27">
        <f>H16/'- 7 -'!$E16</f>
        <v>73.366246851385384</v>
      </c>
    </row>
    <row r="17" spans="1:10" ht="14.1" customHeight="1">
      <c r="A17" s="330" t="s">
        <v>241</v>
      </c>
      <c r="B17" s="331">
        <v>133333</v>
      </c>
      <c r="C17" s="337">
        <f>B17/'- 3 -'!$D17*100</f>
        <v>0.82841270489208541</v>
      </c>
      <c r="D17" s="331">
        <f>B17/'- 7 -'!$E17</f>
        <v>102.92237795397151</v>
      </c>
      <c r="E17" s="331">
        <v>109947</v>
      </c>
      <c r="F17" s="337">
        <f>E17/'- 3 -'!$D17*100</f>
        <v>0.683112895268014</v>
      </c>
      <c r="G17" s="331">
        <f>E17/'- 7 -'!$E17</f>
        <v>84.870262342445656</v>
      </c>
      <c r="H17" s="331">
        <v>237763</v>
      </c>
      <c r="I17" s="337">
        <f>H17/'- 3 -'!$D17*100</f>
        <v>1.4772478677690963</v>
      </c>
      <c r="J17" s="331">
        <f>H17/'- 7 -'!$E17</f>
        <v>183.53395895592337</v>
      </c>
    </row>
    <row r="18" spans="1:10" ht="14.1" customHeight="1">
      <c r="A18" s="26" t="s">
        <v>242</v>
      </c>
      <c r="B18" s="27">
        <v>420329</v>
      </c>
      <c r="C18" s="79">
        <f>B18/'- 3 -'!$D18*100</f>
        <v>0.37311377612962171</v>
      </c>
      <c r="D18" s="27">
        <f>B18/'- 7 -'!$E18</f>
        <v>72.77164127423822</v>
      </c>
      <c r="E18" s="27">
        <v>0</v>
      </c>
      <c r="F18" s="79">
        <f>E18/'- 3 -'!$D18*100</f>
        <v>0</v>
      </c>
      <c r="G18" s="27">
        <f>E18/'- 7 -'!$E18</f>
        <v>0</v>
      </c>
      <c r="H18" s="27">
        <v>1513955</v>
      </c>
      <c r="I18" s="79">
        <f>H18/'- 3 -'!$D18*100</f>
        <v>1.3438936331785847</v>
      </c>
      <c r="J18" s="27">
        <f>H18/'- 7 -'!$E18</f>
        <v>262.11132271468142</v>
      </c>
    </row>
    <row r="19" spans="1:10" ht="14.1" customHeight="1">
      <c r="A19" s="330" t="s">
        <v>243</v>
      </c>
      <c r="B19" s="331">
        <v>354320</v>
      </c>
      <c r="C19" s="337">
        <f>B19/'- 3 -'!$D19*100</f>
        <v>0.90939647407131807</v>
      </c>
      <c r="D19" s="331">
        <f>B19/'- 7 -'!$E19</f>
        <v>84.577375695223537</v>
      </c>
      <c r="E19" s="331">
        <v>231064</v>
      </c>
      <c r="F19" s="337">
        <f>E19/'- 3 -'!$D19*100</f>
        <v>0.59304805510503233</v>
      </c>
      <c r="G19" s="331">
        <f>E19/'- 7 -'!$E19</f>
        <v>55.155753944573078</v>
      </c>
      <c r="H19" s="331">
        <v>865980</v>
      </c>
      <c r="I19" s="337">
        <f>H19/'- 3 -'!$D19*100</f>
        <v>2.222621242425717</v>
      </c>
      <c r="J19" s="331">
        <f>H19/'- 7 -'!$E19</f>
        <v>206.71233857685053</v>
      </c>
    </row>
    <row r="20" spans="1:10" ht="14.1" customHeight="1">
      <c r="A20" s="26" t="s">
        <v>244</v>
      </c>
      <c r="B20" s="27">
        <v>442588</v>
      </c>
      <c r="C20" s="79">
        <f>B20/'- 3 -'!$D20*100</f>
        <v>0.65410050259217634</v>
      </c>
      <c r="D20" s="27">
        <f>B20/'- 7 -'!$E20</f>
        <v>59.886069954671541</v>
      </c>
      <c r="E20" s="27">
        <v>251076</v>
      </c>
      <c r="F20" s="79">
        <f>E20/'- 3 -'!$D20*100</f>
        <v>0.37106504873343438</v>
      </c>
      <c r="G20" s="27">
        <f>E20/'- 7 -'!$E20</f>
        <v>33.972802922670994</v>
      </c>
      <c r="H20" s="27">
        <v>942614</v>
      </c>
      <c r="I20" s="79">
        <f>H20/'- 3 -'!$D20*100</f>
        <v>1.3930885861126412</v>
      </c>
      <c r="J20" s="27">
        <f>H20/'- 7 -'!$E20</f>
        <v>127.54400920100129</v>
      </c>
    </row>
    <row r="21" spans="1:10" ht="14.1" customHeight="1">
      <c r="A21" s="330" t="s">
        <v>245</v>
      </c>
      <c r="B21" s="331">
        <v>357176</v>
      </c>
      <c r="C21" s="337">
        <f>B21/'- 3 -'!$D21*100</f>
        <v>1.0935607782340575</v>
      </c>
      <c r="D21" s="331">
        <f>B21/'- 7 -'!$E21</f>
        <v>129.48196483596158</v>
      </c>
      <c r="E21" s="331">
        <v>155764</v>
      </c>
      <c r="F21" s="337">
        <f>E21/'- 3 -'!$D21*100</f>
        <v>0.47690046660707813</v>
      </c>
      <c r="G21" s="331">
        <f>E21/'- 7 -'!$E21</f>
        <v>56.466920427768713</v>
      </c>
      <c r="H21" s="331">
        <v>284430</v>
      </c>
      <c r="I21" s="337">
        <f>H21/'- 3 -'!$D21*100</f>
        <v>0.87083536450689014</v>
      </c>
      <c r="J21" s="331">
        <f>H21/'- 7 -'!$E21</f>
        <v>103.11038607939098</v>
      </c>
    </row>
    <row r="22" spans="1:10" ht="14.1" customHeight="1">
      <c r="A22" s="26" t="s">
        <v>246</v>
      </c>
      <c r="B22" s="27">
        <v>124218</v>
      </c>
      <c r="C22" s="79">
        <f>B22/'- 3 -'!$D22*100</f>
        <v>0.668750583456862</v>
      </c>
      <c r="D22" s="27">
        <f>B22/'- 7 -'!$E22</f>
        <v>77.855217800062675</v>
      </c>
      <c r="E22" s="27">
        <v>7925</v>
      </c>
      <c r="F22" s="79">
        <f>E22/'- 3 -'!$D22*100</f>
        <v>4.2665703633093681E-2</v>
      </c>
      <c r="G22" s="27">
        <f>E22/'- 7 -'!$E22</f>
        <v>4.9670949545596992</v>
      </c>
      <c r="H22" s="27">
        <v>141624</v>
      </c>
      <c r="I22" s="79">
        <f>H22/'- 3 -'!$D22*100</f>
        <v>0.76245900458463844</v>
      </c>
      <c r="J22" s="27">
        <f>H22/'- 7 -'!$E22</f>
        <v>88.764650579755568</v>
      </c>
    </row>
    <row r="23" spans="1:10" ht="14.1" customHeight="1">
      <c r="A23" s="330" t="s">
        <v>247</v>
      </c>
      <c r="B23" s="331">
        <v>88770</v>
      </c>
      <c r="C23" s="337">
        <f>B23/'- 3 -'!$D23*100</f>
        <v>0.55228740745515204</v>
      </c>
      <c r="D23" s="331">
        <f>B23/'- 7 -'!$E23</f>
        <v>74.879797553774779</v>
      </c>
      <c r="E23" s="331">
        <v>109303</v>
      </c>
      <c r="F23" s="337">
        <f>E23/'- 3 -'!$D23*100</f>
        <v>0.6800345893553057</v>
      </c>
      <c r="G23" s="331">
        <f>E23/'- 7 -'!$E23</f>
        <v>92.199915647406158</v>
      </c>
      <c r="H23" s="331">
        <v>562854</v>
      </c>
      <c r="I23" s="337">
        <f>H23/'- 3 -'!$D23*100</f>
        <v>3.501826928419085</v>
      </c>
      <c r="J23" s="331">
        <f>H23/'- 7 -'!$E23</f>
        <v>474.78194854491778</v>
      </c>
    </row>
    <row r="24" spans="1:10" ht="14.1" customHeight="1">
      <c r="A24" s="26" t="s">
        <v>248</v>
      </c>
      <c r="B24" s="27">
        <v>427594</v>
      </c>
      <c r="C24" s="79">
        <f>B24/'- 3 -'!$D24*100</f>
        <v>0.83729246442852279</v>
      </c>
      <c r="D24" s="27">
        <f>B24/'- 7 -'!$E24</f>
        <v>100.75971440016967</v>
      </c>
      <c r="E24" s="27">
        <v>348840</v>
      </c>
      <c r="F24" s="79">
        <f>E24/'- 3 -'!$D24*100</f>
        <v>0.68308045316642862</v>
      </c>
      <c r="G24" s="27">
        <f>E24/'- 7 -'!$E24</f>
        <v>82.201852157315557</v>
      </c>
      <c r="H24" s="27">
        <v>802692</v>
      </c>
      <c r="I24" s="79">
        <f>H24/'- 3 -'!$D24*100</f>
        <v>1.5717899756709865</v>
      </c>
      <c r="J24" s="27">
        <f>H24/'- 7 -'!$E24</f>
        <v>189.14909159459907</v>
      </c>
    </row>
    <row r="25" spans="1:10" ht="14.1" customHeight="1">
      <c r="A25" s="330" t="s">
        <v>249</v>
      </c>
      <c r="B25" s="331">
        <v>951103</v>
      </c>
      <c r="C25" s="337">
        <f>B25/'- 3 -'!$D25*100</f>
        <v>0.63491790746297283</v>
      </c>
      <c r="D25" s="331">
        <f>B25/'- 7 -'!$E25</f>
        <v>69.394198076726639</v>
      </c>
      <c r="E25" s="331">
        <v>822196</v>
      </c>
      <c r="F25" s="337">
        <f>E25/'- 3 -'!$D25*100</f>
        <v>0.54886480627695045</v>
      </c>
      <c r="G25" s="331">
        <f>E25/'- 7 -'!$E25</f>
        <v>59.988909804608269</v>
      </c>
      <c r="H25" s="331">
        <v>1255097</v>
      </c>
      <c r="I25" s="337">
        <f>H25/'- 3 -'!$D25*100</f>
        <v>0.83785201066872339</v>
      </c>
      <c r="J25" s="331">
        <f>H25/'- 7 -'!$E25</f>
        <v>91.574151089319855</v>
      </c>
    </row>
    <row r="26" spans="1:10" ht="14.1" customHeight="1">
      <c r="A26" s="26" t="s">
        <v>250</v>
      </c>
      <c r="B26" s="27">
        <v>258497</v>
      </c>
      <c r="C26" s="79">
        <f>B26/'- 3 -'!$D26*100</f>
        <v>0.69343291556890851</v>
      </c>
      <c r="D26" s="27">
        <f>B26/'- 7 -'!$E26</f>
        <v>83.184875301689459</v>
      </c>
      <c r="E26" s="27">
        <v>667835</v>
      </c>
      <c r="F26" s="79">
        <f>E26/'- 3 -'!$D26*100</f>
        <v>1.7915053991688956</v>
      </c>
      <c r="G26" s="27">
        <f>E26/'- 7 -'!$E26</f>
        <v>214.91069991954947</v>
      </c>
      <c r="H26" s="27">
        <v>609859</v>
      </c>
      <c r="I26" s="79">
        <f>H26/'- 3 -'!$D26*100</f>
        <v>1.635981479305133</v>
      </c>
      <c r="J26" s="27">
        <f>H26/'- 7 -'!$E26</f>
        <v>196.25390185036204</v>
      </c>
    </row>
    <row r="27" spans="1:10" ht="14.1" customHeight="1">
      <c r="A27" s="330" t="s">
        <v>251</v>
      </c>
      <c r="B27" s="331">
        <v>221174</v>
      </c>
      <c r="C27" s="337">
        <f>B27/'- 3 -'!$D27*100</f>
        <v>0.60659513341615301</v>
      </c>
      <c r="D27" s="331">
        <f>B27/'- 7 -'!$E27</f>
        <v>80.748729481862256</v>
      </c>
      <c r="E27" s="331">
        <v>141389</v>
      </c>
      <c r="F27" s="337">
        <f>E27/'- 3 -'!$D27*100</f>
        <v>0.38777559441243753</v>
      </c>
      <c r="G27" s="331">
        <f>E27/'- 7 -'!$E27</f>
        <v>51.619910625620655</v>
      </c>
      <c r="H27" s="331">
        <v>197364</v>
      </c>
      <c r="I27" s="337">
        <f>H27/'- 3 -'!$D27*100</f>
        <v>0.54129346989947102</v>
      </c>
      <c r="J27" s="331">
        <f>H27/'- 7 -'!$E27</f>
        <v>72.055902798060629</v>
      </c>
    </row>
    <row r="28" spans="1:10" ht="14.1" customHeight="1">
      <c r="A28" s="26" t="s">
        <v>252</v>
      </c>
      <c r="B28" s="27">
        <v>160635</v>
      </c>
      <c r="C28" s="79">
        <f>B28/'- 3 -'!$D28*100</f>
        <v>0.63073023235852821</v>
      </c>
      <c r="D28" s="27">
        <f>B28/'- 7 -'!$E28</f>
        <v>80.944822373393805</v>
      </c>
      <c r="E28" s="27">
        <v>180490</v>
      </c>
      <c r="F28" s="79">
        <f>E28/'- 3 -'!$D28*100</f>
        <v>0.70869050728913852</v>
      </c>
      <c r="G28" s="27">
        <f>E28/'- 7 -'!$E28</f>
        <v>90.949861426051896</v>
      </c>
      <c r="H28" s="27">
        <v>396327</v>
      </c>
      <c r="I28" s="79">
        <f>H28/'- 3 -'!$D28*100</f>
        <v>1.5561703290064957</v>
      </c>
      <c r="J28" s="27">
        <f>H28/'- 7 -'!$E28</f>
        <v>199.71126228269085</v>
      </c>
    </row>
    <row r="29" spans="1:10" ht="14.1" customHeight="1">
      <c r="A29" s="330" t="s">
        <v>253</v>
      </c>
      <c r="B29" s="331">
        <v>969539</v>
      </c>
      <c r="C29" s="337">
        <f>B29/'- 3 -'!$D29*100</f>
        <v>0.7021792405867987</v>
      </c>
      <c r="D29" s="331">
        <f>B29/'- 7 -'!$E29</f>
        <v>79.650603003516139</v>
      </c>
      <c r="E29" s="331">
        <v>489948</v>
      </c>
      <c r="F29" s="337">
        <f>E29/'- 3 -'!$D29*100</f>
        <v>0.35484009881708811</v>
      </c>
      <c r="G29" s="331">
        <f>E29/'- 7 -'!$E29</f>
        <v>40.250731162301598</v>
      </c>
      <c r="H29" s="331">
        <v>1189887</v>
      </c>
      <c r="I29" s="337">
        <f>H29/'- 3 -'!$D29*100</f>
        <v>0.86176414774867638</v>
      </c>
      <c r="J29" s="331">
        <f>H29/'- 7 -'!$E29</f>
        <v>97.752867142059074</v>
      </c>
    </row>
    <row r="30" spans="1:10" ht="14.1" customHeight="1">
      <c r="A30" s="26" t="s">
        <v>254</v>
      </c>
      <c r="B30" s="27">
        <v>114628</v>
      </c>
      <c r="C30" s="79">
        <f>B30/'- 3 -'!$D30*100</f>
        <v>0.86093245952258757</v>
      </c>
      <c r="D30" s="27">
        <f>B30/'- 7 -'!$E30</f>
        <v>106.35368342920765</v>
      </c>
      <c r="E30" s="27">
        <v>81526</v>
      </c>
      <c r="F30" s="79">
        <f>E30/'- 3 -'!$D30*100</f>
        <v>0.61231444058204343</v>
      </c>
      <c r="G30" s="27">
        <f>E30/'- 7 -'!$E30</f>
        <v>75.641120801632965</v>
      </c>
      <c r="H30" s="27">
        <v>152220</v>
      </c>
      <c r="I30" s="79">
        <f>H30/'- 3 -'!$D30*100</f>
        <v>1.1432733624291471</v>
      </c>
      <c r="J30" s="27">
        <f>H30/'- 7 -'!$E30</f>
        <v>141.23213954351456</v>
      </c>
    </row>
    <row r="31" spans="1:10" ht="14.1" customHeight="1">
      <c r="A31" s="330" t="s">
        <v>255</v>
      </c>
      <c r="B31" s="331">
        <v>213345</v>
      </c>
      <c r="C31" s="337">
        <f>B31/'- 3 -'!$D31*100</f>
        <v>0.65365809090659255</v>
      </c>
      <c r="D31" s="331">
        <f>B31/'- 7 -'!$E31</f>
        <v>67.06853190820496</v>
      </c>
      <c r="E31" s="331">
        <v>151341</v>
      </c>
      <c r="F31" s="337">
        <f>E31/'- 3 -'!$D31*100</f>
        <v>0.46368684120037779</v>
      </c>
      <c r="G31" s="331">
        <f>E31/'- 7 -'!$E31</f>
        <v>47.576548255265642</v>
      </c>
      <c r="H31" s="331">
        <v>205067</v>
      </c>
      <c r="I31" s="337">
        <f>H31/'- 3 -'!$D31*100</f>
        <v>0.62829550131450096</v>
      </c>
      <c r="J31" s="331">
        <f>H31/'- 7 -'!$E31</f>
        <v>64.466205595724617</v>
      </c>
    </row>
    <row r="32" spans="1:10" ht="14.1" customHeight="1">
      <c r="A32" s="26" t="s">
        <v>256</v>
      </c>
      <c r="B32" s="27">
        <v>234131</v>
      </c>
      <c r="C32" s="79">
        <f>B32/'- 3 -'!$D32*100</f>
        <v>0.94860493923148381</v>
      </c>
      <c r="D32" s="27">
        <f>B32/'- 7 -'!$E32</f>
        <v>113.5180606060606</v>
      </c>
      <c r="E32" s="27">
        <v>106878</v>
      </c>
      <c r="F32" s="79">
        <f>E32/'- 3 -'!$D32*100</f>
        <v>0.43302680420440914</v>
      </c>
      <c r="G32" s="27">
        <f>E32/'- 7 -'!$E32</f>
        <v>51.819636363636363</v>
      </c>
      <c r="H32" s="27">
        <v>281888</v>
      </c>
      <c r="I32" s="79">
        <f>H32/'- 3 -'!$D32*100</f>
        <v>1.1420971554816941</v>
      </c>
      <c r="J32" s="27">
        <f>H32/'- 7 -'!$E32</f>
        <v>136.67296969696969</v>
      </c>
    </row>
    <row r="33" spans="1:10" ht="14.1" customHeight="1">
      <c r="A33" s="330" t="s">
        <v>257</v>
      </c>
      <c r="B33" s="331">
        <v>232918</v>
      </c>
      <c r="C33" s="337">
        <f>B33/'- 3 -'!$D33*100</f>
        <v>0.92260570138935905</v>
      </c>
      <c r="D33" s="331">
        <f>B33/'- 7 -'!$E33</f>
        <v>115.07806324110672</v>
      </c>
      <c r="E33" s="331">
        <v>54752</v>
      </c>
      <c r="F33" s="337">
        <f>E33/'- 3 -'!$D33*100</f>
        <v>0.21687678651916203</v>
      </c>
      <c r="G33" s="331">
        <f>E33/'- 7 -'!$E33</f>
        <v>27.051383399209485</v>
      </c>
      <c r="H33" s="331">
        <v>574345</v>
      </c>
      <c r="I33" s="337">
        <f>H33/'- 3 -'!$D33*100</f>
        <v>2.2750237060444936</v>
      </c>
      <c r="J33" s="331">
        <f>H33/'- 7 -'!$E33</f>
        <v>283.76729249011856</v>
      </c>
    </row>
    <row r="34" spans="1:10" ht="14.1" customHeight="1">
      <c r="A34" s="26" t="s">
        <v>258</v>
      </c>
      <c r="B34" s="27">
        <v>127564</v>
      </c>
      <c r="C34" s="79">
        <f>B34/'- 3 -'!$D34*100</f>
        <v>0.52670125653700572</v>
      </c>
      <c r="D34" s="27">
        <f>B34/'- 7 -'!$E34</f>
        <v>62.566029222069091</v>
      </c>
      <c r="E34" s="27">
        <v>134596</v>
      </c>
      <c r="F34" s="79">
        <f>E34/'- 3 -'!$D34*100</f>
        <v>0.55573580575126857</v>
      </c>
      <c r="G34" s="27">
        <f>E34/'- 7 -'!$E34</f>
        <v>66.014998504073333</v>
      </c>
      <c r="H34" s="27">
        <v>215121</v>
      </c>
      <c r="I34" s="79">
        <f>H34/'- 3 -'!$D34*100</f>
        <v>0.88821690294673428</v>
      </c>
      <c r="J34" s="27">
        <f>H34/'- 7 -'!$E34</f>
        <v>105.50991480575026</v>
      </c>
    </row>
    <row r="35" spans="1:10" ht="14.1" customHeight="1">
      <c r="A35" s="330" t="s">
        <v>259</v>
      </c>
      <c r="B35" s="331">
        <v>593097</v>
      </c>
      <c r="C35" s="337">
        <f>B35/'- 3 -'!$D35*100</f>
        <v>0.35721731113358152</v>
      </c>
      <c r="D35" s="331">
        <f>B35/'- 7 -'!$E35</f>
        <v>37.575836289913838</v>
      </c>
      <c r="E35" s="331">
        <v>309165</v>
      </c>
      <c r="F35" s="337">
        <f>E35/'- 3 -'!$D35*100</f>
        <v>0.18620746690105283</v>
      </c>
      <c r="G35" s="331">
        <f>E35/'- 7 -'!$E35</f>
        <v>19.587240243284338</v>
      </c>
      <c r="H35" s="331">
        <v>645525</v>
      </c>
      <c r="I35" s="337">
        <f>H35/'- 3 -'!$D35*100</f>
        <v>0.38879425249074812</v>
      </c>
      <c r="J35" s="331">
        <f>H35/'- 7 -'!$E35</f>
        <v>40.89742777496199</v>
      </c>
    </row>
    <row r="36" spans="1:10" ht="14.1" customHeight="1">
      <c r="A36" s="26" t="s">
        <v>260</v>
      </c>
      <c r="B36" s="27">
        <v>152210</v>
      </c>
      <c r="C36" s="79">
        <f>B36/'- 3 -'!$D36*100</f>
        <v>0.74067614715265717</v>
      </c>
      <c r="D36" s="27">
        <f>B36/'- 7 -'!$E36</f>
        <v>92.276447408305543</v>
      </c>
      <c r="E36" s="27">
        <v>201478</v>
      </c>
      <c r="F36" s="79">
        <f>E36/'- 3 -'!$D36*100</f>
        <v>0.98042144915592311</v>
      </c>
      <c r="G36" s="27">
        <f>E36/'- 7 -'!$E36</f>
        <v>122.14489239163383</v>
      </c>
      <c r="H36" s="27">
        <v>258793</v>
      </c>
      <c r="I36" s="79">
        <f>H36/'- 3 -'!$D36*100</f>
        <v>1.2593246314307707</v>
      </c>
      <c r="J36" s="27">
        <f>H36/'- 7 -'!$E36</f>
        <v>156.89178538951197</v>
      </c>
    </row>
    <row r="37" spans="1:10" ht="14.1" customHeight="1">
      <c r="A37" s="330" t="s">
        <v>261</v>
      </c>
      <c r="B37" s="331">
        <v>218101</v>
      </c>
      <c r="C37" s="337">
        <f>B37/'- 3 -'!$D37*100</f>
        <v>0.55078695882872475</v>
      </c>
      <c r="D37" s="331">
        <f>B37/'- 7 -'!$E37</f>
        <v>58.495641678959366</v>
      </c>
      <c r="E37" s="331">
        <v>271392</v>
      </c>
      <c r="F37" s="337">
        <f>E37/'- 3 -'!$D37*100</f>
        <v>0.6853667536161927</v>
      </c>
      <c r="G37" s="331">
        <f>E37/'- 7 -'!$E37</f>
        <v>72.788520852889903</v>
      </c>
      <c r="H37" s="331">
        <v>368969</v>
      </c>
      <c r="I37" s="337">
        <f>H37/'- 3 -'!$D37*100</f>
        <v>0.93178533528996077</v>
      </c>
      <c r="J37" s="331">
        <f>H37/'- 7 -'!$E37</f>
        <v>98.959098833310989</v>
      </c>
    </row>
    <row r="38" spans="1:10" ht="14.1" customHeight="1">
      <c r="A38" s="26" t="s">
        <v>262</v>
      </c>
      <c r="B38" s="27">
        <v>251675</v>
      </c>
      <c r="C38" s="79">
        <f>B38/'- 3 -'!$D38*100</f>
        <v>0.2287308360049119</v>
      </c>
      <c r="D38" s="27">
        <f>B38/'- 7 -'!$E38</f>
        <v>24.312666640905753</v>
      </c>
      <c r="E38" s="27">
        <v>517533</v>
      </c>
      <c r="F38" s="79">
        <f>E38/'- 3 -'!$D38*100</f>
        <v>0.47035166683274093</v>
      </c>
      <c r="G38" s="27">
        <f>E38/'- 7 -'!$E38</f>
        <v>49.99545963908961</v>
      </c>
      <c r="H38" s="27">
        <v>378459</v>
      </c>
      <c r="I38" s="79">
        <f>H38/'- 3 -'!$D38*100</f>
        <v>0.34395646553524573</v>
      </c>
      <c r="J38" s="27">
        <f>H38/'- 7 -'!$E38</f>
        <v>36.560435101820005</v>
      </c>
    </row>
    <row r="39" spans="1:10" ht="14.1" customHeight="1">
      <c r="A39" s="330" t="s">
        <v>263</v>
      </c>
      <c r="B39" s="331">
        <v>228249</v>
      </c>
      <c r="C39" s="337">
        <f>B39/'- 3 -'!$D39*100</f>
        <v>1.1685843223678771</v>
      </c>
      <c r="D39" s="331">
        <f>B39/'- 7 -'!$E39</f>
        <v>143.91488020176544</v>
      </c>
      <c r="E39" s="331">
        <v>212183</v>
      </c>
      <c r="F39" s="337">
        <f>E39/'- 3 -'!$D39*100</f>
        <v>1.0863299610205663</v>
      </c>
      <c r="G39" s="331">
        <f>E39/'- 7 -'!$E39</f>
        <v>133.78499369482975</v>
      </c>
      <c r="H39" s="331">
        <v>81104</v>
      </c>
      <c r="I39" s="337">
        <f>H39/'- 3 -'!$D39*100</f>
        <v>0.41523451529393035</v>
      </c>
      <c r="J39" s="331">
        <f>H39/'- 7 -'!$E39</f>
        <v>51.137452711223204</v>
      </c>
    </row>
    <row r="40" spans="1:10" ht="14.1" customHeight="1">
      <c r="A40" s="26" t="s">
        <v>264</v>
      </c>
      <c r="B40" s="27">
        <v>714004</v>
      </c>
      <c r="C40" s="79">
        <f>B40/'- 3 -'!$D40*100</f>
        <v>0.76952245988525603</v>
      </c>
      <c r="D40" s="27">
        <f>B40/'- 7 -'!$E40</f>
        <v>88.853989073758356</v>
      </c>
      <c r="E40" s="27">
        <v>130888</v>
      </c>
      <c r="F40" s="79">
        <f>E40/'- 3 -'!$D40*100</f>
        <v>0.14106539421272346</v>
      </c>
      <c r="G40" s="27">
        <f>E40/'- 7 -'!$E40</f>
        <v>16.288313401446047</v>
      </c>
      <c r="H40" s="27">
        <v>760414</v>
      </c>
      <c r="I40" s="79">
        <f>H40/'- 3 -'!$D40*100</f>
        <v>0.81954113956110475</v>
      </c>
      <c r="J40" s="27">
        <f>H40/'- 7 -'!$E40</f>
        <v>94.62946600793957</v>
      </c>
    </row>
    <row r="41" spans="1:10" ht="14.1" customHeight="1">
      <c r="A41" s="330" t="s">
        <v>265</v>
      </c>
      <c r="B41" s="331">
        <v>450998</v>
      </c>
      <c r="C41" s="337">
        <f>B41/'- 3 -'!$D41*100</f>
        <v>0.77889717446111606</v>
      </c>
      <c r="D41" s="331">
        <f>B41/'- 7 -'!$E41</f>
        <v>100.80420205632544</v>
      </c>
      <c r="E41" s="331">
        <v>406077</v>
      </c>
      <c r="F41" s="337">
        <f>E41/'- 3 -'!$D41*100</f>
        <v>0.70131625398260444</v>
      </c>
      <c r="G41" s="331">
        <f>E41/'- 7 -'!$E41</f>
        <v>90.763746088511397</v>
      </c>
      <c r="H41" s="331">
        <v>915269</v>
      </c>
      <c r="I41" s="337">
        <f>H41/'- 3 -'!$D41*100</f>
        <v>1.580717515314594</v>
      </c>
      <c r="J41" s="331">
        <f>H41/'- 7 -'!$E41</f>
        <v>204.57510058113544</v>
      </c>
    </row>
    <row r="42" spans="1:10" ht="14.1" customHeight="1">
      <c r="A42" s="26" t="s">
        <v>266</v>
      </c>
      <c r="B42" s="27">
        <v>137049</v>
      </c>
      <c r="C42" s="79">
        <f>B42/'- 3 -'!$D42*100</f>
        <v>0.6964296957349887</v>
      </c>
      <c r="D42" s="27">
        <f>B42/'- 7 -'!$E42</f>
        <v>95.925666689997897</v>
      </c>
      <c r="E42" s="27">
        <v>120925</v>
      </c>
      <c r="F42" s="79">
        <f>E42/'- 3 -'!$D42*100</f>
        <v>0.61449380117150443</v>
      </c>
      <c r="G42" s="27">
        <f>E42/'- 7 -'!$E42</f>
        <v>84.639882410583041</v>
      </c>
      <c r="H42" s="27">
        <v>180326</v>
      </c>
      <c r="I42" s="79">
        <f>H42/'- 3 -'!$D42*100</f>
        <v>0.91634657175979095</v>
      </c>
      <c r="J42" s="27">
        <f>H42/'- 7 -'!$E42</f>
        <v>126.21684048435641</v>
      </c>
    </row>
    <row r="43" spans="1:10" ht="14.1" customHeight="1">
      <c r="A43" s="330" t="s">
        <v>267</v>
      </c>
      <c r="B43" s="331">
        <v>39298</v>
      </c>
      <c r="C43" s="337">
        <f>B43/'- 3 -'!$D43*100</f>
        <v>0.3374547268134907</v>
      </c>
      <c r="D43" s="331">
        <f>B43/'- 7 -'!$E43</f>
        <v>40.284982060481802</v>
      </c>
      <c r="E43" s="331">
        <v>71348</v>
      </c>
      <c r="F43" s="337">
        <f>E43/'- 3 -'!$D43*100</f>
        <v>0.61267036105371608</v>
      </c>
      <c r="G43" s="331">
        <f>E43/'- 7 -'!$E43</f>
        <v>73.139928241927223</v>
      </c>
      <c r="H43" s="331">
        <v>121369</v>
      </c>
      <c r="I43" s="337">
        <f>H43/'- 3 -'!$D43*100</f>
        <v>1.042204253107704</v>
      </c>
      <c r="J43" s="331">
        <f>H43/'- 7 -'!$E43</f>
        <v>124.41722193746797</v>
      </c>
    </row>
    <row r="44" spans="1:10" ht="14.1" customHeight="1">
      <c r="A44" s="26" t="s">
        <v>268</v>
      </c>
      <c r="B44" s="27">
        <v>103543</v>
      </c>
      <c r="C44" s="79">
        <f>B44/'- 3 -'!$D44*100</f>
        <v>1.0615434377981148</v>
      </c>
      <c r="D44" s="27">
        <f>B44/'- 7 -'!$E44</f>
        <v>144.7141858839972</v>
      </c>
      <c r="E44" s="27">
        <v>64842</v>
      </c>
      <c r="F44" s="79">
        <f>E44/'- 3 -'!$D44*100</f>
        <v>0.66477308551717984</v>
      </c>
      <c r="G44" s="27">
        <f>E44/'- 7 -'!$E44</f>
        <v>90.624737945492669</v>
      </c>
      <c r="H44" s="27">
        <v>197604</v>
      </c>
      <c r="I44" s="79">
        <f>H44/'- 3 -'!$D44*100</f>
        <v>2.0258755249766636</v>
      </c>
      <c r="J44" s="27">
        <f>H44/'- 7 -'!$E44</f>
        <v>276.17610062893084</v>
      </c>
    </row>
    <row r="45" spans="1:10" ht="14.1" customHeight="1">
      <c r="A45" s="330" t="s">
        <v>269</v>
      </c>
      <c r="B45" s="331">
        <v>145462</v>
      </c>
      <c r="C45" s="337">
        <f>B45/'- 3 -'!$D45*100</f>
        <v>0.89269473254752396</v>
      </c>
      <c r="D45" s="331">
        <f>B45/'- 7 -'!$E45</f>
        <v>90.349068322981367</v>
      </c>
      <c r="E45" s="331">
        <v>32218</v>
      </c>
      <c r="F45" s="337">
        <f>E45/'- 3 -'!$D45*100</f>
        <v>0.19772063420835773</v>
      </c>
      <c r="G45" s="331">
        <f>E45/'- 7 -'!$E45</f>
        <v>20.011180124223603</v>
      </c>
      <c r="H45" s="331">
        <v>133468</v>
      </c>
      <c r="I45" s="337">
        <f>H45/'- 3 -'!$D45*100</f>
        <v>0.81908801311444179</v>
      </c>
      <c r="J45" s="331">
        <f>H45/'- 7 -'!$E45</f>
        <v>82.899378881987573</v>
      </c>
    </row>
    <row r="46" spans="1:10" ht="14.1" customHeight="1">
      <c r="A46" s="26" t="s">
        <v>270</v>
      </c>
      <c r="B46" s="27">
        <v>1958817</v>
      </c>
      <c r="C46" s="79">
        <f>B46/'- 3 -'!$D46*100</f>
        <v>0.56395039319119133</v>
      </c>
      <c r="D46" s="27">
        <f>B46/'- 7 -'!$E46</f>
        <v>65.018654363195807</v>
      </c>
      <c r="E46" s="27">
        <v>999549</v>
      </c>
      <c r="F46" s="79">
        <f>E46/'- 3 -'!$D46*100</f>
        <v>0.28777371830235393</v>
      </c>
      <c r="G46" s="27">
        <f>E46/'- 7 -'!$E46</f>
        <v>33.177847113884553</v>
      </c>
      <c r="H46" s="27">
        <v>2863143</v>
      </c>
      <c r="I46" s="79">
        <f>H46/'- 3 -'!$D46*100</f>
        <v>0.82430907053216651</v>
      </c>
      <c r="J46" s="27">
        <f>H46/'- 7 -'!$E46</f>
        <v>95.035781856806182</v>
      </c>
    </row>
    <row r="47" spans="1:10" ht="5.0999999999999996" customHeight="1">
      <c r="A47" s="28"/>
      <c r="B47" s="29"/>
      <c r="C47"/>
      <c r="D47"/>
      <c r="E47"/>
      <c r="F47"/>
      <c r="G47"/>
      <c r="H47"/>
      <c r="I47"/>
      <c r="J47"/>
    </row>
    <row r="48" spans="1:10" ht="14.1" customHeight="1">
      <c r="A48" s="332" t="s">
        <v>271</v>
      </c>
      <c r="B48" s="333">
        <f>SUM(B11:B46)</f>
        <v>12043435</v>
      </c>
      <c r="C48" s="340">
        <f>B48/'- 3 -'!$D48*100</f>
        <v>0.60249519532814555</v>
      </c>
      <c r="D48" s="333">
        <f>B48/'- 7 -'!$E48</f>
        <v>69.913807046504218</v>
      </c>
      <c r="E48" s="333">
        <v>8586048</v>
      </c>
      <c r="F48" s="340">
        <f>E48/'- 3 -'!$D48*100</f>
        <v>0.42953299177990611</v>
      </c>
      <c r="G48" s="333">
        <f>E48/'- 7 -'!$E48</f>
        <v>49.843196991890061</v>
      </c>
      <c r="H48" s="333">
        <v>20208462</v>
      </c>
      <c r="I48" s="340">
        <f>H48/'- 3 -'!$D48*100</f>
        <v>1.0109658299290365</v>
      </c>
      <c r="J48" s="333">
        <f>H48/'- 7 -'!$E48</f>
        <v>117.31291886198687</v>
      </c>
    </row>
    <row r="49" spans="1:10" ht="5.0999999999999996" customHeight="1">
      <c r="A49" s="28" t="s">
        <v>17</v>
      </c>
      <c r="B49" s="29"/>
      <c r="C49"/>
      <c r="D49"/>
      <c r="E49"/>
      <c r="F49"/>
      <c r="G49"/>
      <c r="H49"/>
      <c r="I49"/>
      <c r="J49"/>
    </row>
    <row r="50" spans="1:10" ht="14.1" customHeight="1">
      <c r="A50" s="26" t="s">
        <v>272</v>
      </c>
      <c r="B50" s="27">
        <v>0</v>
      </c>
      <c r="C50" s="79">
        <f>B50/'- 3 -'!$D50*100</f>
        <v>0</v>
      </c>
      <c r="D50" s="27">
        <f>B50/'- 7 -'!$E50</f>
        <v>0</v>
      </c>
      <c r="E50" s="27">
        <v>35154</v>
      </c>
      <c r="F50" s="79">
        <f>E50/'- 3 -'!$D50*100</f>
        <v>1.1084229613880732</v>
      </c>
      <c r="G50" s="27">
        <f>E50/'- 7 -'!$E50</f>
        <v>210.50299401197606</v>
      </c>
      <c r="H50" s="27">
        <v>26902</v>
      </c>
      <c r="I50" s="79">
        <f>H50/'- 3 -'!$D50*100</f>
        <v>0.84823333069528206</v>
      </c>
      <c r="J50" s="27">
        <f>H50/'- 7 -'!$E50</f>
        <v>161.08982035928145</v>
      </c>
    </row>
    <row r="51" spans="1:10" ht="14.1" customHeight="1">
      <c r="A51" s="330" t="s">
        <v>273</v>
      </c>
      <c r="B51" s="331">
        <v>59630</v>
      </c>
      <c r="C51" s="337">
        <f>B51/'- 3 -'!$D51*100</f>
        <v>0.32970958739413475</v>
      </c>
      <c r="D51" s="331">
        <f>B51/'- 7 -'!$E51</f>
        <v>82.489486498450646</v>
      </c>
      <c r="E51" s="331">
        <v>1696</v>
      </c>
      <c r="F51" s="337">
        <f>E51/'- 3 -'!$D51*100</f>
        <v>9.3776196582333153E-3</v>
      </c>
      <c r="G51" s="331">
        <f>E51/'- 7 -'!$E51</f>
        <v>2.3461708720672863</v>
      </c>
      <c r="H51" s="331">
        <v>243417</v>
      </c>
      <c r="I51" s="337">
        <f>H51/'- 3 -'!$D51*100</f>
        <v>1.3459151204883131</v>
      </c>
      <c r="J51" s="331">
        <f>H51/'- 7 -'!$E51</f>
        <v>336.73223771580348</v>
      </c>
    </row>
    <row r="52" spans="1:10" ht="50.1" customHeight="1">
      <c r="A52" s="30"/>
      <c r="B52" s="30"/>
      <c r="C52" s="30"/>
      <c r="D52" s="30"/>
      <c r="E52" s="30"/>
      <c r="F52" s="30"/>
      <c r="G52" s="30"/>
      <c r="H52" s="30"/>
      <c r="I52" s="30"/>
      <c r="J52" s="30"/>
    </row>
    <row r="53" spans="1:10" ht="15" customHeight="1">
      <c r="A53" s="151" t="s">
        <v>635</v>
      </c>
    </row>
    <row r="54" spans="1:10" ht="12" customHeight="1">
      <c r="A54" s="555" t="s">
        <v>776</v>
      </c>
    </row>
    <row r="55" spans="1:10" ht="12" customHeight="1">
      <c r="A55" s="555" t="s">
        <v>663</v>
      </c>
    </row>
    <row r="56" spans="1:10">
      <c r="A56" s="151" t="s">
        <v>636</v>
      </c>
    </row>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36.xml><?xml version="1.0" encoding="utf-8"?>
<worksheet xmlns="http://schemas.openxmlformats.org/spreadsheetml/2006/main" xmlns:r="http://schemas.openxmlformats.org/officeDocument/2006/relationships">
  <sheetPr codeName="Sheet53">
    <pageSetUpPr autoPageBreaks="0" fitToPage="1"/>
  </sheetPr>
  <dimension ref="A1:H54"/>
  <sheetViews>
    <sheetView showGridLines="0" showZeros="0" workbookViewId="0"/>
  </sheetViews>
  <sheetFormatPr defaultColWidth="15.83203125" defaultRowHeight="12"/>
  <cols>
    <col min="1" max="1" width="32.83203125" style="1" customWidth="1"/>
    <col min="2" max="2" width="18.83203125" style="1" customWidth="1"/>
    <col min="3" max="3" width="9.83203125" style="1" customWidth="1"/>
    <col min="4" max="4" width="10.83203125" style="1" customWidth="1"/>
    <col min="5" max="5" width="18.83203125" style="1" customWidth="1"/>
    <col min="6" max="6" width="9.83203125" style="1" customWidth="1"/>
    <col min="7" max="7" width="10.83203125" style="1" customWidth="1"/>
    <col min="8" max="8" width="22.1640625" style="1" customWidth="1"/>
    <col min="9" max="16384" width="15.83203125" style="1"/>
  </cols>
  <sheetData>
    <row r="1" spans="1:8" ht="6.95" customHeight="1">
      <c r="A1" s="6"/>
      <c r="B1" s="6"/>
      <c r="C1" s="6"/>
      <c r="D1" s="6"/>
      <c r="E1" s="7"/>
      <c r="F1" s="7"/>
      <c r="G1" s="7"/>
    </row>
    <row r="2" spans="1:8" ht="15.95" customHeight="1">
      <c r="A2" s="152"/>
      <c r="B2" s="8" t="s">
        <v>545</v>
      </c>
      <c r="C2" s="159"/>
      <c r="D2" s="159"/>
      <c r="E2" s="8"/>
      <c r="F2" s="160"/>
      <c r="G2" s="161"/>
      <c r="H2" s="162"/>
    </row>
    <row r="3" spans="1:8" ht="15.95" customHeight="1">
      <c r="A3" s="154"/>
      <c r="B3" s="10" t="str">
        <f>OPYEAR</f>
        <v>OPERATING FUND 2012/2013 ACTUAL</v>
      </c>
      <c r="C3" s="163"/>
      <c r="D3" s="163"/>
      <c r="E3" s="10"/>
      <c r="F3" s="164"/>
      <c r="G3" s="164"/>
      <c r="H3" s="165"/>
    </row>
    <row r="4" spans="1:8" ht="15.95" customHeight="1">
      <c r="E4" s="7"/>
      <c r="F4" s="7"/>
      <c r="G4" s="7"/>
    </row>
    <row r="5" spans="1:8" ht="18" customHeight="1">
      <c r="B5" s="513" t="s">
        <v>494</v>
      </c>
      <c r="C5" s="166"/>
      <c r="D5" s="167"/>
      <c r="E5" s="168"/>
      <c r="F5" s="169"/>
      <c r="G5" s="170"/>
    </row>
    <row r="6" spans="1:8" ht="15.95" customHeight="1">
      <c r="B6" s="370" t="s">
        <v>29</v>
      </c>
      <c r="C6" s="371"/>
      <c r="D6" s="372"/>
      <c r="E6" s="373"/>
      <c r="F6" s="374"/>
      <c r="G6" s="375"/>
    </row>
    <row r="7" spans="1:8" ht="15.95" customHeight="1">
      <c r="B7" s="376" t="s">
        <v>5</v>
      </c>
      <c r="C7" s="377"/>
      <c r="D7" s="378"/>
      <c r="E7" s="376" t="s">
        <v>68</v>
      </c>
      <c r="F7" s="377"/>
      <c r="G7" s="378"/>
    </row>
    <row r="8" spans="1:8" ht="15.95" customHeight="1">
      <c r="A8" s="75"/>
      <c r="B8" s="157"/>
      <c r="C8" s="77"/>
      <c r="D8" s="19" t="s">
        <v>74</v>
      </c>
      <c r="E8" s="157"/>
      <c r="F8" s="155"/>
      <c r="G8" s="19" t="s">
        <v>74</v>
      </c>
    </row>
    <row r="9" spans="1:8" ht="15.95" customHeight="1">
      <c r="A9" s="42" t="s">
        <v>94</v>
      </c>
      <c r="B9" s="87" t="s">
        <v>95</v>
      </c>
      <c r="C9" s="87" t="s">
        <v>96</v>
      </c>
      <c r="D9" s="87" t="s">
        <v>97</v>
      </c>
      <c r="E9" s="87" t="s">
        <v>95</v>
      </c>
      <c r="F9" s="87" t="s">
        <v>96</v>
      </c>
      <c r="G9" s="87" t="s">
        <v>97</v>
      </c>
    </row>
    <row r="10" spans="1:8" ht="5.0999999999999996" customHeight="1">
      <c r="A10" s="5"/>
      <c r="B10" s="5"/>
      <c r="C10" s="5"/>
      <c r="D10" s="5"/>
    </row>
    <row r="11" spans="1:8" ht="14.1" customHeight="1">
      <c r="A11" s="330" t="s">
        <v>236</v>
      </c>
      <c r="B11" s="331">
        <f>'- 27 -'!B11</f>
        <v>0</v>
      </c>
      <c r="C11" s="337">
        <f>'- 27 -'!C11</f>
        <v>0</v>
      </c>
      <c r="D11" s="331">
        <f>'- 27 -'!D11</f>
        <v>0</v>
      </c>
      <c r="E11" s="331">
        <f>SUM('- 38 -'!B11,'- 38 -'!E11,'- 38 -'!H11,B11)</f>
        <v>457313</v>
      </c>
      <c r="F11" s="337">
        <f>E11/'- 3 -'!D11*100</f>
        <v>2.922705053119437</v>
      </c>
      <c r="G11" s="331">
        <f>E11/'- 7 -'!E11</f>
        <v>304.57076257076255</v>
      </c>
    </row>
    <row r="12" spans="1:8" ht="14.1" customHeight="1">
      <c r="A12" s="26" t="s">
        <v>237</v>
      </c>
      <c r="B12" s="27">
        <f>'- 27 -'!B12</f>
        <v>86816</v>
      </c>
      <c r="C12" s="79">
        <f>'- 27 -'!C12</f>
        <v>0.29399580550722659</v>
      </c>
      <c r="D12" s="27">
        <f>'- 27 -'!D12</f>
        <v>37.963967115620079</v>
      </c>
      <c r="E12" s="27">
        <f>SUM('- 38 -'!B12,'- 38 -'!E12,'- 38 -'!H12,B12)</f>
        <v>1147082</v>
      </c>
      <c r="F12" s="79">
        <f>E12/'- 3 -'!D12*100</f>
        <v>3.8845062727243884</v>
      </c>
      <c r="G12" s="27">
        <f>E12/'- 7 -'!E12</f>
        <v>501.61011019765607</v>
      </c>
    </row>
    <row r="13" spans="1:8" ht="14.1" customHeight="1">
      <c r="A13" s="330" t="s">
        <v>238</v>
      </c>
      <c r="B13" s="331">
        <f>'- 27 -'!B13</f>
        <v>205704</v>
      </c>
      <c r="C13" s="337">
        <f>'- 27 -'!C13</f>
        <v>0.25574518140130392</v>
      </c>
      <c r="D13" s="331">
        <f>'- 27 -'!D13</f>
        <v>26.209339364209722</v>
      </c>
      <c r="E13" s="331">
        <f>SUM('- 38 -'!B13,'- 38 -'!E13,'- 38 -'!H13,B13)</f>
        <v>1596048</v>
      </c>
      <c r="F13" s="337">
        <f>E13/'- 3 -'!D13*100</f>
        <v>1.9843152553435435</v>
      </c>
      <c r="G13" s="331">
        <f>E13/'- 7 -'!E13</f>
        <v>203.35707460024207</v>
      </c>
    </row>
    <row r="14" spans="1:8" ht="14.1" customHeight="1">
      <c r="A14" s="26" t="s">
        <v>656</v>
      </c>
      <c r="B14" s="27">
        <f>'- 27 -'!B14</f>
        <v>101469</v>
      </c>
      <c r="C14" s="79">
        <f>'- 27 -'!C14</f>
        <v>0.14523708416368009</v>
      </c>
      <c r="D14" s="27">
        <f>'- 27 -'!D14</f>
        <v>19.919316843345111</v>
      </c>
      <c r="E14" s="27">
        <f>SUM('- 38 -'!B14,'- 38 -'!E14,'- 38 -'!H14,B14)</f>
        <v>1842272</v>
      </c>
      <c r="F14" s="79">
        <f>E14/'- 3 -'!D14*100</f>
        <v>2.6369256966796875</v>
      </c>
      <c r="G14" s="27">
        <f>E14/'- 7 -'!E14</f>
        <v>361.65528072241852</v>
      </c>
    </row>
    <row r="15" spans="1:8" ht="14.1" customHeight="1">
      <c r="A15" s="330" t="s">
        <v>239</v>
      </c>
      <c r="B15" s="331">
        <f>'- 27 -'!B15</f>
        <v>0</v>
      </c>
      <c r="C15" s="337">
        <f>'- 27 -'!C15</f>
        <v>0</v>
      </c>
      <c r="D15" s="331">
        <f>'- 27 -'!D15</f>
        <v>0</v>
      </c>
      <c r="E15" s="331">
        <f>SUM('- 38 -'!B15,'- 38 -'!E15,'- 38 -'!H15,B15)</f>
        <v>410412</v>
      </c>
      <c r="F15" s="337">
        <f>E15/'- 3 -'!D15*100</f>
        <v>2.2069614368963801</v>
      </c>
      <c r="G15" s="331">
        <f>E15/'- 7 -'!E15</f>
        <v>265.81088082901556</v>
      </c>
    </row>
    <row r="16" spans="1:8" ht="14.1" customHeight="1">
      <c r="A16" s="26" t="s">
        <v>240</v>
      </c>
      <c r="B16" s="27">
        <f>'- 27 -'!B16</f>
        <v>43517</v>
      </c>
      <c r="C16" s="79">
        <f>'- 27 -'!C16</f>
        <v>0.34057616279911551</v>
      </c>
      <c r="D16" s="27">
        <f>'- 27 -'!D16</f>
        <v>43.845843828715367</v>
      </c>
      <c r="E16" s="27">
        <f>SUM('- 38 -'!B16,'- 38 -'!E16,'- 38 -'!H16,B16)</f>
        <v>281961</v>
      </c>
      <c r="F16" s="79">
        <f>E16/'- 3 -'!D16*100</f>
        <v>2.2067053206563272</v>
      </c>
      <c r="G16" s="27">
        <f>E16/'- 7 -'!E16</f>
        <v>284.09168765743073</v>
      </c>
    </row>
    <row r="17" spans="1:7" ht="14.1" customHeight="1">
      <c r="A17" s="330" t="s">
        <v>241</v>
      </c>
      <c r="B17" s="331">
        <f>'- 27 -'!B17</f>
        <v>75304</v>
      </c>
      <c r="C17" s="337">
        <f>'- 27 -'!C17</f>
        <v>0.46787209714919487</v>
      </c>
      <c r="D17" s="331">
        <f>'- 27 -'!D17</f>
        <v>58.128645942458888</v>
      </c>
      <c r="E17" s="331">
        <f>SUM('- 38 -'!B17,'- 38 -'!E17,'- 38 -'!H17,B17)</f>
        <v>556347</v>
      </c>
      <c r="F17" s="337">
        <f>E17/'- 3 -'!D17*100</f>
        <v>3.4566455650783903</v>
      </c>
      <c r="G17" s="331">
        <f>E17/'- 7 -'!E17</f>
        <v>429.45524519479943</v>
      </c>
    </row>
    <row r="18" spans="1:7" ht="14.1" customHeight="1">
      <c r="A18" s="26" t="s">
        <v>242</v>
      </c>
      <c r="B18" s="27">
        <f>'- 27 -'!B18</f>
        <v>382772</v>
      </c>
      <c r="C18" s="79">
        <f>'- 27 -'!C18</f>
        <v>0.33977552421243251</v>
      </c>
      <c r="D18" s="27">
        <f>'- 27 -'!D18</f>
        <v>66.269390581717445</v>
      </c>
      <c r="E18" s="27">
        <f>SUM('- 38 -'!B18,'- 38 -'!E18,'- 38 -'!H18,B18)</f>
        <v>2317056</v>
      </c>
      <c r="F18" s="79">
        <f>E18/'- 3 -'!D18*100</f>
        <v>2.0567829335206391</v>
      </c>
      <c r="G18" s="27">
        <f>E18/'- 7 -'!E18</f>
        <v>401.1523545706371</v>
      </c>
    </row>
    <row r="19" spans="1:7" ht="14.1" customHeight="1">
      <c r="A19" s="330" t="s">
        <v>243</v>
      </c>
      <c r="B19" s="331">
        <f>'- 27 -'!B19</f>
        <v>78068</v>
      </c>
      <c r="C19" s="337">
        <f>'- 27 -'!C19</f>
        <v>0.20036905604481731</v>
      </c>
      <c r="D19" s="331">
        <f>'- 27 -'!D19</f>
        <v>18.635094168476833</v>
      </c>
      <c r="E19" s="331">
        <f>SUM('- 38 -'!B19,'- 38 -'!E19,'- 38 -'!H19,B19)</f>
        <v>1529432</v>
      </c>
      <c r="F19" s="337">
        <f>E19/'- 3 -'!D19*100</f>
        <v>3.9254348276468849</v>
      </c>
      <c r="G19" s="331">
        <f>E19/'- 7 -'!E19</f>
        <v>365.08056238512398</v>
      </c>
    </row>
    <row r="20" spans="1:7" ht="14.1" customHeight="1">
      <c r="A20" s="26" t="s">
        <v>244</v>
      </c>
      <c r="B20" s="27">
        <f>'- 27 -'!B20</f>
        <v>158095</v>
      </c>
      <c r="C20" s="79">
        <f>'- 27 -'!C20</f>
        <v>0.23364849240673063</v>
      </c>
      <c r="D20" s="27">
        <f>'- 27 -'!D20</f>
        <v>21.391651444421893</v>
      </c>
      <c r="E20" s="27">
        <f>SUM('- 38 -'!B20,'- 38 -'!E20,'- 38 -'!H20,B20)</f>
        <v>1794373</v>
      </c>
      <c r="F20" s="79">
        <f>E20/'- 3 -'!D20*100</f>
        <v>2.6519026298449826</v>
      </c>
      <c r="G20" s="27">
        <f>E20/'- 7 -'!E20</f>
        <v>242.7945335227657</v>
      </c>
    </row>
    <row r="21" spans="1:7" ht="14.1" customHeight="1">
      <c r="A21" s="330" t="s">
        <v>245</v>
      </c>
      <c r="B21" s="331">
        <f>'- 27 -'!B21</f>
        <v>106467</v>
      </c>
      <c r="C21" s="337">
        <f>'- 27 -'!C21</f>
        <v>0.32596852917397978</v>
      </c>
      <c r="D21" s="331">
        <f>'- 27 -'!D21</f>
        <v>38.595976073953238</v>
      </c>
      <c r="E21" s="331">
        <f>SUM('- 38 -'!B21,'- 38 -'!E21,'- 38 -'!H21,B21)</f>
        <v>903837</v>
      </c>
      <c r="F21" s="337">
        <f>E21/'- 3 -'!D21*100</f>
        <v>2.7672651385220055</v>
      </c>
      <c r="G21" s="331">
        <f>E21/'- 7 -'!E21</f>
        <v>327.65524741707452</v>
      </c>
    </row>
    <row r="22" spans="1:7" ht="14.1" customHeight="1">
      <c r="A22" s="26" t="s">
        <v>246</v>
      </c>
      <c r="B22" s="27">
        <f>'- 27 -'!B22</f>
        <v>52182</v>
      </c>
      <c r="C22" s="79">
        <f>'- 27 -'!C22</f>
        <v>0.28093145072329267</v>
      </c>
      <c r="D22" s="27">
        <f>'- 27 -'!D22</f>
        <v>32.705734879348164</v>
      </c>
      <c r="E22" s="27">
        <f>SUM('- 38 -'!B22,'- 38 -'!E22,'- 38 -'!H22,B22)</f>
        <v>325949</v>
      </c>
      <c r="F22" s="79">
        <f>E22/'- 3 -'!D22*100</f>
        <v>1.754806742397887</v>
      </c>
      <c r="G22" s="27">
        <f>E22/'- 7 -'!E22</f>
        <v>204.29269821372611</v>
      </c>
    </row>
    <row r="23" spans="1:7" ht="14.1" customHeight="1">
      <c r="A23" s="330" t="s">
        <v>247</v>
      </c>
      <c r="B23" s="331">
        <f>'- 27 -'!B23</f>
        <v>0</v>
      </c>
      <c r="C23" s="337">
        <f>'- 27 -'!C23</f>
        <v>0</v>
      </c>
      <c r="D23" s="331">
        <f>'- 27 -'!D23</f>
        <v>0</v>
      </c>
      <c r="E23" s="331">
        <f>SUM('- 38 -'!B23,'- 38 -'!E23,'- 38 -'!H23,B23)</f>
        <v>760927</v>
      </c>
      <c r="F23" s="337">
        <f>E23/'- 3 -'!D23*100</f>
        <v>4.734148925229543</v>
      </c>
      <c r="G23" s="331">
        <f>E23/'- 7 -'!E23</f>
        <v>641.86166174609866</v>
      </c>
    </row>
    <row r="24" spans="1:7" ht="14.1" customHeight="1">
      <c r="A24" s="26" t="s">
        <v>248</v>
      </c>
      <c r="B24" s="27">
        <f>'- 27 -'!B24</f>
        <v>226908</v>
      </c>
      <c r="C24" s="79">
        <f>'- 27 -'!C24</f>
        <v>0.44431951458286889</v>
      </c>
      <c r="D24" s="27">
        <f>'- 27 -'!D24</f>
        <v>53.469378137003091</v>
      </c>
      <c r="E24" s="27">
        <f>SUM('- 38 -'!B24,'- 38 -'!E24,'- 38 -'!H24,B24)</f>
        <v>1806034</v>
      </c>
      <c r="F24" s="79">
        <f>E24/'- 3 -'!D24*100</f>
        <v>3.5364824078488066</v>
      </c>
      <c r="G24" s="27">
        <f>E24/'- 7 -'!E24</f>
        <v>425.58003628908739</v>
      </c>
    </row>
    <row r="25" spans="1:7" ht="14.1" customHeight="1">
      <c r="A25" s="330" t="s">
        <v>249</v>
      </c>
      <c r="B25" s="331">
        <f>'- 27 -'!B25</f>
        <v>343774</v>
      </c>
      <c r="C25" s="337">
        <f>'- 27 -'!C25</f>
        <v>0.22948962280654778</v>
      </c>
      <c r="D25" s="331">
        <f>'- 27 -'!D25</f>
        <v>25.082373885508325</v>
      </c>
      <c r="E25" s="331">
        <f>SUM('- 38 -'!B25,'- 38 -'!E25,'- 38 -'!H25,B25)</f>
        <v>3372170</v>
      </c>
      <c r="F25" s="337">
        <f>E25/'- 3 -'!D25*100</f>
        <v>2.2511243472151947</v>
      </c>
      <c r="G25" s="331">
        <f>E25/'- 7 -'!E25</f>
        <v>246.03963285616311</v>
      </c>
    </row>
    <row r="26" spans="1:7" ht="14.1" customHeight="1">
      <c r="A26" s="26" t="s">
        <v>250</v>
      </c>
      <c r="B26" s="27">
        <f>'- 27 -'!B26</f>
        <v>22205</v>
      </c>
      <c r="C26" s="79">
        <f>'- 27 -'!C26</f>
        <v>5.9566176358749286E-2</v>
      </c>
      <c r="D26" s="27">
        <f>'- 27 -'!D26</f>
        <v>7.1456154465004023</v>
      </c>
      <c r="E26" s="27">
        <f>SUM('- 38 -'!B26,'- 38 -'!E26,'- 38 -'!H26,B26)</f>
        <v>1558396</v>
      </c>
      <c r="F26" s="79">
        <f>E26/'- 3 -'!D26*100</f>
        <v>4.1804859704016861</v>
      </c>
      <c r="G26" s="27">
        <f>E26/'- 7 -'!E26</f>
        <v>501.49509251810139</v>
      </c>
    </row>
    <row r="27" spans="1:7" ht="14.1" customHeight="1">
      <c r="A27" s="330" t="s">
        <v>251</v>
      </c>
      <c r="B27" s="331">
        <f>'- 27 -'!B27</f>
        <v>162893</v>
      </c>
      <c r="C27" s="337">
        <f>'- 27 -'!C27</f>
        <v>0.44675278770360627</v>
      </c>
      <c r="D27" s="331">
        <f>'- 27 -'!D27</f>
        <v>59.470836497458961</v>
      </c>
      <c r="E27" s="331">
        <f>SUM('- 38 -'!B27,'- 38 -'!E27,'- 38 -'!H27,B27)</f>
        <v>722820</v>
      </c>
      <c r="F27" s="337">
        <f>E27/'- 3 -'!D27*100</f>
        <v>1.982416985431668</v>
      </c>
      <c r="G27" s="331">
        <f>E27/'- 7 -'!E27</f>
        <v>263.89537940300249</v>
      </c>
    </row>
    <row r="28" spans="1:7" ht="14.1" customHeight="1">
      <c r="A28" s="26" t="s">
        <v>252</v>
      </c>
      <c r="B28" s="27">
        <f>'- 27 -'!B28</f>
        <v>60622</v>
      </c>
      <c r="C28" s="79">
        <f>'- 27 -'!C28</f>
        <v>0.23803111492538176</v>
      </c>
      <c r="D28" s="27">
        <f>'- 27 -'!D28</f>
        <v>30.547745023935502</v>
      </c>
      <c r="E28" s="27">
        <f>SUM('- 38 -'!B28,'- 38 -'!E28,'- 38 -'!H28,B28)</f>
        <v>798074</v>
      </c>
      <c r="F28" s="79">
        <f>E28/'- 3 -'!D28*100</f>
        <v>3.1336221835795439</v>
      </c>
      <c r="G28" s="27">
        <f>E28/'- 7 -'!E28</f>
        <v>402.15369110607207</v>
      </c>
    </row>
    <row r="29" spans="1:7" ht="14.1" customHeight="1">
      <c r="A29" s="330" t="s">
        <v>253</v>
      </c>
      <c r="B29" s="331">
        <f>'- 27 -'!B29</f>
        <v>668991</v>
      </c>
      <c r="C29" s="337">
        <f>'- 27 -'!C29</f>
        <v>0.48451025934944647</v>
      </c>
      <c r="D29" s="331">
        <f>'- 27 -'!D29</f>
        <v>54.959662843810584</v>
      </c>
      <c r="E29" s="331">
        <f>SUM('- 38 -'!B29,'- 38 -'!E29,'- 38 -'!H29,B29)</f>
        <v>3318365</v>
      </c>
      <c r="F29" s="337">
        <f>E29/'- 3 -'!D29*100</f>
        <v>2.4032937465020097</v>
      </c>
      <c r="G29" s="331">
        <f>E29/'- 7 -'!E29</f>
        <v>272.61386415168738</v>
      </c>
    </row>
    <row r="30" spans="1:7" ht="14.1" customHeight="1">
      <c r="A30" s="26" t="s">
        <v>254</v>
      </c>
      <c r="B30" s="27">
        <f>'- 27 -'!B30</f>
        <v>35512</v>
      </c>
      <c r="C30" s="79">
        <f>'- 27 -'!C30</f>
        <v>0.26671872057931861</v>
      </c>
      <c r="D30" s="27">
        <f>'- 27 -'!D30</f>
        <v>32.948598997958804</v>
      </c>
      <c r="E30" s="27">
        <f>SUM('- 38 -'!B30,'- 38 -'!E30,'- 38 -'!H30,B30)</f>
        <v>383886</v>
      </c>
      <c r="F30" s="79">
        <f>E30/'- 3 -'!D30*100</f>
        <v>2.8832389831130971</v>
      </c>
      <c r="G30" s="27">
        <f>E30/'- 7 -'!E30</f>
        <v>356.17554277231397</v>
      </c>
    </row>
    <row r="31" spans="1:7" ht="14.1" customHeight="1">
      <c r="A31" s="330" t="s">
        <v>255</v>
      </c>
      <c r="B31" s="331">
        <f>'- 27 -'!B31</f>
        <v>128865</v>
      </c>
      <c r="C31" s="337">
        <f>'- 27 -'!C31</f>
        <v>0.39482364191651098</v>
      </c>
      <c r="D31" s="331">
        <f>'- 27 -'!D31</f>
        <v>40.510845646023263</v>
      </c>
      <c r="E31" s="331">
        <f>SUM('- 38 -'!B31,'- 38 -'!E31,'- 38 -'!H31,B31)</f>
        <v>698618</v>
      </c>
      <c r="F31" s="337">
        <f>E31/'- 3 -'!D31*100</f>
        <v>2.1404640753379822</v>
      </c>
      <c r="G31" s="331">
        <f>E31/'- 7 -'!E31</f>
        <v>219.62213140521848</v>
      </c>
    </row>
    <row r="32" spans="1:7" ht="14.1" customHeight="1">
      <c r="A32" s="26" t="s">
        <v>256</v>
      </c>
      <c r="B32" s="27">
        <f>'- 27 -'!B32</f>
        <v>52457</v>
      </c>
      <c r="C32" s="79">
        <f>'- 27 -'!C32</f>
        <v>0.21253473182648153</v>
      </c>
      <c r="D32" s="27">
        <f>'- 27 -'!D32</f>
        <v>25.433696969696971</v>
      </c>
      <c r="E32" s="27">
        <f>SUM('- 38 -'!B32,'- 38 -'!E32,'- 38 -'!H32,B32)</f>
        <v>675354</v>
      </c>
      <c r="F32" s="79">
        <f>E32/'- 3 -'!D32*100</f>
        <v>2.7362636307440682</v>
      </c>
      <c r="G32" s="27">
        <f>E32/'- 7 -'!E32</f>
        <v>327.44436363636362</v>
      </c>
    </row>
    <row r="33" spans="1:7" ht="14.1" customHeight="1">
      <c r="A33" s="330" t="s">
        <v>257</v>
      </c>
      <c r="B33" s="331">
        <f>'- 27 -'!B33</f>
        <v>56285</v>
      </c>
      <c r="C33" s="337">
        <f>'- 27 -'!C33</f>
        <v>0.22294911472149026</v>
      </c>
      <c r="D33" s="331">
        <f>'- 27 -'!D33</f>
        <v>27.80879446640316</v>
      </c>
      <c r="E33" s="331">
        <f>SUM('- 38 -'!B33,'- 38 -'!E33,'- 38 -'!H33,B33)</f>
        <v>918300</v>
      </c>
      <c r="F33" s="337">
        <f>E33/'- 3 -'!D33*100</f>
        <v>3.6374553086745052</v>
      </c>
      <c r="G33" s="331">
        <f>E33/'- 7 -'!E33</f>
        <v>453.70553359683794</v>
      </c>
    </row>
    <row r="34" spans="1:7" ht="14.1" customHeight="1">
      <c r="A34" s="26" t="s">
        <v>258</v>
      </c>
      <c r="B34" s="27">
        <f>'- 27 -'!B34</f>
        <v>43984</v>
      </c>
      <c r="C34" s="79">
        <f>'- 27 -'!C34</f>
        <v>0.18160631579069061</v>
      </c>
      <c r="D34" s="27">
        <f>'- 27 -'!D34</f>
        <v>21.572733916336009</v>
      </c>
      <c r="E34" s="27">
        <f>SUM('- 38 -'!B34,'- 38 -'!E34,'- 38 -'!H34,B34)</f>
        <v>521265</v>
      </c>
      <c r="F34" s="79">
        <f>E34/'- 3 -'!D34*100</f>
        <v>2.1522602810256992</v>
      </c>
      <c r="G34" s="27">
        <f>E34/'- 7 -'!E34</f>
        <v>255.6636764482287</v>
      </c>
    </row>
    <row r="35" spans="1:7" ht="14.1" customHeight="1">
      <c r="A35" s="330" t="s">
        <v>259</v>
      </c>
      <c r="B35" s="331">
        <f>'- 27 -'!B35</f>
        <v>942508</v>
      </c>
      <c r="C35" s="337">
        <f>'- 27 -'!C35</f>
        <v>0.56766460373579641</v>
      </c>
      <c r="D35" s="331">
        <f>'- 27 -'!D35</f>
        <v>59.712873796249369</v>
      </c>
      <c r="E35" s="331">
        <f>SUM('- 38 -'!B35,'- 38 -'!E35,'- 38 -'!H35,B35)</f>
        <v>2490295</v>
      </c>
      <c r="F35" s="337">
        <f>E35/'- 3 -'!D35*100</f>
        <v>1.499883634261179</v>
      </c>
      <c r="G35" s="331">
        <f>E35/'- 7 -'!E35</f>
        <v>157.77337810440952</v>
      </c>
    </row>
    <row r="36" spans="1:7" ht="14.1" customHeight="1">
      <c r="A36" s="26" t="s">
        <v>260</v>
      </c>
      <c r="B36" s="27">
        <f>'- 27 -'!B36</f>
        <v>0</v>
      </c>
      <c r="C36" s="79">
        <f>'- 27 -'!C36</f>
        <v>0</v>
      </c>
      <c r="D36" s="27">
        <f>'- 27 -'!D36</f>
        <v>0</v>
      </c>
      <c r="E36" s="27">
        <f>SUM('- 38 -'!B36,'- 38 -'!E36,'- 38 -'!H36,B36)</f>
        <v>612481</v>
      </c>
      <c r="F36" s="79">
        <f>E36/'- 3 -'!D36*100</f>
        <v>2.9804222277393508</v>
      </c>
      <c r="G36" s="27">
        <f>E36/'- 7 -'!E36</f>
        <v>371.31312518945134</v>
      </c>
    </row>
    <row r="37" spans="1:7" ht="14.1" customHeight="1">
      <c r="A37" s="330" t="s">
        <v>261</v>
      </c>
      <c r="B37" s="331">
        <f>'- 27 -'!B37</f>
        <v>192469</v>
      </c>
      <c r="C37" s="337">
        <f>'- 27 -'!C37</f>
        <v>0.48605652967572738</v>
      </c>
      <c r="D37" s="331">
        <f>'- 27 -'!D37</f>
        <v>51.621027222743727</v>
      </c>
      <c r="E37" s="331">
        <f>SUM('- 38 -'!B37,'- 38 -'!E37,'- 38 -'!H37,B37)</f>
        <v>1050931</v>
      </c>
      <c r="F37" s="337">
        <f>E37/'- 3 -'!D37*100</f>
        <v>2.6539955774106052</v>
      </c>
      <c r="G37" s="331">
        <f>E37/'- 7 -'!E37</f>
        <v>281.86428858790396</v>
      </c>
    </row>
    <row r="38" spans="1:7" ht="14.1" customHeight="1">
      <c r="A38" s="26" t="s">
        <v>262</v>
      </c>
      <c r="B38" s="27">
        <f>'- 27 -'!B38</f>
        <v>354798</v>
      </c>
      <c r="C38" s="79">
        <f>'- 27 -'!C38</f>
        <v>0.3224525405895331</v>
      </c>
      <c r="D38" s="27">
        <f>'- 27 -'!D38</f>
        <v>34.274701495420999</v>
      </c>
      <c r="E38" s="27">
        <f>SUM('- 38 -'!B38,'- 38 -'!E38,'- 38 -'!H38,B38)</f>
        <v>1502465</v>
      </c>
      <c r="F38" s="79">
        <f>E38/'- 3 -'!D38*100</f>
        <v>1.3654915089624318</v>
      </c>
      <c r="G38" s="27">
        <f>E38/'- 7 -'!E38</f>
        <v>145.14326287723637</v>
      </c>
    </row>
    <row r="39" spans="1:7" ht="14.1" customHeight="1">
      <c r="A39" s="330" t="s">
        <v>263</v>
      </c>
      <c r="B39" s="331">
        <f>'- 27 -'!B39</f>
        <v>50549</v>
      </c>
      <c r="C39" s="337">
        <f>'- 27 -'!C39</f>
        <v>0.25879968329050212</v>
      </c>
      <c r="D39" s="331">
        <f>'- 27 -'!D39</f>
        <v>31.872005044136191</v>
      </c>
      <c r="E39" s="331">
        <f>SUM('- 38 -'!B39,'- 38 -'!E39,'- 38 -'!H39,B39)</f>
        <v>572085</v>
      </c>
      <c r="F39" s="337">
        <f>E39/'- 3 -'!D39*100</f>
        <v>2.9289484819728759</v>
      </c>
      <c r="G39" s="331">
        <f>E39/'- 7 -'!E39</f>
        <v>360.70933165195459</v>
      </c>
    </row>
    <row r="40" spans="1:7" ht="14.1" customHeight="1">
      <c r="A40" s="26" t="s">
        <v>264</v>
      </c>
      <c r="B40" s="27">
        <f>'- 27 -'!B40</f>
        <v>218706</v>
      </c>
      <c r="C40" s="79">
        <f>'- 27 -'!C40</f>
        <v>0.2357118154963625</v>
      </c>
      <c r="D40" s="27">
        <f>'- 27 -'!D40</f>
        <v>27.216795052080094</v>
      </c>
      <c r="E40" s="27">
        <f>SUM('- 38 -'!B40,'- 38 -'!E40,'- 38 -'!H40,B40)</f>
        <v>1824012</v>
      </c>
      <c r="F40" s="79">
        <f>E40/'- 3 -'!D40*100</f>
        <v>1.9658408091554467</v>
      </c>
      <c r="G40" s="27">
        <f>E40/'- 7 -'!E40</f>
        <v>226.98856353522407</v>
      </c>
    </row>
    <row r="41" spans="1:7" ht="14.1" customHeight="1">
      <c r="A41" s="330" t="s">
        <v>265</v>
      </c>
      <c r="B41" s="331">
        <f>'- 27 -'!B41</f>
        <v>145842</v>
      </c>
      <c r="C41" s="337">
        <f>'- 27 -'!C41</f>
        <v>0.25187677488094867</v>
      </c>
      <c r="D41" s="331">
        <f>'- 27 -'!D41</f>
        <v>32.59767545820295</v>
      </c>
      <c r="E41" s="331">
        <f>SUM('- 38 -'!B41,'- 38 -'!E41,'- 38 -'!H41,B41)</f>
        <v>1918186</v>
      </c>
      <c r="F41" s="337">
        <f>E41/'- 3 -'!D41*100</f>
        <v>3.312807718639263</v>
      </c>
      <c r="G41" s="331">
        <f>E41/'- 7 -'!E41</f>
        <v>428.74072418417524</v>
      </c>
    </row>
    <row r="42" spans="1:7" ht="14.1" customHeight="1">
      <c r="A42" s="26" t="s">
        <v>266</v>
      </c>
      <c r="B42" s="27">
        <f>'- 27 -'!B42</f>
        <v>28977</v>
      </c>
      <c r="C42" s="79">
        <f>'- 27 -'!C42</f>
        <v>0.14724983978951156</v>
      </c>
      <c r="D42" s="27">
        <f>'- 27 -'!D42</f>
        <v>20.282074613284802</v>
      </c>
      <c r="E42" s="27">
        <f>SUM('- 38 -'!B42,'- 38 -'!E42,'- 38 -'!H42,B42)</f>
        <v>467277</v>
      </c>
      <c r="F42" s="79">
        <f>E42/'- 3 -'!D42*100</f>
        <v>2.3745199084557957</v>
      </c>
      <c r="G42" s="27">
        <f>E42/'- 7 -'!E42</f>
        <v>327.06446419822214</v>
      </c>
    </row>
    <row r="43" spans="1:7" ht="14.1" customHeight="1">
      <c r="A43" s="330" t="s">
        <v>267</v>
      </c>
      <c r="B43" s="331">
        <f>'- 27 -'!B43</f>
        <v>20677</v>
      </c>
      <c r="C43" s="337">
        <f>'- 27 -'!C43</f>
        <v>0.17755487267348333</v>
      </c>
      <c r="D43" s="331">
        <f>'- 27 -'!D43</f>
        <v>21.196309584828292</v>
      </c>
      <c r="E43" s="331">
        <f>SUM('- 38 -'!B43,'- 38 -'!E43,'- 38 -'!H43,B43)</f>
        <v>252692</v>
      </c>
      <c r="F43" s="337">
        <f>E43/'- 3 -'!D43*100</f>
        <v>2.1698842136483942</v>
      </c>
      <c r="G43" s="331">
        <f>E43/'- 7 -'!E43</f>
        <v>259.03844182470527</v>
      </c>
    </row>
    <row r="44" spans="1:7" ht="14.1" customHeight="1">
      <c r="A44" s="26" t="s">
        <v>268</v>
      </c>
      <c r="B44" s="27">
        <f>'- 27 -'!B44</f>
        <v>0</v>
      </c>
      <c r="C44" s="79">
        <f>'- 27 -'!C44</f>
        <v>0</v>
      </c>
      <c r="D44" s="27">
        <f>'- 27 -'!D44</f>
        <v>0</v>
      </c>
      <c r="E44" s="27">
        <f>SUM('- 38 -'!B44,'- 38 -'!E44,'- 38 -'!H44,B44)</f>
        <v>365989</v>
      </c>
      <c r="F44" s="79">
        <f>E44/'- 3 -'!D44*100</f>
        <v>3.752192048291958</v>
      </c>
      <c r="G44" s="27">
        <f>E44/'- 7 -'!E44</f>
        <v>511.51502445842067</v>
      </c>
    </row>
    <row r="45" spans="1:7" ht="14.1" customHeight="1">
      <c r="A45" s="330" t="s">
        <v>269</v>
      </c>
      <c r="B45" s="331">
        <f>'- 27 -'!B45</f>
        <v>54926</v>
      </c>
      <c r="C45" s="337">
        <f>'- 27 -'!C45</f>
        <v>0.3370787620127958</v>
      </c>
      <c r="D45" s="331">
        <f>'- 27 -'!D45</f>
        <v>34.115527950310558</v>
      </c>
      <c r="E45" s="331">
        <f>SUM('- 38 -'!B45,'- 38 -'!E45,'- 38 -'!H45,B45)</f>
        <v>366074</v>
      </c>
      <c r="F45" s="337">
        <f>E45/'- 3 -'!D45*100</f>
        <v>2.2465821418831191</v>
      </c>
      <c r="G45" s="331">
        <f>E45/'- 7 -'!E45</f>
        <v>227.3751552795031</v>
      </c>
    </row>
    <row r="46" spans="1:7" ht="14.1" customHeight="1">
      <c r="A46" s="26" t="s">
        <v>270</v>
      </c>
      <c r="B46" s="27">
        <f>'- 27 -'!B46</f>
        <v>1270090</v>
      </c>
      <c r="C46" s="79">
        <f>'- 27 -'!C46</f>
        <v>0.36566343608831259</v>
      </c>
      <c r="D46" s="27">
        <f>'- 27 -'!D46</f>
        <v>42.157865038005774</v>
      </c>
      <c r="E46" s="27">
        <f>SUM('- 38 -'!B46,'- 38 -'!E46,'- 38 -'!H46,B46)</f>
        <v>7091599</v>
      </c>
      <c r="F46" s="79">
        <f>E46/'- 3 -'!D46*100</f>
        <v>2.0416966181140244</v>
      </c>
      <c r="G46" s="27">
        <f>E46/'- 7 -'!E46</f>
        <v>235.39014837189231</v>
      </c>
    </row>
    <row r="47" spans="1:7" ht="5.0999999999999996" customHeight="1">
      <c r="A47" s="28"/>
      <c r="B47" s="29"/>
      <c r="C47"/>
      <c r="D47"/>
      <c r="E47"/>
      <c r="F47"/>
      <c r="G47"/>
    </row>
    <row r="48" spans="1:7" ht="14.1" customHeight="1">
      <c r="A48" s="332" t="s">
        <v>271</v>
      </c>
      <c r="B48" s="333">
        <f>SUM(B11:B46)</f>
        <v>6372432</v>
      </c>
      <c r="C48" s="340">
        <f>'- 27 -'!C48</f>
        <v>0.3187927416518066</v>
      </c>
      <c r="D48" s="333">
        <f>'- 27 -'!D48</f>
        <v>36.992849736389076</v>
      </c>
      <c r="E48" s="333">
        <f>SUM('- 38 -'!B48,'- 38 -'!E48,'- 38 -'!H48,B48)</f>
        <v>47210377</v>
      </c>
      <c r="F48" s="340">
        <f>E48/'- 3 -'!D48*100</f>
        <v>2.3617867586888948</v>
      </c>
      <c r="G48" s="333">
        <f>E48/'- 7 -'!E48</f>
        <v>274.06277263677021</v>
      </c>
    </row>
    <row r="49" spans="1:8" ht="5.0999999999999996" customHeight="1">
      <c r="A49" s="28" t="s">
        <v>17</v>
      </c>
      <c r="B49" s="29"/>
      <c r="C49"/>
      <c r="D49"/>
      <c r="E49"/>
      <c r="F49"/>
      <c r="G49"/>
    </row>
    <row r="50" spans="1:8" ht="14.1" customHeight="1">
      <c r="A50" s="26" t="s">
        <v>272</v>
      </c>
      <c r="B50" s="27">
        <f>'- 27 -'!B50</f>
        <v>11606</v>
      </c>
      <c r="C50" s="79">
        <f>'- 27 -'!C50</f>
        <v>0.36594290521334633</v>
      </c>
      <c r="D50" s="27">
        <f>'- 27 -'!D50</f>
        <v>69.497005988023957</v>
      </c>
      <c r="E50" s="27">
        <f>SUM('- 38 -'!B50,'- 38 -'!E50,'- 38 -'!H50,B50)</f>
        <v>73662</v>
      </c>
      <c r="F50" s="79">
        <f>E50/'- 3 -'!D50*100</f>
        <v>2.3225991972967019</v>
      </c>
      <c r="G50" s="27">
        <f>E50/'- 7 -'!E50</f>
        <v>441.08982035928142</v>
      </c>
    </row>
    <row r="51" spans="1:8" ht="14.1" customHeight="1">
      <c r="A51" s="330" t="s">
        <v>273</v>
      </c>
      <c r="B51" s="331">
        <f>'- 27 -'!B51</f>
        <v>767473</v>
      </c>
      <c r="C51" s="337">
        <f>'- 27 -'!C51</f>
        <v>4.2435553608274157</v>
      </c>
      <c r="D51" s="331">
        <f>'- 27 -'!D51</f>
        <v>1061.6879703408588</v>
      </c>
      <c r="E51" s="331">
        <f>SUM('- 38 -'!B51,'- 38 -'!E51,'- 38 -'!H51,B51)</f>
        <v>1072216</v>
      </c>
      <c r="F51" s="337">
        <f>E51/'- 3 -'!D51*100</f>
        <v>5.9285576883680964</v>
      </c>
      <c r="G51" s="331">
        <f>E51/'- 7 -'!E51</f>
        <v>1483.2558654271802</v>
      </c>
    </row>
    <row r="52" spans="1:8" ht="50.1" customHeight="1">
      <c r="A52" s="30"/>
      <c r="B52" s="30"/>
      <c r="C52" s="30"/>
      <c r="D52" s="30"/>
      <c r="E52" s="30"/>
      <c r="F52" s="30"/>
      <c r="G52" s="30"/>
      <c r="H52" s="30"/>
    </row>
    <row r="53" spans="1:8" ht="15" customHeight="1">
      <c r="A53" s="151" t="s">
        <v>637</v>
      </c>
    </row>
    <row r="54" spans="1:8" ht="12" customHeight="1">
      <c r="A54" s="151" t="s">
        <v>638</v>
      </c>
      <c r="B54" s="148"/>
      <c r="C54" s="148"/>
      <c r="D54" s="148"/>
    </row>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37.xml><?xml version="1.0" encoding="utf-8"?>
<worksheet xmlns="http://schemas.openxmlformats.org/spreadsheetml/2006/main" xmlns:r="http://schemas.openxmlformats.org/officeDocument/2006/relationships">
  <sheetPr codeName="Sheet35">
    <pageSetUpPr fitToPage="1"/>
  </sheetPr>
  <dimension ref="A1:L55"/>
  <sheetViews>
    <sheetView showGridLines="0" showZeros="0" workbookViewId="0"/>
  </sheetViews>
  <sheetFormatPr defaultColWidth="14.83203125" defaultRowHeight="12"/>
  <cols>
    <col min="1" max="1" width="31.83203125" style="1" customWidth="1"/>
    <col min="2" max="2" width="15.83203125" style="1" customWidth="1"/>
    <col min="3" max="3" width="13.83203125" style="1" customWidth="1"/>
    <col min="4" max="5" width="14.83203125" style="1" customWidth="1"/>
    <col min="6" max="6" width="12.83203125" style="1" customWidth="1"/>
    <col min="7" max="7" width="16.83203125" style="1" customWidth="1"/>
    <col min="8" max="8" width="11.83203125" style="1" customWidth="1"/>
    <col min="9" max="10" width="14.83203125" style="1"/>
    <col min="11" max="11" width="19.5" style="1" customWidth="1"/>
    <col min="12" max="16384" width="14.83203125" style="1"/>
  </cols>
  <sheetData>
    <row r="1" spans="1:12" ht="6.95" customHeight="1">
      <c r="A1" s="6"/>
      <c r="J1" s="672">
        <v>100.00000000000003</v>
      </c>
    </row>
    <row r="2" spans="1:12" ht="15.95" customHeight="1">
      <c r="A2" s="233" t="str">
        <f>"  SUMMARY"&amp;REPLACE(REVYEAR,1,8,"")</f>
        <v xml:space="preserve">  SUMMARY OF OPERATING FUND REVENUE: 2012/2013 ACTUAL</v>
      </c>
      <c r="B2" s="48"/>
      <c r="C2" s="48"/>
      <c r="D2" s="48"/>
      <c r="E2" s="48"/>
      <c r="F2" s="48"/>
      <c r="G2" s="48"/>
      <c r="H2" s="48"/>
    </row>
    <row r="3" spans="1:12" ht="15.95" customHeight="1">
      <c r="A3" s="234"/>
    </row>
    <row r="4" spans="1:12" ht="15.95" customHeight="1">
      <c r="B4" s="7"/>
      <c r="C4" s="78"/>
      <c r="D4" s="78"/>
      <c r="E4" s="7"/>
      <c r="F4" s="7"/>
      <c r="G4" s="7"/>
      <c r="H4" s="7"/>
    </row>
    <row r="5" spans="1:12" ht="15.95" customHeight="1">
      <c r="B5" s="7"/>
      <c r="C5" s="7"/>
      <c r="D5" s="7"/>
      <c r="E5" s="7"/>
      <c r="F5" s="7"/>
      <c r="G5" s="7"/>
      <c r="H5" s="7"/>
    </row>
    <row r="6" spans="1:12" ht="15.95" customHeight="1">
      <c r="B6" s="235" t="s">
        <v>115</v>
      </c>
      <c r="C6" s="194"/>
      <c r="D6" s="194"/>
      <c r="E6" s="194"/>
      <c r="F6" s="194"/>
      <c r="G6" s="194"/>
      <c r="H6" s="195"/>
    </row>
    <row r="7" spans="1:12" ht="15.95" customHeight="1">
      <c r="B7" s="357" t="s">
        <v>123</v>
      </c>
      <c r="C7" s="360"/>
      <c r="D7" s="360"/>
      <c r="E7" s="351" t="s">
        <v>58</v>
      </c>
      <c r="F7" s="351" t="s">
        <v>17</v>
      </c>
      <c r="G7" s="351" t="s">
        <v>114</v>
      </c>
      <c r="H7" s="351" t="s">
        <v>17</v>
      </c>
    </row>
    <row r="8" spans="1:12" ht="15.95" customHeight="1">
      <c r="A8" s="40"/>
      <c r="B8" s="393"/>
      <c r="C8" s="435"/>
      <c r="D8" s="435"/>
      <c r="E8" s="408" t="s">
        <v>141</v>
      </c>
      <c r="F8" s="408" t="s">
        <v>142</v>
      </c>
      <c r="G8" s="408" t="s">
        <v>143</v>
      </c>
      <c r="H8" s="408" t="s">
        <v>17</v>
      </c>
    </row>
    <row r="9" spans="1:12" ht="15.95" customHeight="1">
      <c r="A9" s="93" t="s">
        <v>94</v>
      </c>
      <c r="B9" s="355" t="s">
        <v>410</v>
      </c>
      <c r="C9" s="355" t="s">
        <v>117</v>
      </c>
      <c r="D9" s="355" t="s">
        <v>118</v>
      </c>
      <c r="E9" s="355" t="s">
        <v>137</v>
      </c>
      <c r="F9" s="355" t="s">
        <v>155</v>
      </c>
      <c r="G9" s="355" t="s">
        <v>156</v>
      </c>
      <c r="H9" s="355" t="s">
        <v>58</v>
      </c>
      <c r="J9" s="673" t="s">
        <v>183</v>
      </c>
    </row>
    <row r="10" spans="1:12" ht="5.0999999999999996" customHeight="1">
      <c r="A10" s="5"/>
      <c r="B10" s="236"/>
      <c r="C10" s="236"/>
      <c r="D10" s="236"/>
      <c r="E10" s="236"/>
      <c r="F10" s="236"/>
      <c r="G10" s="236"/>
      <c r="H10" s="236"/>
    </row>
    <row r="11" spans="1:12" ht="14.1" customHeight="1">
      <c r="A11" s="330" t="s">
        <v>236</v>
      </c>
      <c r="B11" s="337">
        <f>'- 42 -'!I11</f>
        <v>63.773281679230763</v>
      </c>
      <c r="C11" s="337">
        <f>'- 43 -'!C11</f>
        <v>0</v>
      </c>
      <c r="D11" s="337">
        <f>'- 43 -'!E11</f>
        <v>35.051253594458082</v>
      </c>
      <c r="E11" s="337">
        <f>'- 43 -'!G11</f>
        <v>0.22712487736482664</v>
      </c>
      <c r="F11" s="337">
        <f>'- 43 -'!I11</f>
        <v>0.18304855163599798</v>
      </c>
      <c r="G11" s="337">
        <f>'- 44 -'!C11</f>
        <v>0.20704838685552013</v>
      </c>
      <c r="H11" s="337">
        <f>'- 44 -'!E11</f>
        <v>0.55824291045480634</v>
      </c>
      <c r="J11" s="149">
        <f>SUM(B11:H11)</f>
        <v>99.999999999999986</v>
      </c>
      <c r="K11" s="672" t="s">
        <v>134</v>
      </c>
      <c r="L11" s="674">
        <f>B48</f>
        <v>64.935476318182836</v>
      </c>
    </row>
    <row r="12" spans="1:12" ht="14.1" customHeight="1">
      <c r="A12" s="26" t="s">
        <v>237</v>
      </c>
      <c r="B12" s="79">
        <f>'- 42 -'!I12</f>
        <v>67.715572995370835</v>
      </c>
      <c r="C12" s="79">
        <f>'- 43 -'!C12</f>
        <v>1.6527765232550384</v>
      </c>
      <c r="D12" s="79">
        <f>'- 43 -'!E12</f>
        <v>26.33599836151409</v>
      </c>
      <c r="E12" s="79">
        <f>'- 43 -'!G12</f>
        <v>1.6798069267876266</v>
      </c>
      <c r="F12" s="79">
        <f>'- 43 -'!I12</f>
        <v>1.285129711812514</v>
      </c>
      <c r="G12" s="79">
        <f>'- 44 -'!C12</f>
        <v>0.6901211917562653</v>
      </c>
      <c r="H12" s="79">
        <f>'- 44 -'!E12</f>
        <v>0.64059428950363229</v>
      </c>
      <c r="J12" s="149">
        <f t="shared" ref="J12:J46" si="0">SUM(B12:H12)</f>
        <v>100</v>
      </c>
      <c r="K12" s="672" t="s">
        <v>117</v>
      </c>
      <c r="L12" s="674">
        <f>C48</f>
        <v>0.86326223846966954</v>
      </c>
    </row>
    <row r="13" spans="1:12" ht="14.1" customHeight="1">
      <c r="A13" s="330" t="s">
        <v>238</v>
      </c>
      <c r="B13" s="337">
        <f>'- 42 -'!I13</f>
        <v>62.682759695643377</v>
      </c>
      <c r="C13" s="337">
        <f>'- 43 -'!C13</f>
        <v>0.16191198368847787</v>
      </c>
      <c r="D13" s="337">
        <f>'- 43 -'!E13</f>
        <v>35.38450851735125</v>
      </c>
      <c r="E13" s="337">
        <f>'- 43 -'!G13</f>
        <v>0.44169350102995975</v>
      </c>
      <c r="F13" s="337">
        <f>'- 43 -'!I13</f>
        <v>0.28500004819702074</v>
      </c>
      <c r="G13" s="337">
        <f>'- 44 -'!C13</f>
        <v>0.97673044088946726</v>
      </c>
      <c r="H13" s="337">
        <f>'- 44 -'!E13</f>
        <v>6.7395813200450086E-2</v>
      </c>
      <c r="J13" s="149">
        <f t="shared" si="0"/>
        <v>100</v>
      </c>
      <c r="K13" s="672" t="s">
        <v>118</v>
      </c>
      <c r="L13" s="674">
        <f>D48</f>
        <v>29.137771045621868</v>
      </c>
    </row>
    <row r="14" spans="1:12" ht="14.1" customHeight="1">
      <c r="A14" s="26" t="s">
        <v>656</v>
      </c>
      <c r="B14" s="79">
        <f>'- 42 -'!I14</f>
        <v>75.665450792865158</v>
      </c>
      <c r="C14" s="79">
        <f>'- 43 -'!C14</f>
        <v>7.3943728622015148E-2</v>
      </c>
      <c r="D14" s="79">
        <f>'- 43 -'!E14</f>
        <v>22.317241408319774</v>
      </c>
      <c r="E14" s="79">
        <f>'- 43 -'!G14</f>
        <v>1.6804366769979719</v>
      </c>
      <c r="F14" s="79">
        <f>'- 43 -'!I14</f>
        <v>0</v>
      </c>
      <c r="G14" s="79">
        <f>'- 44 -'!C14</f>
        <v>0.13694809833645188</v>
      </c>
      <c r="H14" s="79">
        <f>'- 44 -'!E14</f>
        <v>0.12597929485862752</v>
      </c>
      <c r="J14" s="149">
        <f t="shared" si="0"/>
        <v>99.999999999999986</v>
      </c>
      <c r="K14" s="672" t="s">
        <v>162</v>
      </c>
      <c r="L14" s="674">
        <f>E48</f>
        <v>0.58791994009219295</v>
      </c>
    </row>
    <row r="15" spans="1:12" ht="14.1" customHeight="1">
      <c r="A15" s="330" t="s">
        <v>239</v>
      </c>
      <c r="B15" s="337">
        <f>'- 42 -'!I15</f>
        <v>65.097642758505998</v>
      </c>
      <c r="C15" s="337">
        <f>'- 43 -'!C15</f>
        <v>0</v>
      </c>
      <c r="D15" s="337">
        <f>'- 43 -'!E15</f>
        <v>32.421300145038067</v>
      </c>
      <c r="E15" s="337">
        <f>'- 43 -'!G15</f>
        <v>0.31592617707311582</v>
      </c>
      <c r="F15" s="337">
        <f>'- 43 -'!I15</f>
        <v>1.3465106382022389</v>
      </c>
      <c r="G15" s="337">
        <f>'- 44 -'!C15</f>
        <v>0.76048451173615206</v>
      </c>
      <c r="H15" s="337">
        <f>'- 44 -'!E15</f>
        <v>5.8135769444427984E-2</v>
      </c>
      <c r="J15" s="149">
        <f t="shared" si="0"/>
        <v>99.999999999999986</v>
      </c>
      <c r="K15" s="672" t="s">
        <v>138</v>
      </c>
      <c r="L15" s="674">
        <f>F48</f>
        <v>3.0223436554095326</v>
      </c>
    </row>
    <row r="16" spans="1:12" ht="14.1" customHeight="1">
      <c r="A16" s="26" t="s">
        <v>240</v>
      </c>
      <c r="B16" s="79">
        <f>'- 42 -'!I16</f>
        <v>74.433268210741915</v>
      </c>
      <c r="C16" s="79">
        <f>'- 43 -'!C16</f>
        <v>0.38475637528390627</v>
      </c>
      <c r="D16" s="79">
        <f>'- 43 -'!E16</f>
        <v>22.127446038341922</v>
      </c>
      <c r="E16" s="79">
        <f>'- 43 -'!G16</f>
        <v>1.4253224441978658</v>
      </c>
      <c r="F16" s="79">
        <f>'- 43 -'!I16</f>
        <v>0</v>
      </c>
      <c r="G16" s="79">
        <f>'- 44 -'!C16</f>
        <v>1.4106138301238647</v>
      </c>
      <c r="H16" s="79">
        <f>'- 44 -'!E16</f>
        <v>0.21859310131051773</v>
      </c>
      <c r="J16" s="149">
        <f t="shared" si="0"/>
        <v>99.999999999999986</v>
      </c>
      <c r="K16" s="672" t="s">
        <v>114</v>
      </c>
      <c r="L16" s="674">
        <f>G48</f>
        <v>1.073502167463392</v>
      </c>
    </row>
    <row r="17" spans="1:12" ht="14.1" customHeight="1">
      <c r="A17" s="330" t="s">
        <v>241</v>
      </c>
      <c r="B17" s="337">
        <f>'- 42 -'!I17</f>
        <v>57.931071298150151</v>
      </c>
      <c r="C17" s="337">
        <f>'- 43 -'!C17</f>
        <v>0</v>
      </c>
      <c r="D17" s="337">
        <f>'- 43 -'!E17</f>
        <v>36.17151275761217</v>
      </c>
      <c r="E17" s="337">
        <f>'- 43 -'!G17</f>
        <v>7.5004793275070231E-2</v>
      </c>
      <c r="F17" s="337">
        <f>'- 43 -'!I17</f>
        <v>5.5817102217938608</v>
      </c>
      <c r="G17" s="337">
        <f>'- 44 -'!C17</f>
        <v>0</v>
      </c>
      <c r="H17" s="337">
        <f>'- 44 -'!E17</f>
        <v>0.24070092916875468</v>
      </c>
      <c r="J17" s="149">
        <f t="shared" si="0"/>
        <v>100</v>
      </c>
      <c r="K17" s="675" t="s">
        <v>58</v>
      </c>
      <c r="L17" s="674">
        <f>H48</f>
        <v>0.37972463476050289</v>
      </c>
    </row>
    <row r="18" spans="1:12" ht="14.1" customHeight="1">
      <c r="A18" s="26" t="s">
        <v>242</v>
      </c>
      <c r="B18" s="79">
        <f>'- 42 -'!I18</f>
        <v>40.534174638330519</v>
      </c>
      <c r="C18" s="79">
        <f>'- 43 -'!C18</f>
        <v>13.500377134920022</v>
      </c>
      <c r="D18" s="79">
        <f>'- 43 -'!E18</f>
        <v>2.3872638317882875</v>
      </c>
      <c r="E18" s="79">
        <f>'- 43 -'!G18</f>
        <v>1.322611083540228E-2</v>
      </c>
      <c r="F18" s="79">
        <f>'- 43 -'!I18</f>
        <v>38.738892027499631</v>
      </c>
      <c r="G18" s="79">
        <f>'- 44 -'!C18</f>
        <v>3.7865982277604959</v>
      </c>
      <c r="H18" s="79">
        <f>'- 44 -'!E18</f>
        <v>1.0394680288656477</v>
      </c>
      <c r="J18" s="149">
        <f t="shared" si="0"/>
        <v>100</v>
      </c>
      <c r="K18" s="672"/>
      <c r="L18" s="672"/>
    </row>
    <row r="19" spans="1:12" ht="14.1" customHeight="1">
      <c r="A19" s="330" t="s">
        <v>243</v>
      </c>
      <c r="B19" s="337">
        <f>'- 42 -'!I19</f>
        <v>69.543625929374613</v>
      </c>
      <c r="C19" s="337">
        <f>'- 43 -'!C19</f>
        <v>0</v>
      </c>
      <c r="D19" s="337">
        <f>'- 43 -'!E19</f>
        <v>28.755618479900097</v>
      </c>
      <c r="E19" s="337">
        <f>'- 43 -'!G19</f>
        <v>0.62572503243221012</v>
      </c>
      <c r="F19" s="337">
        <f>'- 43 -'!I19</f>
        <v>0</v>
      </c>
      <c r="G19" s="337">
        <f>'- 44 -'!C19</f>
        <v>4.2256169238646833E-3</v>
      </c>
      <c r="H19" s="337">
        <f>'- 44 -'!E19</f>
        <v>1.0708049413692051</v>
      </c>
      <c r="J19" s="149">
        <f t="shared" si="0"/>
        <v>99.999999999999986</v>
      </c>
      <c r="K19" s="672"/>
      <c r="L19" s="674">
        <f>SUM(L11:L17)</f>
        <v>100</v>
      </c>
    </row>
    <row r="20" spans="1:12" ht="14.1" customHeight="1">
      <c r="A20" s="26" t="s">
        <v>244</v>
      </c>
      <c r="B20" s="79">
        <f>'- 42 -'!I20</f>
        <v>71.934462476158757</v>
      </c>
      <c r="C20" s="79">
        <f>'- 43 -'!C20</f>
        <v>0</v>
      </c>
      <c r="D20" s="79">
        <f>'- 43 -'!E20</f>
        <v>27.288238990050296</v>
      </c>
      <c r="E20" s="79">
        <f>'- 43 -'!G20</f>
        <v>0.15026727540518256</v>
      </c>
      <c r="F20" s="79">
        <f>'- 43 -'!I20</f>
        <v>0</v>
      </c>
      <c r="G20" s="79">
        <f>'- 44 -'!C20</f>
        <v>0.50890443635115434</v>
      </c>
      <c r="H20" s="79">
        <f>'- 44 -'!E20</f>
        <v>0.11812682203461233</v>
      </c>
      <c r="J20" s="149">
        <f t="shared" si="0"/>
        <v>100.00000000000001</v>
      </c>
      <c r="K20" s="672"/>
      <c r="L20" s="672"/>
    </row>
    <row r="21" spans="1:12" ht="14.1" customHeight="1">
      <c r="A21" s="330" t="s">
        <v>245</v>
      </c>
      <c r="B21" s="337">
        <f>'- 42 -'!I21</f>
        <v>68.157545316962626</v>
      </c>
      <c r="C21" s="337">
        <f>'- 43 -'!C21</f>
        <v>2.1069953752098941E-2</v>
      </c>
      <c r="D21" s="337">
        <f>'- 43 -'!E21</f>
        <v>30.349327607396994</v>
      </c>
      <c r="E21" s="337">
        <f>'- 43 -'!G21</f>
        <v>0.21822473609559215</v>
      </c>
      <c r="F21" s="337">
        <f>'- 43 -'!I21</f>
        <v>0</v>
      </c>
      <c r="G21" s="337">
        <f>'- 44 -'!C21</f>
        <v>0.93696401027859622</v>
      </c>
      <c r="H21" s="337">
        <f>'- 44 -'!E21</f>
        <v>0.31686837551409391</v>
      </c>
      <c r="J21" s="149">
        <f t="shared" si="0"/>
        <v>100.00000000000001</v>
      </c>
    </row>
    <row r="22" spans="1:12" ht="14.1" customHeight="1">
      <c r="A22" s="26" t="s">
        <v>246</v>
      </c>
      <c r="B22" s="79">
        <f>'- 42 -'!I22</f>
        <v>83.004174753485941</v>
      </c>
      <c r="C22" s="79">
        <f>'- 43 -'!C22</f>
        <v>0.11912124207246821</v>
      </c>
      <c r="D22" s="79">
        <f>'- 43 -'!E22</f>
        <v>15.821148113620676</v>
      </c>
      <c r="E22" s="79">
        <f>'- 43 -'!G22</f>
        <v>0.12994710649517754</v>
      </c>
      <c r="F22" s="79">
        <f>'- 43 -'!I22</f>
        <v>7.8583286345163511E-2</v>
      </c>
      <c r="G22" s="79">
        <f>'- 44 -'!C22</f>
        <v>0.28847281582412876</v>
      </c>
      <c r="H22" s="79">
        <f>'- 44 -'!E22</f>
        <v>0.55855268215645126</v>
      </c>
      <c r="J22" s="149">
        <f t="shared" si="0"/>
        <v>100.00000000000001</v>
      </c>
    </row>
    <row r="23" spans="1:12" ht="14.1" customHeight="1">
      <c r="A23" s="330" t="s">
        <v>247</v>
      </c>
      <c r="B23" s="337">
        <f>'- 42 -'!I23</f>
        <v>72.726158185541038</v>
      </c>
      <c r="C23" s="337">
        <f>'- 43 -'!C23</f>
        <v>0</v>
      </c>
      <c r="D23" s="337">
        <f>'- 43 -'!E23</f>
        <v>18.260363596069976</v>
      </c>
      <c r="E23" s="337">
        <f>'- 43 -'!G23</f>
        <v>0.47080738412654127</v>
      </c>
      <c r="F23" s="337">
        <f>'- 43 -'!I23</f>
        <v>6.1557098403984183</v>
      </c>
      <c r="G23" s="337">
        <f>'- 44 -'!C23</f>
        <v>0.96800643582338819</v>
      </c>
      <c r="H23" s="337">
        <f>'- 44 -'!E23</f>
        <v>1.4189545580406426</v>
      </c>
      <c r="J23" s="149">
        <f t="shared" si="0"/>
        <v>100</v>
      </c>
    </row>
    <row r="24" spans="1:12" ht="14.1" customHeight="1">
      <c r="A24" s="26" t="s">
        <v>248</v>
      </c>
      <c r="B24" s="79">
        <f>'- 42 -'!I24</f>
        <v>64.366170074875967</v>
      </c>
      <c r="C24" s="79">
        <f>'- 43 -'!C24</f>
        <v>3.2389858526119704E-2</v>
      </c>
      <c r="D24" s="79">
        <f>'- 43 -'!E24</f>
        <v>32.767215046923859</v>
      </c>
      <c r="E24" s="79">
        <f>'- 43 -'!G24</f>
        <v>0.37048686841942879</v>
      </c>
      <c r="F24" s="79">
        <f>'- 43 -'!I24</f>
        <v>0.99750934142227599</v>
      </c>
      <c r="G24" s="79">
        <f>'- 44 -'!C24</f>
        <v>1.0801261508977633</v>
      </c>
      <c r="H24" s="79">
        <f>'- 44 -'!E24</f>
        <v>0.38610265893458018</v>
      </c>
      <c r="J24" s="149">
        <f t="shared" si="0"/>
        <v>100</v>
      </c>
    </row>
    <row r="25" spans="1:12" ht="14.1" customHeight="1">
      <c r="A25" s="330" t="s">
        <v>249</v>
      </c>
      <c r="B25" s="337">
        <f>'- 42 -'!I25</f>
        <v>66.800796567422722</v>
      </c>
      <c r="C25" s="337">
        <f>'- 43 -'!C25</f>
        <v>3.6306764157018279E-2</v>
      </c>
      <c r="D25" s="337">
        <f>'- 43 -'!E25</f>
        <v>30.853687903501797</v>
      </c>
      <c r="E25" s="337">
        <f>'- 43 -'!G25</f>
        <v>0.32966528885555219</v>
      </c>
      <c r="F25" s="337">
        <f>'- 43 -'!I25</f>
        <v>0</v>
      </c>
      <c r="G25" s="337">
        <f>'- 44 -'!C25</f>
        <v>1.7785911455538241</v>
      </c>
      <c r="H25" s="337">
        <f>'- 44 -'!E25</f>
        <v>0.20095233050907907</v>
      </c>
      <c r="J25" s="149">
        <f t="shared" si="0"/>
        <v>99.999999999999986</v>
      </c>
    </row>
    <row r="26" spans="1:12" ht="14.1" customHeight="1">
      <c r="A26" s="26" t="s">
        <v>250</v>
      </c>
      <c r="B26" s="79">
        <f>'- 42 -'!I26</f>
        <v>69.182105764058264</v>
      </c>
      <c r="C26" s="79">
        <f>'- 43 -'!C26</f>
        <v>1.4762741193876354</v>
      </c>
      <c r="D26" s="79">
        <f>'- 43 -'!E26</f>
        <v>25.469952044984968</v>
      </c>
      <c r="E26" s="79">
        <f>'- 43 -'!G26</f>
        <v>1.1337774383915753</v>
      </c>
      <c r="F26" s="79">
        <f>'- 43 -'!I26</f>
        <v>0.76820221189610705</v>
      </c>
      <c r="G26" s="79">
        <f>'- 44 -'!C26</f>
        <v>1.6179081852147441</v>
      </c>
      <c r="H26" s="79">
        <f>'- 44 -'!E26</f>
        <v>0.35178023606670722</v>
      </c>
      <c r="J26" s="149">
        <f t="shared" si="0"/>
        <v>100</v>
      </c>
    </row>
    <row r="27" spans="1:12" ht="14.1" customHeight="1">
      <c r="A27" s="330" t="s">
        <v>251</v>
      </c>
      <c r="B27" s="337">
        <f>'- 42 -'!I27</f>
        <v>77.821210145040766</v>
      </c>
      <c r="C27" s="337">
        <f>'- 43 -'!C27</f>
        <v>0.25607975473744715</v>
      </c>
      <c r="D27" s="337">
        <f>'- 43 -'!E27</f>
        <v>19.269856344926779</v>
      </c>
      <c r="E27" s="337">
        <f>'- 43 -'!G27</f>
        <v>0.48142870535681243</v>
      </c>
      <c r="F27" s="337">
        <f>'- 43 -'!I27</f>
        <v>0.76788461870571045</v>
      </c>
      <c r="G27" s="337">
        <f>'- 44 -'!C27</f>
        <v>0.95473140280081548</v>
      </c>
      <c r="H27" s="337">
        <f>'- 44 -'!E27</f>
        <v>0.44880902843167325</v>
      </c>
      <c r="J27" s="149">
        <f t="shared" si="0"/>
        <v>100</v>
      </c>
    </row>
    <row r="28" spans="1:12" ht="14.1" customHeight="1">
      <c r="A28" s="26" t="s">
        <v>252</v>
      </c>
      <c r="B28" s="79">
        <f>'- 42 -'!I28</f>
        <v>51.440326132469529</v>
      </c>
      <c r="C28" s="79">
        <f>'- 43 -'!C28</f>
        <v>2.8769221500018951E-2</v>
      </c>
      <c r="D28" s="79">
        <f>'- 43 -'!E28</f>
        <v>23.968938480861652</v>
      </c>
      <c r="E28" s="79">
        <f>'- 43 -'!G28</f>
        <v>7.0057996281473023E-2</v>
      </c>
      <c r="F28" s="79">
        <f>'- 43 -'!I28</f>
        <v>24.317664464838519</v>
      </c>
      <c r="G28" s="79">
        <f>'- 44 -'!C28</f>
        <v>8.1040060563433672E-2</v>
      </c>
      <c r="H28" s="79">
        <f>'- 44 -'!E28</f>
        <v>9.3203643485384555E-2</v>
      </c>
      <c r="J28" s="149">
        <f t="shared" si="0"/>
        <v>100.00000000000001</v>
      </c>
    </row>
    <row r="29" spans="1:12" ht="14.1" customHeight="1">
      <c r="A29" s="330" t="s">
        <v>253</v>
      </c>
      <c r="B29" s="337">
        <f>'- 42 -'!I29</f>
        <v>58.17494481774974</v>
      </c>
      <c r="C29" s="337">
        <f>'- 43 -'!C29</f>
        <v>1.0573814557960477E-2</v>
      </c>
      <c r="D29" s="337">
        <f>'- 43 -'!E29</f>
        <v>38.956049585338455</v>
      </c>
      <c r="E29" s="337">
        <f>'- 43 -'!G29</f>
        <v>0.53214067398337284</v>
      </c>
      <c r="F29" s="337">
        <f>'- 43 -'!I29</f>
        <v>5.3327690931816003E-2</v>
      </c>
      <c r="G29" s="337">
        <f>'- 44 -'!C29</f>
        <v>1.8714243916549447</v>
      </c>
      <c r="H29" s="337">
        <f>'- 44 -'!E29</f>
        <v>0.40153902578371808</v>
      </c>
      <c r="J29" s="149">
        <f t="shared" si="0"/>
        <v>100</v>
      </c>
    </row>
    <row r="30" spans="1:12" ht="14.1" customHeight="1">
      <c r="A30" s="26" t="s">
        <v>254</v>
      </c>
      <c r="B30" s="79">
        <f>'- 42 -'!I30</f>
        <v>67.084040186492672</v>
      </c>
      <c r="C30" s="79">
        <f>'- 43 -'!C30</f>
        <v>0</v>
      </c>
      <c r="D30" s="79">
        <f>'- 43 -'!E30</f>
        <v>31.986565646117519</v>
      </c>
      <c r="E30" s="79">
        <f>'- 43 -'!G30</f>
        <v>0.22059573242431169</v>
      </c>
      <c r="F30" s="79">
        <f>'- 43 -'!I30</f>
        <v>0.21414017169283101</v>
      </c>
      <c r="G30" s="79">
        <f>'- 44 -'!C30</f>
        <v>8.332468903010623E-2</v>
      </c>
      <c r="H30" s="79">
        <f>'- 44 -'!E30</f>
        <v>0.4113335742425635</v>
      </c>
      <c r="J30" s="149">
        <f t="shared" si="0"/>
        <v>100.00000000000001</v>
      </c>
    </row>
    <row r="31" spans="1:12" ht="14.1" customHeight="1">
      <c r="A31" s="330" t="s">
        <v>255</v>
      </c>
      <c r="B31" s="337">
        <f>'- 42 -'!I31</f>
        <v>64.703312141454234</v>
      </c>
      <c r="C31" s="337">
        <f>'- 43 -'!C31</f>
        <v>0</v>
      </c>
      <c r="D31" s="337">
        <f>'- 43 -'!E31</f>
        <v>31.366546090197833</v>
      </c>
      <c r="E31" s="337">
        <f>'- 43 -'!G31</f>
        <v>0.59759916108777456</v>
      </c>
      <c r="F31" s="337">
        <f>'- 43 -'!I31</f>
        <v>2.7885268719213809</v>
      </c>
      <c r="G31" s="337">
        <f>'- 44 -'!C31</f>
        <v>0.16918395477987608</v>
      </c>
      <c r="H31" s="337">
        <f>'- 44 -'!E31</f>
        <v>0.3748317805588931</v>
      </c>
      <c r="J31" s="149">
        <f t="shared" si="0"/>
        <v>99.999999999999986</v>
      </c>
    </row>
    <row r="32" spans="1:12" ht="14.1" customHeight="1">
      <c r="A32" s="26" t="s">
        <v>256</v>
      </c>
      <c r="B32" s="79">
        <f>'- 42 -'!I32</f>
        <v>64.900498189006541</v>
      </c>
      <c r="C32" s="79">
        <f>'- 43 -'!C32</f>
        <v>1.7657092725439177E-2</v>
      </c>
      <c r="D32" s="79">
        <f>'- 43 -'!E32</f>
        <v>34.39663065199661</v>
      </c>
      <c r="E32" s="79">
        <f>'- 43 -'!G32</f>
        <v>0.2200248513936803</v>
      </c>
      <c r="F32" s="79">
        <f>'- 43 -'!I32</f>
        <v>0</v>
      </c>
      <c r="G32" s="79">
        <f>'- 44 -'!C32</f>
        <v>7.1203033304323385E-2</v>
      </c>
      <c r="H32" s="79">
        <f>'- 44 -'!E32</f>
        <v>0.39398618157340282</v>
      </c>
      <c r="J32" s="149">
        <f t="shared" si="0"/>
        <v>99.999999999999986</v>
      </c>
    </row>
    <row r="33" spans="1:10" ht="14.1" customHeight="1">
      <c r="A33" s="330" t="s">
        <v>257</v>
      </c>
      <c r="B33" s="337">
        <f>'- 42 -'!I33</f>
        <v>64.587992191829485</v>
      </c>
      <c r="C33" s="337">
        <f>'- 43 -'!C33</f>
        <v>9.50766974831911E-2</v>
      </c>
      <c r="D33" s="337">
        <f>'- 43 -'!E33</f>
        <v>33.329711862387299</v>
      </c>
      <c r="E33" s="337">
        <f>'- 43 -'!G33</f>
        <v>0.10935446507739924</v>
      </c>
      <c r="F33" s="337">
        <f>'- 43 -'!I33</f>
        <v>1.3076102221039656</v>
      </c>
      <c r="G33" s="337">
        <f>'- 44 -'!C33</f>
        <v>0.18938324044310206</v>
      </c>
      <c r="H33" s="337">
        <f>'- 44 -'!E33</f>
        <v>0.38087132067555712</v>
      </c>
      <c r="J33" s="149">
        <f t="shared" si="0"/>
        <v>100</v>
      </c>
    </row>
    <row r="34" spans="1:10" ht="14.1" customHeight="1">
      <c r="A34" s="26" t="s">
        <v>258</v>
      </c>
      <c r="B34" s="79">
        <f>'- 42 -'!I34</f>
        <v>61.706107687678077</v>
      </c>
      <c r="C34" s="79">
        <f>'- 43 -'!C34</f>
        <v>8.4446674595563348E-2</v>
      </c>
      <c r="D34" s="79">
        <f>'- 43 -'!E34</f>
        <v>33.981107170760851</v>
      </c>
      <c r="E34" s="79">
        <f>'- 43 -'!G34</f>
        <v>3.0964009976441926</v>
      </c>
      <c r="F34" s="79">
        <f>'- 43 -'!I34</f>
        <v>0</v>
      </c>
      <c r="G34" s="79">
        <f>'- 44 -'!C34</f>
        <v>0.74020929422447468</v>
      </c>
      <c r="H34" s="79">
        <f>'- 44 -'!E34</f>
        <v>0.3917281750968416</v>
      </c>
      <c r="J34" s="149">
        <f t="shared" si="0"/>
        <v>100</v>
      </c>
    </row>
    <row r="35" spans="1:10" ht="14.1" customHeight="1">
      <c r="A35" s="330" t="s">
        <v>259</v>
      </c>
      <c r="B35" s="337">
        <f>'- 42 -'!I35</f>
        <v>69.736913455040252</v>
      </c>
      <c r="C35" s="337">
        <f>'- 43 -'!C35</f>
        <v>6.3681096938158793E-2</v>
      </c>
      <c r="D35" s="337">
        <f>'- 43 -'!E35</f>
        <v>27.657452362723944</v>
      </c>
      <c r="E35" s="337">
        <f>'- 43 -'!G35</f>
        <v>0.5407151339695011</v>
      </c>
      <c r="F35" s="337">
        <f>'- 43 -'!I35</f>
        <v>4.8935618936997688E-2</v>
      </c>
      <c r="G35" s="337">
        <f>'- 44 -'!C35</f>
        <v>1.775877953934704</v>
      </c>
      <c r="H35" s="337">
        <f>'- 44 -'!E35</f>
        <v>0.17642437845644676</v>
      </c>
      <c r="J35" s="149">
        <f t="shared" si="0"/>
        <v>100</v>
      </c>
    </row>
    <row r="36" spans="1:10" ht="14.1" customHeight="1">
      <c r="A36" s="26" t="s">
        <v>260</v>
      </c>
      <c r="B36" s="79">
        <f>'- 42 -'!I36</f>
        <v>61.69825201493687</v>
      </c>
      <c r="C36" s="79">
        <f>'- 43 -'!C36</f>
        <v>0.12962839219270797</v>
      </c>
      <c r="D36" s="79">
        <f>'- 43 -'!E36</f>
        <v>32.583991947677134</v>
      </c>
      <c r="E36" s="79">
        <f>'- 43 -'!G36</f>
        <v>0.29522036780841765</v>
      </c>
      <c r="F36" s="79">
        <f>'- 43 -'!I36</f>
        <v>4.6654259299132228</v>
      </c>
      <c r="G36" s="79">
        <f>'- 44 -'!C36</f>
        <v>0.27635174630306558</v>
      </c>
      <c r="H36" s="79">
        <f>'- 44 -'!E36</f>
        <v>0.35112960116858044</v>
      </c>
      <c r="J36" s="149">
        <f t="shared" si="0"/>
        <v>100</v>
      </c>
    </row>
    <row r="37" spans="1:10" ht="14.1" customHeight="1">
      <c r="A37" s="330" t="s">
        <v>261</v>
      </c>
      <c r="B37" s="337">
        <f>'- 42 -'!I37</f>
        <v>73.719639819444623</v>
      </c>
      <c r="C37" s="337">
        <f>'- 43 -'!C37</f>
        <v>5.3955761772845105E-2</v>
      </c>
      <c r="D37" s="337">
        <f>'- 43 -'!E37</f>
        <v>25.255765051884225</v>
      </c>
      <c r="E37" s="337">
        <f>'- 43 -'!G37</f>
        <v>0.65002328896186889</v>
      </c>
      <c r="F37" s="337">
        <f>'- 43 -'!I37</f>
        <v>7.3676214443710031E-2</v>
      </c>
      <c r="G37" s="337">
        <f>'- 44 -'!C37</f>
        <v>9.2700965934870108E-2</v>
      </c>
      <c r="H37" s="337">
        <f>'- 44 -'!E37</f>
        <v>0.15423889755785533</v>
      </c>
      <c r="J37" s="149">
        <f t="shared" si="0"/>
        <v>100</v>
      </c>
    </row>
    <row r="38" spans="1:10" ht="14.1" customHeight="1">
      <c r="A38" s="26" t="s">
        <v>262</v>
      </c>
      <c r="B38" s="79">
        <f>'- 42 -'!I38</f>
        <v>71.484625909965345</v>
      </c>
      <c r="C38" s="79">
        <f>'- 43 -'!C38</f>
        <v>0.13570427789919276</v>
      </c>
      <c r="D38" s="79">
        <f>'- 43 -'!E38</f>
        <v>26.05172690824709</v>
      </c>
      <c r="E38" s="79">
        <f>'- 43 -'!G38</f>
        <v>0.96009489965803962</v>
      </c>
      <c r="F38" s="79">
        <f>'- 43 -'!I38</f>
        <v>0.33077754180994978</v>
      </c>
      <c r="G38" s="79">
        <f>'- 44 -'!C38</f>
        <v>0.90614640849037564</v>
      </c>
      <c r="H38" s="79">
        <f>'- 44 -'!E38</f>
        <v>0.13092405392999834</v>
      </c>
      <c r="J38" s="149">
        <f t="shared" si="0"/>
        <v>100</v>
      </c>
    </row>
    <row r="39" spans="1:10" ht="14.1" customHeight="1">
      <c r="A39" s="330" t="s">
        <v>263</v>
      </c>
      <c r="B39" s="337">
        <f>'- 42 -'!I39</f>
        <v>58.392448080017637</v>
      </c>
      <c r="C39" s="337">
        <f>'- 43 -'!C39</f>
        <v>0</v>
      </c>
      <c r="D39" s="337">
        <f>'- 43 -'!E39</f>
        <v>40.492764831338171</v>
      </c>
      <c r="E39" s="337">
        <f>'- 43 -'!G39</f>
        <v>0.5744403361318503</v>
      </c>
      <c r="F39" s="337">
        <f>'- 43 -'!I39</f>
        <v>0</v>
      </c>
      <c r="G39" s="337">
        <f>'- 44 -'!C39</f>
        <v>1.3215317802252956E-2</v>
      </c>
      <c r="H39" s="337">
        <f>'- 44 -'!E39</f>
        <v>0.52713143471008539</v>
      </c>
      <c r="J39" s="149">
        <f t="shared" si="0"/>
        <v>99.999999999999986</v>
      </c>
    </row>
    <row r="40" spans="1:10" ht="14.1" customHeight="1">
      <c r="A40" s="26" t="s">
        <v>264</v>
      </c>
      <c r="B40" s="79">
        <f>'- 42 -'!I40</f>
        <v>59.38297828783449</v>
      </c>
      <c r="C40" s="79">
        <f>'- 43 -'!C40</f>
        <v>1.2837706329387022E-3</v>
      </c>
      <c r="D40" s="79">
        <f>'- 43 -'!E40</f>
        <v>35.823117844504239</v>
      </c>
      <c r="E40" s="79">
        <f>'- 43 -'!G40</f>
        <v>0.79954398306727303</v>
      </c>
      <c r="F40" s="79">
        <f>'- 43 -'!I40</f>
        <v>0.1515991861185009</v>
      </c>
      <c r="G40" s="79">
        <f>'- 44 -'!C40</f>
        <v>2.6291165556857687</v>
      </c>
      <c r="H40" s="79">
        <f>'- 44 -'!E40</f>
        <v>1.2123603721567973</v>
      </c>
      <c r="J40" s="149">
        <f t="shared" si="0"/>
        <v>100</v>
      </c>
    </row>
    <row r="41" spans="1:10" ht="14.1" customHeight="1">
      <c r="A41" s="330" t="s">
        <v>265</v>
      </c>
      <c r="B41" s="337">
        <f>'- 42 -'!I41</f>
        <v>62.913335173836501</v>
      </c>
      <c r="C41" s="337">
        <f>'- 43 -'!C41</f>
        <v>0</v>
      </c>
      <c r="D41" s="337">
        <f>'- 43 -'!E41</f>
        <v>35.057564614893842</v>
      </c>
      <c r="E41" s="337">
        <f>'- 43 -'!G41</f>
        <v>0.59092838908239387</v>
      </c>
      <c r="F41" s="337">
        <f>'- 43 -'!I41</f>
        <v>0.73948153022170604</v>
      </c>
      <c r="G41" s="337">
        <f>'- 44 -'!C41</f>
        <v>0.17503295964607563</v>
      </c>
      <c r="H41" s="337">
        <f>'- 44 -'!E41</f>
        <v>0.52365733231947353</v>
      </c>
      <c r="J41" s="149">
        <f t="shared" si="0"/>
        <v>100</v>
      </c>
    </row>
    <row r="42" spans="1:10" ht="14.1" customHeight="1">
      <c r="A42" s="26" t="s">
        <v>266</v>
      </c>
      <c r="B42" s="79">
        <f>'- 42 -'!I42</f>
        <v>73.104635727639831</v>
      </c>
      <c r="C42" s="79">
        <f>'- 43 -'!C42</f>
        <v>0</v>
      </c>
      <c r="D42" s="79">
        <f>'- 43 -'!E42</f>
        <v>23.262252642224169</v>
      </c>
      <c r="E42" s="79">
        <f>'- 43 -'!G42</f>
        <v>0.16996198707995683</v>
      </c>
      <c r="F42" s="79">
        <f>'- 43 -'!I42</f>
        <v>1.7361210898694093</v>
      </c>
      <c r="G42" s="79">
        <f>'- 44 -'!C42</f>
        <v>1.1152120031969999</v>
      </c>
      <c r="H42" s="79">
        <f>'- 44 -'!E42</f>
        <v>0.61181654998963075</v>
      </c>
      <c r="J42" s="149">
        <f t="shared" si="0"/>
        <v>100</v>
      </c>
    </row>
    <row r="43" spans="1:10" ht="14.1" customHeight="1">
      <c r="A43" s="330" t="s">
        <v>267</v>
      </c>
      <c r="B43" s="337">
        <f>'- 42 -'!I43</f>
        <v>63.457994912674842</v>
      </c>
      <c r="C43" s="337">
        <f>'- 43 -'!C43</f>
        <v>1.1386578293617279E-3</v>
      </c>
      <c r="D43" s="337">
        <f>'- 43 -'!E43</f>
        <v>35.508805125478446</v>
      </c>
      <c r="E43" s="337">
        <f>'- 43 -'!G43</f>
        <v>0.27888865675671304</v>
      </c>
      <c r="F43" s="337">
        <f>'- 43 -'!I43</f>
        <v>8.1191253919705816E-2</v>
      </c>
      <c r="G43" s="337">
        <f>'- 44 -'!C43</f>
        <v>0.32031764922935968</v>
      </c>
      <c r="H43" s="337">
        <f>'- 44 -'!E43</f>
        <v>0.35166374411157131</v>
      </c>
      <c r="J43" s="149">
        <f t="shared" si="0"/>
        <v>100</v>
      </c>
    </row>
    <row r="44" spans="1:10" ht="14.1" customHeight="1">
      <c r="A44" s="26" t="s">
        <v>268</v>
      </c>
      <c r="B44" s="79">
        <f>'- 42 -'!I44</f>
        <v>80.948570802631153</v>
      </c>
      <c r="C44" s="79">
        <f>'- 43 -'!C44</f>
        <v>4.2508167613703664E-2</v>
      </c>
      <c r="D44" s="79">
        <f>'- 43 -'!E44</f>
        <v>18.54977406994195</v>
      </c>
      <c r="E44" s="79">
        <f>'- 43 -'!G44</f>
        <v>0.27670107055010268</v>
      </c>
      <c r="F44" s="79">
        <f>'- 43 -'!I44</f>
        <v>0</v>
      </c>
      <c r="G44" s="79">
        <f>'- 44 -'!C44</f>
        <v>7.7293607495537403E-2</v>
      </c>
      <c r="H44" s="79">
        <f>'- 44 -'!E44</f>
        <v>0.10515228176755896</v>
      </c>
      <c r="J44" s="149">
        <f t="shared" si="0"/>
        <v>100</v>
      </c>
    </row>
    <row r="45" spans="1:10" ht="14.1" customHeight="1">
      <c r="A45" s="330" t="s">
        <v>269</v>
      </c>
      <c r="B45" s="337">
        <f>'- 42 -'!I45</f>
        <v>67.095256997577181</v>
      </c>
      <c r="C45" s="337">
        <f>'- 43 -'!C45</f>
        <v>0.11402152041721364</v>
      </c>
      <c r="D45" s="337">
        <f>'- 43 -'!E45</f>
        <v>30.576888694708209</v>
      </c>
      <c r="E45" s="337">
        <f>'- 43 -'!G45</f>
        <v>0.37536628837405733</v>
      </c>
      <c r="F45" s="337">
        <f>'- 43 -'!I45</f>
        <v>0</v>
      </c>
      <c r="G45" s="337">
        <f>'- 44 -'!C45</f>
        <v>1.7591700059294457</v>
      </c>
      <c r="H45" s="337">
        <f>'- 44 -'!E45</f>
        <v>7.9296492993891771E-2</v>
      </c>
      <c r="J45" s="149">
        <f t="shared" si="0"/>
        <v>99.999999999999986</v>
      </c>
    </row>
    <row r="46" spans="1:10" ht="14.1" customHeight="1">
      <c r="A46" s="26" t="s">
        <v>270</v>
      </c>
      <c r="B46" s="79">
        <f>'- 42 -'!I46</f>
        <v>64.870582068842992</v>
      </c>
      <c r="C46" s="79">
        <f>'- 43 -'!C46</f>
        <v>0</v>
      </c>
      <c r="D46" s="79">
        <f>'- 43 -'!E46</f>
        <v>33.349020083606682</v>
      </c>
      <c r="E46" s="79">
        <f>'- 43 -'!G46</f>
        <v>0.638420303178309</v>
      </c>
      <c r="F46" s="79">
        <f>'- 43 -'!I46</f>
        <v>0.70251827096132857</v>
      </c>
      <c r="G46" s="79">
        <f>'- 44 -'!C46</f>
        <v>0.19587903259380324</v>
      </c>
      <c r="H46" s="79">
        <f>'- 44 -'!E46</f>
        <v>0.24358024081688467</v>
      </c>
      <c r="J46" s="149">
        <f t="shared" si="0"/>
        <v>100.00000000000001</v>
      </c>
    </row>
    <row r="47" spans="1:10" ht="5.0999999999999996" customHeight="1">
      <c r="A47" s="28"/>
      <c r="B47"/>
      <c r="C47"/>
      <c r="D47"/>
      <c r="E47"/>
      <c r="F47"/>
      <c r="G47"/>
      <c r="H47"/>
      <c r="J47" s="149"/>
    </row>
    <row r="48" spans="1:10" ht="14.1" customHeight="1">
      <c r="A48" s="332" t="s">
        <v>271</v>
      </c>
      <c r="B48" s="340">
        <f>'- 42 -'!I48</f>
        <v>64.935476318182836</v>
      </c>
      <c r="C48" s="340">
        <f>'- 43 -'!C48</f>
        <v>0.86326223846966954</v>
      </c>
      <c r="D48" s="340">
        <f>'- 43 -'!E48</f>
        <v>29.137771045621868</v>
      </c>
      <c r="E48" s="340">
        <f>'- 43 -'!G48</f>
        <v>0.58791994009219295</v>
      </c>
      <c r="F48" s="340">
        <f>'- 43 -'!I48</f>
        <v>3.0223436554095326</v>
      </c>
      <c r="G48" s="340">
        <f>'- 44 -'!C48</f>
        <v>1.073502167463392</v>
      </c>
      <c r="H48" s="340">
        <f>'- 44 -'!E48</f>
        <v>0.37972463476050289</v>
      </c>
      <c r="J48" s="149">
        <f>SUM(B48:H48)</f>
        <v>100</v>
      </c>
    </row>
    <row r="49" spans="1:10" ht="5.0999999999999996" customHeight="1">
      <c r="A49" s="28" t="s">
        <v>17</v>
      </c>
      <c r="B49"/>
      <c r="C49"/>
      <c r="D49"/>
      <c r="E49"/>
      <c r="F49"/>
      <c r="G49"/>
      <c r="H49"/>
      <c r="J49" s="149"/>
    </row>
    <row r="50" spans="1:10" ht="14.1" customHeight="1">
      <c r="A50" s="26" t="s">
        <v>272</v>
      </c>
      <c r="B50" s="79">
        <f>'- 42 -'!I50</f>
        <v>44.683005796873879</v>
      </c>
      <c r="C50" s="79">
        <f>'- 43 -'!C50</f>
        <v>0</v>
      </c>
      <c r="D50" s="79">
        <f>'- 43 -'!E50</f>
        <v>54.045683631535837</v>
      </c>
      <c r="E50" s="79">
        <f>'- 43 -'!G50</f>
        <v>0.78070895990231914</v>
      </c>
      <c r="F50" s="79">
        <f>'- 43 -'!I50</f>
        <v>0</v>
      </c>
      <c r="G50" s="79">
        <f>'- 44 -'!C50</f>
        <v>0</v>
      </c>
      <c r="H50" s="79">
        <f>'- 44 -'!E50</f>
        <v>0.49060161168796013</v>
      </c>
      <c r="J50" s="149">
        <f>SUM(B50:H50)</f>
        <v>100</v>
      </c>
    </row>
    <row r="51" spans="1:10" ht="14.1" customHeight="1">
      <c r="A51" s="330" t="s">
        <v>273</v>
      </c>
      <c r="B51" s="337">
        <f>'- 42 -'!I51</f>
        <v>60.366866457988635</v>
      </c>
      <c r="C51" s="337">
        <f>'- 43 -'!C51</f>
        <v>0</v>
      </c>
      <c r="D51" s="337">
        <f>'- 43 -'!E51</f>
        <v>0</v>
      </c>
      <c r="E51" s="337">
        <f>'- 43 -'!G51</f>
        <v>7.5378596407586391</v>
      </c>
      <c r="F51" s="337">
        <f>'- 43 -'!I51</f>
        <v>0</v>
      </c>
      <c r="G51" s="337">
        <f>'- 44 -'!C51</f>
        <v>31.111580925060867</v>
      </c>
      <c r="H51" s="337">
        <f>'- 44 -'!E51</f>
        <v>0.98369297619185603</v>
      </c>
      <c r="J51" s="149"/>
    </row>
    <row r="52" spans="1:10" ht="50.1" customHeight="1">
      <c r="A52" s="30"/>
      <c r="B52" s="30"/>
      <c r="C52" s="30"/>
      <c r="D52" s="30"/>
      <c r="E52" s="30"/>
      <c r="F52" s="30"/>
      <c r="G52" s="30"/>
      <c r="H52" s="30"/>
    </row>
    <row r="53" spans="1:10" ht="15" customHeight="1">
      <c r="A53" s="45" t="s">
        <v>639</v>
      </c>
    </row>
    <row r="54" spans="1:10">
      <c r="A54" s="151" t="str">
        <f>"       includes teachers' retirement allowances, capital support and the education property tax credit, is "&amp;ROUND(i!E$24*100,1)&amp;"% in "&amp;Data!B5&amp;". See page i for more"</f>
        <v xml:space="preserve">       includes teachers' retirement allowances, capital support and the education property tax credit, is 76.9% in 2012/13. See page i for more</v>
      </c>
    </row>
    <row r="55" spans="1:10">
      <c r="A55" s="1" t="s">
        <v>611</v>
      </c>
    </row>
  </sheetData>
  <phoneticPr fontId="6" type="noConversion"/>
  <conditionalFormatting sqref="J11:J50">
    <cfRule type="cellIs" dxfId="0" priority="1" stopIfTrue="1" operator="equal">
      <formula>$J$1</formula>
    </cfRule>
  </conditionalFormatting>
  <pageMargins left="0.5" right="0.5" top="0.6" bottom="0.2" header="0.3" footer="0.5"/>
  <pageSetup scale="89" orientation="portrait" r:id="rId1"/>
  <headerFooter alignWithMargins="0">
    <oddHeader>&amp;C&amp;"Arial,Regular"&amp;11&amp;A</oddHeader>
  </headerFooter>
</worksheet>
</file>

<file path=xl/worksheets/sheet38.xml><?xml version="1.0" encoding="utf-8"?>
<worksheet xmlns="http://schemas.openxmlformats.org/spreadsheetml/2006/main" xmlns:r="http://schemas.openxmlformats.org/officeDocument/2006/relationships">
  <sheetPr codeName="Sheet36">
    <pageSetUpPr fitToPage="1"/>
  </sheetPr>
  <dimension ref="A1:I62"/>
  <sheetViews>
    <sheetView showGridLines="0" showZeros="0" workbookViewId="0"/>
  </sheetViews>
  <sheetFormatPr defaultColWidth="15.83203125" defaultRowHeight="12"/>
  <cols>
    <col min="1" max="1" width="26.83203125" style="1" customWidth="1"/>
    <col min="2" max="2" width="13.83203125" style="1" customWidth="1"/>
    <col min="3" max="3" width="15.83203125" style="1"/>
    <col min="4" max="4" width="12.5" style="1" customWidth="1"/>
    <col min="5" max="5" width="13" style="1" customWidth="1"/>
    <col min="6" max="6" width="15.5" style="1" customWidth="1"/>
    <col min="7" max="7" width="14.83203125" style="1" customWidth="1"/>
    <col min="8" max="8" width="15" style="1" bestFit="1" customWidth="1"/>
    <col min="9" max="9" width="15.1640625" style="1" customWidth="1"/>
    <col min="10" max="16384" width="15.83203125" style="1"/>
  </cols>
  <sheetData>
    <row r="1" spans="1:9" ht="15.95" customHeight="1">
      <c r="A1" s="242"/>
      <c r="B1" s="248" t="str">
        <f>"ANALYSIS OF OPERATING FUND REVENUE: "&amp;FALLYR&amp;"/"&amp;SPRINGYR&amp;" ACTUAL"</f>
        <v>ANALYSIS OF OPERATING FUND REVENUE: 2012/2013 ACTUAL</v>
      </c>
      <c r="C1" s="48"/>
      <c r="D1" s="48"/>
      <c r="E1" s="48"/>
      <c r="F1" s="48"/>
      <c r="G1" s="48"/>
      <c r="H1" s="244"/>
      <c r="I1" s="244" t="s">
        <v>16</v>
      </c>
    </row>
    <row r="2" spans="1:9" ht="15.95" customHeight="1">
      <c r="A2" s="234"/>
    </row>
    <row r="3" spans="1:9" ht="15.95" customHeight="1">
      <c r="B3" s="348" t="s">
        <v>111</v>
      </c>
      <c r="C3" s="463"/>
      <c r="D3" s="463"/>
      <c r="E3" s="463"/>
      <c r="F3" s="463"/>
      <c r="G3" s="463"/>
      <c r="H3" s="464"/>
      <c r="I3" s="464"/>
    </row>
    <row r="4" spans="1:9" ht="8.1" customHeight="1"/>
    <row r="5" spans="1:9" ht="15.95" customHeight="1">
      <c r="B5" s="439" t="s">
        <v>90</v>
      </c>
      <c r="C5" s="471"/>
      <c r="D5" s="471"/>
      <c r="E5" s="471"/>
      <c r="F5" s="464"/>
    </row>
    <row r="6" spans="1:9" ht="15.95" customHeight="1">
      <c r="B6" s="465"/>
      <c r="C6" s="465"/>
      <c r="D6" s="607"/>
      <c r="E6" s="466"/>
      <c r="F6" s="466"/>
      <c r="G6" s="465"/>
      <c r="H6" s="465"/>
      <c r="I6" s="249" t="s">
        <v>96</v>
      </c>
    </row>
    <row r="7" spans="1:9" ht="15.95" customHeight="1">
      <c r="B7" s="467" t="s">
        <v>227</v>
      </c>
      <c r="C7" s="469" t="s">
        <v>90</v>
      </c>
      <c r="D7" s="467" t="s">
        <v>529</v>
      </c>
      <c r="E7" s="468"/>
      <c r="F7" s="468"/>
      <c r="G7" s="467" t="s">
        <v>58</v>
      </c>
      <c r="H7" s="467" t="s">
        <v>68</v>
      </c>
      <c r="I7" s="251" t="s">
        <v>122</v>
      </c>
    </row>
    <row r="8" spans="1:9" ht="15.95" customHeight="1">
      <c r="A8" s="75"/>
      <c r="B8" s="467" t="s">
        <v>226</v>
      </c>
      <c r="C8" s="469" t="s">
        <v>413</v>
      </c>
      <c r="D8" s="467" t="s">
        <v>530</v>
      </c>
      <c r="E8" s="469" t="s">
        <v>58</v>
      </c>
      <c r="F8" s="468"/>
      <c r="G8" s="467" t="s">
        <v>134</v>
      </c>
      <c r="H8" s="467" t="s">
        <v>134</v>
      </c>
      <c r="I8" s="251" t="s">
        <v>135</v>
      </c>
    </row>
    <row r="9" spans="1:9" ht="15.95" customHeight="1">
      <c r="A9" s="42" t="s">
        <v>94</v>
      </c>
      <c r="B9" s="470" t="s">
        <v>414</v>
      </c>
      <c r="C9" s="601" t="s">
        <v>415</v>
      </c>
      <c r="D9" s="470" t="s">
        <v>673</v>
      </c>
      <c r="E9" s="470" t="s">
        <v>416</v>
      </c>
      <c r="F9" s="470" t="s">
        <v>68</v>
      </c>
      <c r="G9" s="470" t="s">
        <v>417</v>
      </c>
      <c r="H9" s="470" t="s">
        <v>140</v>
      </c>
      <c r="I9" s="470" t="s">
        <v>531</v>
      </c>
    </row>
    <row r="10" spans="1:9" ht="5.0999999999999996" customHeight="1">
      <c r="A10" s="5"/>
      <c r="B10" s="236"/>
      <c r="C10" s="236"/>
      <c r="D10" s="236"/>
      <c r="E10" s="236"/>
      <c r="F10" s="236"/>
      <c r="G10" s="236"/>
      <c r="H10" s="236"/>
    </row>
    <row r="11" spans="1:9" ht="14.1" customHeight="1">
      <c r="A11" s="330" t="s">
        <v>236</v>
      </c>
      <c r="B11" s="331">
        <f>'- 62 -'!$F11</f>
        <v>8052479</v>
      </c>
      <c r="C11" s="331">
        <v>1521900</v>
      </c>
      <c r="D11" s="331">
        <v>504331</v>
      </c>
      <c r="E11" s="331">
        <v>322953</v>
      </c>
      <c r="F11" s="331">
        <f>SUM(B11:E11)</f>
        <v>10401663</v>
      </c>
      <c r="G11" s="331">
        <v>1425</v>
      </c>
      <c r="H11" s="331">
        <f>SUM(F11:G11)</f>
        <v>10403088</v>
      </c>
      <c r="I11" s="337">
        <f>H11/'- 44 -'!$I11*100</f>
        <v>63.773281679230763</v>
      </c>
    </row>
    <row r="12" spans="1:9" ht="14.1" customHeight="1">
      <c r="A12" s="26" t="s">
        <v>237</v>
      </c>
      <c r="B12" s="27">
        <f>'- 62 -'!$F12</f>
        <v>14812143</v>
      </c>
      <c r="C12" s="27">
        <v>2253990</v>
      </c>
      <c r="D12" s="27">
        <v>2715964</v>
      </c>
      <c r="E12" s="27">
        <v>896144</v>
      </c>
      <c r="F12" s="27">
        <f t="shared" ref="F12:F46" si="0">SUM(B12:E12)</f>
        <v>20678241</v>
      </c>
      <c r="G12" s="27">
        <v>455316</v>
      </c>
      <c r="H12" s="27">
        <f t="shared" ref="H12:H46" si="1">SUM(F12:G12)</f>
        <v>21133557</v>
      </c>
      <c r="I12" s="79">
        <f>H12/'- 44 -'!$I12*100</f>
        <v>67.715572995370835</v>
      </c>
    </row>
    <row r="13" spans="1:9" ht="14.1" customHeight="1">
      <c r="A13" s="330" t="s">
        <v>238</v>
      </c>
      <c r="B13" s="331">
        <f>'- 62 -'!$F13</f>
        <v>39219907</v>
      </c>
      <c r="C13" s="331">
        <v>7416148</v>
      </c>
      <c r="D13" s="331">
        <v>1832733</v>
      </c>
      <c r="E13" s="331">
        <v>1667514</v>
      </c>
      <c r="F13" s="331">
        <f t="shared" si="0"/>
        <v>50136302</v>
      </c>
      <c r="G13" s="331">
        <v>0</v>
      </c>
      <c r="H13" s="331">
        <f t="shared" si="1"/>
        <v>50136302</v>
      </c>
      <c r="I13" s="337">
        <f>H13/'- 44 -'!$I13*100</f>
        <v>62.682759695643377</v>
      </c>
    </row>
    <row r="14" spans="1:9" ht="14.1" customHeight="1">
      <c r="A14" s="26" t="s">
        <v>656</v>
      </c>
      <c r="B14" s="27">
        <f>'- 62 -'!$F14</f>
        <v>30589993</v>
      </c>
      <c r="C14" s="27">
        <v>5801865</v>
      </c>
      <c r="D14" s="27">
        <v>1929146</v>
      </c>
      <c r="E14" s="27">
        <v>14928512</v>
      </c>
      <c r="F14" s="27">
        <f t="shared" si="0"/>
        <v>53249516</v>
      </c>
      <c r="G14" s="27">
        <v>715424</v>
      </c>
      <c r="H14" s="27">
        <f t="shared" si="1"/>
        <v>53964940</v>
      </c>
      <c r="I14" s="79">
        <f>H14/'- 44 -'!$I14*100</f>
        <v>75.665450792865158</v>
      </c>
    </row>
    <row r="15" spans="1:9" ht="14.1" customHeight="1">
      <c r="A15" s="330" t="s">
        <v>239</v>
      </c>
      <c r="B15" s="331">
        <f>'- 62 -'!$F15</f>
        <v>8262619</v>
      </c>
      <c r="C15" s="331">
        <v>2422142</v>
      </c>
      <c r="D15" s="331">
        <v>1595317</v>
      </c>
      <c r="E15" s="331">
        <v>454142</v>
      </c>
      <c r="F15" s="331">
        <f t="shared" si="0"/>
        <v>12734220</v>
      </c>
      <c r="G15" s="331">
        <v>10797</v>
      </c>
      <c r="H15" s="331">
        <f t="shared" si="1"/>
        <v>12745017</v>
      </c>
      <c r="I15" s="337">
        <f>H15/'- 44 -'!$I15*100</f>
        <v>65.097642758505998</v>
      </c>
    </row>
    <row r="16" spans="1:9" ht="14.1" customHeight="1">
      <c r="A16" s="26" t="s">
        <v>240</v>
      </c>
      <c r="B16" s="27">
        <f>'- 62 -'!$F16</f>
        <v>7744396</v>
      </c>
      <c r="C16" s="27">
        <v>826774</v>
      </c>
      <c r="D16" s="27">
        <v>752713</v>
      </c>
      <c r="E16" s="27">
        <v>380988</v>
      </c>
      <c r="F16" s="27">
        <f t="shared" si="0"/>
        <v>9704871</v>
      </c>
      <c r="G16" s="27">
        <v>92300</v>
      </c>
      <c r="H16" s="27">
        <f t="shared" si="1"/>
        <v>9797171</v>
      </c>
      <c r="I16" s="79">
        <f>H16/'- 44 -'!$I16*100</f>
        <v>74.433268210741915</v>
      </c>
    </row>
    <row r="17" spans="1:9" ht="14.1" customHeight="1">
      <c r="A17" s="330" t="s">
        <v>241</v>
      </c>
      <c r="B17" s="331">
        <f>'- 62 -'!$F17</f>
        <v>7433766</v>
      </c>
      <c r="C17" s="331">
        <v>1279079</v>
      </c>
      <c r="D17" s="331">
        <v>487785</v>
      </c>
      <c r="E17" s="331">
        <v>420961</v>
      </c>
      <c r="F17" s="331">
        <f t="shared" si="0"/>
        <v>9621591</v>
      </c>
      <c r="G17" s="331">
        <v>264680</v>
      </c>
      <c r="H17" s="331">
        <f t="shared" si="1"/>
        <v>9886271</v>
      </c>
      <c r="I17" s="337">
        <f>H17/'- 44 -'!$I17*100</f>
        <v>57.931071298150151</v>
      </c>
    </row>
    <row r="18" spans="1:9" ht="14.1" customHeight="1">
      <c r="A18" s="26" t="s">
        <v>242</v>
      </c>
      <c r="B18" s="27">
        <f>'- 62 -'!$F18</f>
        <v>35743438</v>
      </c>
      <c r="C18" s="27">
        <v>465553</v>
      </c>
      <c r="D18" s="27">
        <v>318474</v>
      </c>
      <c r="E18" s="27">
        <v>9887255</v>
      </c>
      <c r="F18" s="27">
        <f t="shared" si="0"/>
        <v>46414720</v>
      </c>
      <c r="G18" s="27">
        <v>1394733</v>
      </c>
      <c r="H18" s="27">
        <f t="shared" si="1"/>
        <v>47809453</v>
      </c>
      <c r="I18" s="79">
        <f>H18/'- 44 -'!$I18*100</f>
        <v>40.534174638330519</v>
      </c>
    </row>
    <row r="19" spans="1:9" ht="14.1" customHeight="1">
      <c r="A19" s="330" t="s">
        <v>243</v>
      </c>
      <c r="B19" s="331">
        <f>'- 62 -'!$F19</f>
        <v>24056236</v>
      </c>
      <c r="C19" s="331">
        <v>3013272</v>
      </c>
      <c r="D19" s="331">
        <v>646173</v>
      </c>
      <c r="E19" s="331">
        <v>1236246</v>
      </c>
      <c r="F19" s="331">
        <f t="shared" si="0"/>
        <v>28951927</v>
      </c>
      <c r="G19" s="331">
        <v>13496</v>
      </c>
      <c r="H19" s="331">
        <f t="shared" si="1"/>
        <v>28965423</v>
      </c>
      <c r="I19" s="337">
        <f>H19/'- 44 -'!$I19*100</f>
        <v>69.543625929374613</v>
      </c>
    </row>
    <row r="20" spans="1:9" ht="14.1" customHeight="1">
      <c r="A20" s="26" t="s">
        <v>244</v>
      </c>
      <c r="B20" s="27">
        <f>'- 62 -'!$F20</f>
        <v>41688243</v>
      </c>
      <c r="C20" s="27">
        <v>5704167</v>
      </c>
      <c r="D20" s="27">
        <v>1495513</v>
      </c>
      <c r="E20" s="27">
        <v>1276438</v>
      </c>
      <c r="F20" s="27">
        <f t="shared" si="0"/>
        <v>50164361</v>
      </c>
      <c r="G20" s="27">
        <v>634440</v>
      </c>
      <c r="H20" s="27">
        <f t="shared" si="1"/>
        <v>50798801</v>
      </c>
      <c r="I20" s="79">
        <f>H20/'- 44 -'!$I20*100</f>
        <v>71.934462476158757</v>
      </c>
    </row>
    <row r="21" spans="1:9" ht="14.1" customHeight="1">
      <c r="A21" s="330" t="s">
        <v>245</v>
      </c>
      <c r="B21" s="331">
        <f>'- 62 -'!$F21</f>
        <v>17136538</v>
      </c>
      <c r="C21" s="331">
        <v>3453665</v>
      </c>
      <c r="D21" s="331">
        <v>1289551</v>
      </c>
      <c r="E21" s="331">
        <v>711546</v>
      </c>
      <c r="F21" s="331">
        <f t="shared" si="0"/>
        <v>22591300</v>
      </c>
      <c r="G21" s="331">
        <v>42748</v>
      </c>
      <c r="H21" s="331">
        <f t="shared" si="1"/>
        <v>22634048</v>
      </c>
      <c r="I21" s="337">
        <f>H21/'- 44 -'!$I21*100</f>
        <v>68.157545316962626</v>
      </c>
    </row>
    <row r="22" spans="1:9" ht="14.1" customHeight="1">
      <c r="A22" s="26" t="s">
        <v>246</v>
      </c>
      <c r="B22" s="27">
        <f>'- 62 -'!$F22</f>
        <v>12760237</v>
      </c>
      <c r="C22" s="27">
        <v>1104943</v>
      </c>
      <c r="D22" s="27">
        <v>309407</v>
      </c>
      <c r="E22" s="27">
        <v>1088040</v>
      </c>
      <c r="F22" s="27">
        <f t="shared" si="0"/>
        <v>15262627</v>
      </c>
      <c r="G22" s="27">
        <v>554827</v>
      </c>
      <c r="H22" s="27">
        <f t="shared" si="1"/>
        <v>15817454</v>
      </c>
      <c r="I22" s="79">
        <f>H22/'- 44 -'!$I22*100</f>
        <v>83.004174753485941</v>
      </c>
    </row>
    <row r="23" spans="1:9" ht="14.1" customHeight="1">
      <c r="A23" s="330" t="s">
        <v>247</v>
      </c>
      <c r="B23" s="331">
        <f>'- 62 -'!$F23</f>
        <v>9305420</v>
      </c>
      <c r="C23" s="331">
        <v>1031912</v>
      </c>
      <c r="D23" s="331">
        <v>440073</v>
      </c>
      <c r="E23" s="331">
        <v>585846</v>
      </c>
      <c r="F23" s="331">
        <f t="shared" si="0"/>
        <v>11363251</v>
      </c>
      <c r="G23" s="331">
        <v>293142</v>
      </c>
      <c r="H23" s="331">
        <f t="shared" si="1"/>
        <v>11656393</v>
      </c>
      <c r="I23" s="337">
        <f>H23/'- 44 -'!$I23*100</f>
        <v>72.726158185541038</v>
      </c>
    </row>
    <row r="24" spans="1:9" ht="14.1" customHeight="1">
      <c r="A24" s="26" t="s">
        <v>248</v>
      </c>
      <c r="B24" s="27">
        <f>'- 62 -'!$F24</f>
        <v>23985952</v>
      </c>
      <c r="C24" s="27">
        <v>5583650</v>
      </c>
      <c r="D24" s="27">
        <v>2692903</v>
      </c>
      <c r="E24" s="27">
        <v>1041550</v>
      </c>
      <c r="F24" s="27">
        <f t="shared" si="0"/>
        <v>33304055</v>
      </c>
      <c r="G24" s="27">
        <v>482867</v>
      </c>
      <c r="H24" s="27">
        <f t="shared" si="1"/>
        <v>33786922</v>
      </c>
      <c r="I24" s="79">
        <f>H24/'- 44 -'!$I24*100</f>
        <v>64.366170074875967</v>
      </c>
    </row>
    <row r="25" spans="1:9" ht="14.1" customHeight="1">
      <c r="A25" s="330" t="s">
        <v>249</v>
      </c>
      <c r="B25" s="331">
        <f>'- 62 -'!$F25</f>
        <v>71454490</v>
      </c>
      <c r="C25" s="331">
        <v>21063239</v>
      </c>
      <c r="D25" s="331">
        <v>5824221</v>
      </c>
      <c r="E25" s="331">
        <v>4296887</v>
      </c>
      <c r="F25" s="331">
        <f t="shared" si="0"/>
        <v>102638837</v>
      </c>
      <c r="G25" s="331">
        <v>377135</v>
      </c>
      <c r="H25" s="331">
        <f t="shared" si="1"/>
        <v>103015972</v>
      </c>
      <c r="I25" s="337">
        <f>H25/'- 44 -'!$I25*100</f>
        <v>66.800796567422722</v>
      </c>
    </row>
    <row r="26" spans="1:9" ht="14.1" customHeight="1">
      <c r="A26" s="26" t="s">
        <v>250</v>
      </c>
      <c r="B26" s="27">
        <f>'- 62 -'!$F26</f>
        <v>21041422</v>
      </c>
      <c r="C26" s="27">
        <v>3487484</v>
      </c>
      <c r="D26" s="27">
        <v>690360</v>
      </c>
      <c r="E26" s="27">
        <v>788610</v>
      </c>
      <c r="F26" s="27">
        <f t="shared" si="0"/>
        <v>26007876</v>
      </c>
      <c r="G26" s="27">
        <v>0</v>
      </c>
      <c r="H26" s="27">
        <f t="shared" si="1"/>
        <v>26007876</v>
      </c>
      <c r="I26" s="79">
        <f>H26/'- 44 -'!$I26*100</f>
        <v>69.182105764058264</v>
      </c>
    </row>
    <row r="27" spans="1:9" ht="14.1" customHeight="1">
      <c r="A27" s="330" t="s">
        <v>251</v>
      </c>
      <c r="B27" s="331">
        <f>'- 62 -'!$F27</f>
        <v>26621893</v>
      </c>
      <c r="C27" s="331">
        <v>1723254</v>
      </c>
      <c r="D27" s="331">
        <v>1060692</v>
      </c>
      <c r="E27" s="331">
        <v>826725</v>
      </c>
      <c r="F27" s="331">
        <f t="shared" si="0"/>
        <v>30232564</v>
      </c>
      <c r="G27" s="331">
        <v>49300</v>
      </c>
      <c r="H27" s="331">
        <f t="shared" si="1"/>
        <v>30281864</v>
      </c>
      <c r="I27" s="337">
        <f>H27/'- 44 -'!$I27*100</f>
        <v>77.821210145040766</v>
      </c>
    </row>
    <row r="28" spans="1:9" ht="14.1" customHeight="1">
      <c r="A28" s="26" t="s">
        <v>252</v>
      </c>
      <c r="B28" s="27">
        <f>'- 62 -'!$F28</f>
        <v>10778551</v>
      </c>
      <c r="C28" s="27">
        <v>1480552</v>
      </c>
      <c r="D28" s="27">
        <v>778640</v>
      </c>
      <c r="E28" s="27">
        <v>545946</v>
      </c>
      <c r="F28" s="27">
        <f t="shared" si="0"/>
        <v>13583689</v>
      </c>
      <c r="G28" s="27">
        <v>0</v>
      </c>
      <c r="H28" s="27">
        <f t="shared" si="1"/>
        <v>13583689</v>
      </c>
      <c r="I28" s="79">
        <f>H28/'- 44 -'!$I28*100</f>
        <v>51.440326132469529</v>
      </c>
    </row>
    <row r="29" spans="1:9" ht="14.1" customHeight="1">
      <c r="A29" s="330" t="s">
        <v>253</v>
      </c>
      <c r="B29" s="331">
        <f>'- 62 -'!$F29</f>
        <v>54044628</v>
      </c>
      <c r="C29" s="331">
        <v>19900142</v>
      </c>
      <c r="D29" s="331">
        <v>4819838</v>
      </c>
      <c r="E29" s="331">
        <v>2719746</v>
      </c>
      <c r="F29" s="331">
        <f t="shared" si="0"/>
        <v>81484354</v>
      </c>
      <c r="G29" s="331">
        <v>332818</v>
      </c>
      <c r="H29" s="331">
        <f t="shared" si="1"/>
        <v>81817172</v>
      </c>
      <c r="I29" s="337">
        <f>H29/'- 44 -'!$I29*100</f>
        <v>58.17494481774974</v>
      </c>
    </row>
    <row r="30" spans="1:9" ht="14.1" customHeight="1">
      <c r="A30" s="26" t="s">
        <v>254</v>
      </c>
      <c r="B30" s="27">
        <f>'- 62 -'!$F30</f>
        <v>7570225</v>
      </c>
      <c r="C30" s="27">
        <v>919785</v>
      </c>
      <c r="D30" s="27">
        <v>331987</v>
      </c>
      <c r="E30" s="27">
        <v>270712</v>
      </c>
      <c r="F30" s="27">
        <f t="shared" si="0"/>
        <v>9092709</v>
      </c>
      <c r="G30" s="27">
        <v>0</v>
      </c>
      <c r="H30" s="27">
        <f t="shared" si="1"/>
        <v>9092709</v>
      </c>
      <c r="I30" s="79">
        <f>H30/'- 44 -'!$I30*100</f>
        <v>67.084040186492672</v>
      </c>
    </row>
    <row r="31" spans="1:9" ht="14.1" customHeight="1">
      <c r="A31" s="330" t="s">
        <v>255</v>
      </c>
      <c r="B31" s="331">
        <f>'- 62 -'!$F31</f>
        <v>17310416</v>
      </c>
      <c r="C31" s="331">
        <v>3046596</v>
      </c>
      <c r="D31" s="331">
        <v>521502</v>
      </c>
      <c r="E31" s="331">
        <v>672180</v>
      </c>
      <c r="F31" s="331">
        <f t="shared" si="0"/>
        <v>21550694</v>
      </c>
      <c r="G31" s="331">
        <v>0</v>
      </c>
      <c r="H31" s="331">
        <f t="shared" si="1"/>
        <v>21550694</v>
      </c>
      <c r="I31" s="337">
        <f>H31/'- 44 -'!$I31*100</f>
        <v>64.703312141454234</v>
      </c>
    </row>
    <row r="32" spans="1:9" ht="14.1" customHeight="1">
      <c r="A32" s="26" t="s">
        <v>256</v>
      </c>
      <c r="B32" s="27">
        <f>'- 62 -'!$F32</f>
        <v>12249956</v>
      </c>
      <c r="C32" s="27">
        <v>2262285</v>
      </c>
      <c r="D32" s="27">
        <v>1113987</v>
      </c>
      <c r="E32" s="27">
        <v>527545</v>
      </c>
      <c r="F32" s="27">
        <f t="shared" si="0"/>
        <v>16153773</v>
      </c>
      <c r="G32" s="27">
        <v>334991</v>
      </c>
      <c r="H32" s="27">
        <f t="shared" si="1"/>
        <v>16488764</v>
      </c>
      <c r="I32" s="79">
        <f>H32/'- 44 -'!$I32*100</f>
        <v>64.900498189006541</v>
      </c>
    </row>
    <row r="33" spans="1:9" ht="14.1" customHeight="1">
      <c r="A33" s="330" t="s">
        <v>257</v>
      </c>
      <c r="B33" s="331">
        <f>'- 62 -'!$F33</f>
        <v>14145601</v>
      </c>
      <c r="C33" s="331">
        <v>1838011</v>
      </c>
      <c r="D33" s="331">
        <v>813939</v>
      </c>
      <c r="E33" s="331">
        <v>467696</v>
      </c>
      <c r="F33" s="331">
        <f t="shared" si="0"/>
        <v>17265247</v>
      </c>
      <c r="G33" s="331">
        <v>10671</v>
      </c>
      <c r="H33" s="331">
        <f t="shared" si="1"/>
        <v>17275918</v>
      </c>
      <c r="I33" s="337">
        <f>H33/'- 44 -'!$I33*100</f>
        <v>64.587992191829485</v>
      </c>
    </row>
    <row r="34" spans="1:9" ht="14.1" customHeight="1">
      <c r="A34" s="26" t="s">
        <v>258</v>
      </c>
      <c r="B34" s="27">
        <f>'- 62 -'!$F34</f>
        <v>11953805</v>
      </c>
      <c r="C34" s="27">
        <v>1996658</v>
      </c>
      <c r="D34" s="27">
        <v>690097</v>
      </c>
      <c r="E34" s="27">
        <v>609377</v>
      </c>
      <c r="F34" s="27">
        <f t="shared" si="0"/>
        <v>15249937</v>
      </c>
      <c r="G34" s="27">
        <v>0</v>
      </c>
      <c r="H34" s="27">
        <f t="shared" si="1"/>
        <v>15249937</v>
      </c>
      <c r="I34" s="79">
        <f>H34/'- 44 -'!$I34*100</f>
        <v>61.706107687678077</v>
      </c>
    </row>
    <row r="35" spans="1:9" ht="14.1" customHeight="1">
      <c r="A35" s="330" t="s">
        <v>259</v>
      </c>
      <c r="B35" s="331">
        <f>'- 62 -'!$F35</f>
        <v>89445665</v>
      </c>
      <c r="C35" s="331">
        <v>23422208</v>
      </c>
      <c r="D35" s="331">
        <v>1471273</v>
      </c>
      <c r="E35" s="331">
        <v>4169942</v>
      </c>
      <c r="F35" s="331">
        <f t="shared" si="0"/>
        <v>118509088</v>
      </c>
      <c r="G35" s="331">
        <v>1607610</v>
      </c>
      <c r="H35" s="331">
        <f t="shared" si="1"/>
        <v>120116698</v>
      </c>
      <c r="I35" s="337">
        <f>H35/'- 44 -'!$I35*100</f>
        <v>69.736913455040252</v>
      </c>
    </row>
    <row r="36" spans="1:9" ht="14.1" customHeight="1">
      <c r="A36" s="26" t="s">
        <v>260</v>
      </c>
      <c r="B36" s="27">
        <f>'- 62 -'!$F36</f>
        <v>10178909</v>
      </c>
      <c r="C36" s="27">
        <v>2008390</v>
      </c>
      <c r="D36" s="27">
        <v>761347</v>
      </c>
      <c r="E36" s="27">
        <v>398440</v>
      </c>
      <c r="F36" s="27">
        <f t="shared" si="0"/>
        <v>13347086</v>
      </c>
      <c r="G36" s="27">
        <v>115037</v>
      </c>
      <c r="H36" s="27">
        <f t="shared" si="1"/>
        <v>13462123</v>
      </c>
      <c r="I36" s="79">
        <f>H36/'- 44 -'!$I36*100</f>
        <v>61.69825201493687</v>
      </c>
    </row>
    <row r="37" spans="1:9" ht="14.1" customHeight="1">
      <c r="A37" s="330" t="s">
        <v>261</v>
      </c>
      <c r="B37" s="331">
        <f>'- 62 -'!$F37</f>
        <v>22849804</v>
      </c>
      <c r="C37" s="331">
        <v>4324713</v>
      </c>
      <c r="D37" s="331">
        <v>2010174</v>
      </c>
      <c r="E37" s="331">
        <v>784281</v>
      </c>
      <c r="F37" s="331">
        <f t="shared" si="0"/>
        <v>29968972</v>
      </c>
      <c r="G37" s="331">
        <v>336880</v>
      </c>
      <c r="H37" s="331">
        <f t="shared" si="1"/>
        <v>30305852</v>
      </c>
      <c r="I37" s="337">
        <f>H37/'- 44 -'!$I37*100</f>
        <v>73.719639819444623</v>
      </c>
    </row>
    <row r="38" spans="1:9" ht="14.1" customHeight="1">
      <c r="A38" s="26" t="s">
        <v>262</v>
      </c>
      <c r="B38" s="27">
        <f>'- 62 -'!$F38</f>
        <v>60573576</v>
      </c>
      <c r="C38" s="27">
        <v>12135623</v>
      </c>
      <c r="D38" s="27">
        <v>5358182</v>
      </c>
      <c r="E38" s="27">
        <v>2069639</v>
      </c>
      <c r="F38" s="27">
        <f t="shared" si="0"/>
        <v>80137020</v>
      </c>
      <c r="G38" s="27">
        <v>1812226</v>
      </c>
      <c r="H38" s="27">
        <f t="shared" si="1"/>
        <v>81949246</v>
      </c>
      <c r="I38" s="79">
        <f>H38/'- 44 -'!$I38*100</f>
        <v>71.484625909965345</v>
      </c>
    </row>
    <row r="39" spans="1:9" ht="14.1" customHeight="1">
      <c r="A39" s="330" t="s">
        <v>263</v>
      </c>
      <c r="B39" s="331">
        <f>'- 62 -'!$F39</f>
        <v>9172415</v>
      </c>
      <c r="C39" s="331">
        <v>1568987</v>
      </c>
      <c r="D39" s="331">
        <v>758456</v>
      </c>
      <c r="E39" s="331">
        <v>400223</v>
      </c>
      <c r="F39" s="331">
        <f t="shared" si="0"/>
        <v>11900081</v>
      </c>
      <c r="G39" s="331">
        <v>162541</v>
      </c>
      <c r="H39" s="331">
        <f t="shared" si="1"/>
        <v>12062622</v>
      </c>
      <c r="I39" s="337">
        <f>H39/'- 44 -'!$I39*100</f>
        <v>58.392448080017637</v>
      </c>
    </row>
    <row r="40" spans="1:9" ht="14.1" customHeight="1">
      <c r="A40" s="26" t="s">
        <v>264</v>
      </c>
      <c r="B40" s="27">
        <f>'- 62 -'!$F40</f>
        <v>38817115</v>
      </c>
      <c r="C40" s="27">
        <v>12790279</v>
      </c>
      <c r="D40" s="27">
        <v>3455144</v>
      </c>
      <c r="E40" s="27">
        <v>2099101</v>
      </c>
      <c r="F40" s="27">
        <f t="shared" si="0"/>
        <v>57161639</v>
      </c>
      <c r="G40" s="27">
        <v>11628</v>
      </c>
      <c r="H40" s="27">
        <f t="shared" si="1"/>
        <v>57173267</v>
      </c>
      <c r="I40" s="79">
        <f>H40/'- 44 -'!$I40*100</f>
        <v>59.38297828783449</v>
      </c>
    </row>
    <row r="41" spans="1:9" ht="14.1" customHeight="1">
      <c r="A41" s="330" t="s">
        <v>265</v>
      </c>
      <c r="B41" s="331">
        <f>'- 62 -'!$F41</f>
        <v>25659828</v>
      </c>
      <c r="C41" s="331">
        <v>6493923</v>
      </c>
      <c r="D41" s="331">
        <v>2937582</v>
      </c>
      <c r="E41" s="331">
        <v>1378045</v>
      </c>
      <c r="F41" s="331">
        <f t="shared" si="0"/>
        <v>36469378</v>
      </c>
      <c r="G41" s="331">
        <v>1019909</v>
      </c>
      <c r="H41" s="331">
        <f t="shared" si="1"/>
        <v>37489287</v>
      </c>
      <c r="I41" s="337">
        <f>H41/'- 44 -'!$I41*100</f>
        <v>62.913335173836501</v>
      </c>
    </row>
    <row r="42" spans="1:9" ht="14.1" customHeight="1">
      <c r="A42" s="26" t="s">
        <v>266</v>
      </c>
      <c r="B42" s="27">
        <f>'- 62 -'!$F42</f>
        <v>11803353</v>
      </c>
      <c r="C42" s="27">
        <v>1573153</v>
      </c>
      <c r="D42" s="27">
        <v>1056497</v>
      </c>
      <c r="E42" s="27">
        <v>500160</v>
      </c>
      <c r="F42" s="27">
        <f t="shared" si="0"/>
        <v>14933163</v>
      </c>
      <c r="G42" s="27">
        <v>125889</v>
      </c>
      <c r="H42" s="27">
        <f t="shared" si="1"/>
        <v>15059052</v>
      </c>
      <c r="I42" s="79">
        <f>H42/'- 44 -'!$I42*100</f>
        <v>73.104635727639831</v>
      </c>
    </row>
    <row r="43" spans="1:9" ht="14.1" customHeight="1">
      <c r="A43" s="330" t="s">
        <v>267</v>
      </c>
      <c r="B43" s="331">
        <f>'- 62 -'!$F43</f>
        <v>6041240</v>
      </c>
      <c r="C43" s="331">
        <v>1192026</v>
      </c>
      <c r="D43" s="331">
        <v>0</v>
      </c>
      <c r="E43" s="331">
        <v>261446</v>
      </c>
      <c r="F43" s="331">
        <f t="shared" si="0"/>
        <v>7494712</v>
      </c>
      <c r="G43" s="331">
        <v>196100</v>
      </c>
      <c r="H43" s="331">
        <f t="shared" si="1"/>
        <v>7690812</v>
      </c>
      <c r="I43" s="337">
        <f>H43/'- 44 -'!$I43*100</f>
        <v>63.457994912674842</v>
      </c>
    </row>
    <row r="44" spans="1:9" ht="14.1" customHeight="1">
      <c r="A44" s="26" t="s">
        <v>268</v>
      </c>
      <c r="B44" s="27">
        <f>'- 62 -'!$F44</f>
        <v>7120085</v>
      </c>
      <c r="C44" s="27">
        <v>652088</v>
      </c>
      <c r="D44" s="27">
        <v>456502</v>
      </c>
      <c r="E44" s="27">
        <v>314043</v>
      </c>
      <c r="F44" s="27">
        <f t="shared" si="0"/>
        <v>8542718</v>
      </c>
      <c r="G44" s="27">
        <v>0</v>
      </c>
      <c r="H44" s="27">
        <f t="shared" si="1"/>
        <v>8542718</v>
      </c>
      <c r="I44" s="79">
        <f>H44/'- 44 -'!$I44*100</f>
        <v>80.948570802631153</v>
      </c>
    </row>
    <row r="45" spans="1:9" ht="14.1" customHeight="1">
      <c r="A45" s="330" t="s">
        <v>269</v>
      </c>
      <c r="B45" s="331">
        <f>'- 62 -'!$F45</f>
        <v>8901104</v>
      </c>
      <c r="C45" s="331">
        <v>1855602</v>
      </c>
      <c r="D45" s="331">
        <v>0</v>
      </c>
      <c r="E45" s="331">
        <v>350395</v>
      </c>
      <c r="F45" s="331">
        <f t="shared" si="0"/>
        <v>11107101</v>
      </c>
      <c r="G45" s="331">
        <v>395210</v>
      </c>
      <c r="H45" s="331">
        <f t="shared" si="1"/>
        <v>11502311</v>
      </c>
      <c r="I45" s="337">
        <f>H45/'- 44 -'!$I45*100</f>
        <v>67.095256997577181</v>
      </c>
    </row>
    <row r="46" spans="1:9" ht="14.1" customHeight="1">
      <c r="A46" s="26" t="s">
        <v>270</v>
      </c>
      <c r="B46" s="27">
        <f>'- 62 -'!$F46</f>
        <v>175522204</v>
      </c>
      <c r="C46" s="27">
        <v>30099886</v>
      </c>
      <c r="D46" s="27">
        <v>9498384</v>
      </c>
      <c r="E46" s="27">
        <v>13954868</v>
      </c>
      <c r="F46" s="27">
        <f t="shared" si="0"/>
        <v>229075342</v>
      </c>
      <c r="G46" s="27">
        <v>3907504</v>
      </c>
      <c r="H46" s="27">
        <f t="shared" si="1"/>
        <v>232982846</v>
      </c>
      <c r="I46" s="79">
        <f>H46/'- 44 -'!$I46*100</f>
        <v>64.870582068842992</v>
      </c>
    </row>
    <row r="47" spans="1:9" ht="5.0999999999999996" customHeight="1">
      <c r="A47" s="28"/>
      <c r="B47" s="29"/>
      <c r="C47" s="29"/>
      <c r="D47" s="29"/>
      <c r="E47" s="29"/>
      <c r="F47" s="29"/>
      <c r="G47" s="29"/>
      <c r="H47" s="29"/>
      <c r="I47"/>
    </row>
    <row r="48" spans="1:9" ht="14.1" customHeight="1">
      <c r="A48" s="332" t="s">
        <v>271</v>
      </c>
      <c r="B48" s="333">
        <f t="shared" ref="B48:H48" si="2">SUM(B11:B46)</f>
        <v>994047652</v>
      </c>
      <c r="C48" s="333">
        <f t="shared" si="2"/>
        <v>197713944</v>
      </c>
      <c r="D48" s="333">
        <f>SUM(D11:D46)</f>
        <v>61418887</v>
      </c>
      <c r="E48" s="333">
        <f t="shared" si="2"/>
        <v>73304142</v>
      </c>
      <c r="F48" s="333">
        <f t="shared" si="2"/>
        <v>1326484625</v>
      </c>
      <c r="G48" s="333">
        <f t="shared" si="2"/>
        <v>15751644</v>
      </c>
      <c r="H48" s="333">
        <f t="shared" si="2"/>
        <v>1342236269</v>
      </c>
      <c r="I48" s="340">
        <f>H48/'- 44 -'!$I48*100</f>
        <v>64.935476318182836</v>
      </c>
    </row>
    <row r="49" spans="1:9" ht="5.0999999999999996" customHeight="1">
      <c r="A49" s="28" t="s">
        <v>17</v>
      </c>
      <c r="B49" s="29"/>
      <c r="C49" s="29"/>
      <c r="D49" s="29"/>
      <c r="E49" s="29"/>
      <c r="F49" s="29"/>
      <c r="G49" s="29"/>
      <c r="H49" s="29"/>
      <c r="I49"/>
    </row>
    <row r="50" spans="1:9" ht="14.1" customHeight="1">
      <c r="A50" s="26" t="s">
        <v>272</v>
      </c>
      <c r="B50" s="27">
        <f>'- 62 -'!$F50</f>
        <v>931141</v>
      </c>
      <c r="C50" s="27">
        <v>375089</v>
      </c>
      <c r="D50" s="27">
        <v>24000</v>
      </c>
      <c r="E50" s="27">
        <v>195053</v>
      </c>
      <c r="F50" s="27">
        <f>SUM(B50:E50)</f>
        <v>1525283</v>
      </c>
      <c r="G50" s="27">
        <v>0</v>
      </c>
      <c r="H50" s="27">
        <f>SUM(F50:G50)</f>
        <v>1525283</v>
      </c>
      <c r="I50" s="79">
        <f>H50/'- 44 -'!$I50*100</f>
        <v>44.683005796873879</v>
      </c>
    </row>
    <row r="51" spans="1:9" ht="14.1" customHeight="1">
      <c r="A51" s="330" t="s">
        <v>418</v>
      </c>
      <c r="B51" s="331">
        <f>'- 62 -'!$F51</f>
        <v>25761</v>
      </c>
      <c r="C51" s="331">
        <v>0</v>
      </c>
      <c r="D51" s="331">
        <v>0</v>
      </c>
      <c r="E51" s="331">
        <v>4889026</v>
      </c>
      <c r="F51" s="331">
        <f>SUM(B51:E51)</f>
        <v>4914787</v>
      </c>
      <c r="G51" s="331">
        <v>7063430</v>
      </c>
      <c r="H51" s="331">
        <f>SUM(F51:G51)</f>
        <v>11978217</v>
      </c>
      <c r="I51" s="337">
        <f>H51/'- 44 -'!$I51*100</f>
        <v>60.366866457988635</v>
      </c>
    </row>
    <row r="52" spans="1:9" ht="50.1" customHeight="1">
      <c r="A52" s="30"/>
      <c r="B52" s="30"/>
      <c r="C52" s="30"/>
      <c r="D52" s="30"/>
      <c r="E52" s="30"/>
      <c r="F52" s="30"/>
      <c r="G52" s="30"/>
      <c r="H52" s="30"/>
      <c r="I52" s="30"/>
    </row>
    <row r="53" spans="1:9" ht="15" customHeight="1">
      <c r="A53" s="45" t="s">
        <v>640</v>
      </c>
      <c r="C53" s="45"/>
      <c r="D53" s="45"/>
      <c r="E53" s="253"/>
      <c r="F53" s="253"/>
      <c r="G53" s="253"/>
      <c r="H53" s="253"/>
    </row>
    <row r="54" spans="1:9" ht="12" customHeight="1">
      <c r="A54" s="45" t="s">
        <v>664</v>
      </c>
      <c r="C54" s="45"/>
      <c r="D54" s="45"/>
      <c r="E54" s="253"/>
      <c r="F54" s="253"/>
      <c r="G54" s="253"/>
      <c r="H54" s="253"/>
    </row>
    <row r="55" spans="1:9" ht="12" customHeight="1">
      <c r="A55" s="45" t="s">
        <v>665</v>
      </c>
      <c r="C55" s="45"/>
      <c r="D55" s="45"/>
      <c r="E55" s="253"/>
      <c r="F55" s="253"/>
      <c r="G55" s="253"/>
      <c r="H55" s="253"/>
    </row>
    <row r="56" spans="1:9" ht="12" customHeight="1">
      <c r="A56" s="151" t="s">
        <v>770</v>
      </c>
    </row>
    <row r="57" spans="1:9" ht="12" customHeight="1">
      <c r="A57" s="151" t="s">
        <v>771</v>
      </c>
    </row>
    <row r="58" spans="1:9" ht="12" customHeight="1">
      <c r="A58" s="717" t="s">
        <v>746</v>
      </c>
    </row>
    <row r="59" spans="1:9" ht="12" customHeight="1">
      <c r="A59" s="717" t="s">
        <v>747</v>
      </c>
    </row>
    <row r="60" spans="1:9" ht="12" customHeight="1">
      <c r="A60" s="151" t="s">
        <v>777</v>
      </c>
    </row>
    <row r="61" spans="1:9">
      <c r="A61" s="1" t="s">
        <v>641</v>
      </c>
    </row>
    <row r="62" spans="1:9">
      <c r="A62" s="1" t="str">
        <f>"(6) Total provincial contribution to public education is "&amp;ROUND(i!E$24*100,1)&amp;"%. See page i for more details."</f>
        <v>(6) Total provincial contribution to public education is 76.9%. See page i for more details.</v>
      </c>
    </row>
  </sheetData>
  <phoneticPr fontId="6" type="noConversion"/>
  <pageMargins left="0.5" right="0.5" top="0.6" bottom="0.2" header="0.3" footer="0.5"/>
  <pageSetup scale="82" orientation="portrait" r:id="rId1"/>
  <headerFooter alignWithMargins="0">
    <oddHeader>&amp;C&amp;"Arial,Regular"&amp;12&amp;A</oddHeader>
  </headerFooter>
</worksheet>
</file>

<file path=xl/worksheets/sheet39.xml><?xml version="1.0" encoding="utf-8"?>
<worksheet xmlns="http://schemas.openxmlformats.org/spreadsheetml/2006/main" xmlns:r="http://schemas.openxmlformats.org/officeDocument/2006/relationships">
  <sheetPr codeName="Sheet37">
    <pageSetUpPr fitToPage="1"/>
  </sheetPr>
  <dimension ref="A1:I54"/>
  <sheetViews>
    <sheetView showGridLines="0" showZeros="0" workbookViewId="0"/>
  </sheetViews>
  <sheetFormatPr defaultColWidth="15.83203125" defaultRowHeight="12"/>
  <cols>
    <col min="1" max="1" width="34.83203125" style="1" customWidth="1"/>
    <col min="2" max="2" width="15.83203125" style="1" customWidth="1"/>
    <col min="3" max="3" width="8.83203125" style="1" customWidth="1"/>
    <col min="4" max="4" width="15.83203125" style="1"/>
    <col min="5" max="5" width="8.83203125" style="1" customWidth="1"/>
    <col min="6" max="6" width="15.83203125" style="1"/>
    <col min="7" max="7" width="8.83203125" style="1" customWidth="1"/>
    <col min="8" max="8" width="14.83203125" style="1" customWidth="1"/>
    <col min="9" max="9" width="8.83203125" style="1" customWidth="1"/>
    <col min="10" max="16384" width="15.83203125" style="1"/>
  </cols>
  <sheetData>
    <row r="1" spans="1:9" ht="6.95" customHeight="1">
      <c r="A1" s="6"/>
    </row>
    <row r="2" spans="1:9" ht="15.95" customHeight="1">
      <c r="A2" s="242"/>
      <c r="B2" s="233" t="str">
        <f>REVYEAR</f>
        <v>ANALYSIS OF OPERATING FUND REVENUE: 2012/2013 ACTUAL</v>
      </c>
      <c r="C2" s="48"/>
      <c r="D2" s="48"/>
      <c r="E2" s="48"/>
      <c r="F2" s="48"/>
      <c r="G2" s="246"/>
      <c r="H2" s="247"/>
      <c r="I2" s="244" t="s">
        <v>18</v>
      </c>
    </row>
    <row r="3" spans="1:9" ht="15.95" customHeight="1">
      <c r="A3" s="234"/>
    </row>
    <row r="4" spans="1:9" ht="15.95" customHeight="1">
      <c r="B4" s="7"/>
      <c r="C4" s="7"/>
      <c r="D4" s="7"/>
      <c r="E4" s="7"/>
      <c r="F4" s="7"/>
      <c r="G4" s="7"/>
      <c r="H4" s="7"/>
      <c r="I4" s="50"/>
    </row>
    <row r="5" spans="1:9" ht="15.95" customHeight="1">
      <c r="B5" s="7"/>
      <c r="C5" s="7"/>
      <c r="D5" s="7"/>
      <c r="E5" s="7"/>
      <c r="F5" s="7"/>
      <c r="G5" s="7"/>
      <c r="H5" s="7"/>
      <c r="I5" s="7"/>
    </row>
    <row r="6" spans="1:9" ht="15.95" customHeight="1">
      <c r="B6" s="7"/>
      <c r="C6" s="7"/>
      <c r="D6" s="7"/>
      <c r="E6" s="7"/>
      <c r="F6" s="7"/>
      <c r="G6" s="7"/>
      <c r="H6" s="7"/>
      <c r="I6" s="7"/>
    </row>
    <row r="7" spans="1:9" ht="15.95" customHeight="1">
      <c r="B7" s="357" t="s">
        <v>117</v>
      </c>
      <c r="C7" s="358"/>
      <c r="D7" s="360" t="s">
        <v>118</v>
      </c>
      <c r="E7" s="358"/>
      <c r="F7" s="360" t="s">
        <v>119</v>
      </c>
      <c r="G7" s="358"/>
      <c r="H7" s="359"/>
      <c r="I7" s="358"/>
    </row>
    <row r="8" spans="1:9" ht="15.95" customHeight="1">
      <c r="A8" s="75"/>
      <c r="B8" s="345" t="s">
        <v>136</v>
      </c>
      <c r="C8" s="346"/>
      <c r="D8" s="345" t="s">
        <v>517</v>
      </c>
      <c r="E8" s="346"/>
      <c r="F8" s="345" t="s">
        <v>137</v>
      </c>
      <c r="G8" s="346"/>
      <c r="H8" s="345" t="s">
        <v>138</v>
      </c>
      <c r="I8" s="346"/>
    </row>
    <row r="9" spans="1:9" ht="15.95" customHeight="1">
      <c r="A9" s="42" t="s">
        <v>94</v>
      </c>
      <c r="B9" s="193" t="s">
        <v>140</v>
      </c>
      <c r="C9" s="235" t="s">
        <v>96</v>
      </c>
      <c r="D9" s="235" t="s">
        <v>140</v>
      </c>
      <c r="E9" s="235" t="s">
        <v>96</v>
      </c>
      <c r="F9" s="235" t="s">
        <v>140</v>
      </c>
      <c r="G9" s="235" t="s">
        <v>96</v>
      </c>
      <c r="H9" s="245" t="s">
        <v>140</v>
      </c>
      <c r="I9" s="245" t="s">
        <v>96</v>
      </c>
    </row>
    <row r="10" spans="1:9" ht="5.0999999999999996" customHeight="1">
      <c r="A10" s="5"/>
      <c r="B10" s="236"/>
      <c r="C10" s="236"/>
      <c r="D10" s="236"/>
      <c r="E10" s="236"/>
      <c r="F10" s="236"/>
      <c r="G10" s="236"/>
      <c r="H10" s="236"/>
      <c r="I10" s="236"/>
    </row>
    <row r="11" spans="1:9" ht="14.1" customHeight="1">
      <c r="A11" s="330" t="s">
        <v>236</v>
      </c>
      <c r="B11" s="331">
        <v>0</v>
      </c>
      <c r="C11" s="337">
        <f>B11/'- 44 -'!$I11*100</f>
        <v>0</v>
      </c>
      <c r="D11" s="331">
        <v>5717775</v>
      </c>
      <c r="E11" s="337">
        <f>D11/'- 44 -'!$I11*100</f>
        <v>35.051253594458082</v>
      </c>
      <c r="F11" s="331">
        <v>37050</v>
      </c>
      <c r="G11" s="337">
        <f>F11/'- 44 -'!$I11*100</f>
        <v>0.22712487736482664</v>
      </c>
      <c r="H11" s="331">
        <v>29860</v>
      </c>
      <c r="I11" s="337">
        <f>H11/'- 44 -'!$I11*100</f>
        <v>0.18304855163599798</v>
      </c>
    </row>
    <row r="12" spans="1:9" ht="14.1" customHeight="1">
      <c r="A12" s="26" t="s">
        <v>237</v>
      </c>
      <c r="B12" s="27">
        <v>515820</v>
      </c>
      <c r="C12" s="79">
        <f>B12/'- 44 -'!$I12*100</f>
        <v>1.6527765232550384</v>
      </c>
      <c r="D12" s="27">
        <v>8219281</v>
      </c>
      <c r="E12" s="79">
        <f>D12/'- 44 -'!$I12*100</f>
        <v>26.33599836151409</v>
      </c>
      <c r="F12" s="27">
        <v>524256</v>
      </c>
      <c r="G12" s="79">
        <f>F12/'- 44 -'!$I12*100</f>
        <v>1.6798069267876266</v>
      </c>
      <c r="H12" s="27">
        <v>401080</v>
      </c>
      <c r="I12" s="79">
        <f>H12/'- 44 -'!$I12*100</f>
        <v>1.285129711812514</v>
      </c>
    </row>
    <row r="13" spans="1:9" ht="14.1" customHeight="1">
      <c r="A13" s="330" t="s">
        <v>238</v>
      </c>
      <c r="B13" s="331">
        <v>129504</v>
      </c>
      <c r="C13" s="337">
        <f>B13/'- 44 -'!$I13*100</f>
        <v>0.16191198368847787</v>
      </c>
      <c r="D13" s="331">
        <v>28302015</v>
      </c>
      <c r="E13" s="337">
        <f>D13/'- 44 -'!$I13*100</f>
        <v>35.38450851735125</v>
      </c>
      <c r="F13" s="331">
        <v>353285</v>
      </c>
      <c r="G13" s="337">
        <f>F13/'- 44 -'!$I13*100</f>
        <v>0.44169350102995975</v>
      </c>
      <c r="H13" s="331">
        <v>227955</v>
      </c>
      <c r="I13" s="337">
        <f>H13/'- 44 -'!$I13*100</f>
        <v>0.28500004819702074</v>
      </c>
    </row>
    <row r="14" spans="1:9" ht="14.1" customHeight="1">
      <c r="A14" s="26" t="s">
        <v>656</v>
      </c>
      <c r="B14" s="27">
        <v>52737</v>
      </c>
      <c r="C14" s="79">
        <f>B14/'- 44 -'!$I14*100</f>
        <v>7.3943728622015148E-2</v>
      </c>
      <c r="D14" s="27">
        <v>15916757</v>
      </c>
      <c r="E14" s="79">
        <f>D14/'- 44 -'!$I14*100</f>
        <v>22.317241408319774</v>
      </c>
      <c r="F14" s="27">
        <v>1198495</v>
      </c>
      <c r="G14" s="79">
        <f>F14/'- 44 -'!$I14*100</f>
        <v>1.6804366769979719</v>
      </c>
      <c r="H14" s="27">
        <v>0</v>
      </c>
      <c r="I14" s="79">
        <f>H14/'- 44 -'!$I14*100</f>
        <v>0</v>
      </c>
    </row>
    <row r="15" spans="1:9" ht="14.1" customHeight="1">
      <c r="A15" s="330" t="s">
        <v>239</v>
      </c>
      <c r="B15" s="331">
        <v>0</v>
      </c>
      <c r="C15" s="337">
        <f>B15/'- 44 -'!$I15*100</f>
        <v>0</v>
      </c>
      <c r="D15" s="331">
        <v>6347542</v>
      </c>
      <c r="E15" s="337">
        <f>D15/'- 44 -'!$I15*100</f>
        <v>32.421300145038067</v>
      </c>
      <c r="F15" s="331">
        <v>61853</v>
      </c>
      <c r="G15" s="337">
        <f>F15/'- 44 -'!$I15*100</f>
        <v>0.31592617707311582</v>
      </c>
      <c r="H15" s="331">
        <v>263624</v>
      </c>
      <c r="I15" s="337">
        <f>H15/'- 44 -'!$I15*100</f>
        <v>1.3465106382022389</v>
      </c>
    </row>
    <row r="16" spans="1:9" ht="14.1" customHeight="1">
      <c r="A16" s="26" t="s">
        <v>240</v>
      </c>
      <c r="B16" s="27">
        <v>50643</v>
      </c>
      <c r="C16" s="79">
        <f>B16/'- 44 -'!$I16*100</f>
        <v>0.38475637528390627</v>
      </c>
      <c r="D16" s="27">
        <v>2912493</v>
      </c>
      <c r="E16" s="79">
        <f>D16/'- 44 -'!$I16*100</f>
        <v>22.127446038341922</v>
      </c>
      <c r="F16" s="27">
        <v>187606</v>
      </c>
      <c r="G16" s="79">
        <f>F16/'- 44 -'!$I16*100</f>
        <v>1.4253224441978658</v>
      </c>
      <c r="H16" s="27">
        <v>0</v>
      </c>
      <c r="I16" s="79">
        <f>H16/'- 44 -'!$I16*100</f>
        <v>0</v>
      </c>
    </row>
    <row r="17" spans="1:9" ht="14.1" customHeight="1">
      <c r="A17" s="330" t="s">
        <v>241</v>
      </c>
      <c r="B17" s="331">
        <v>0</v>
      </c>
      <c r="C17" s="337">
        <f>B17/'- 44 -'!$I17*100</f>
        <v>0</v>
      </c>
      <c r="D17" s="331">
        <v>6172877</v>
      </c>
      <c r="E17" s="337">
        <f>D17/'- 44 -'!$I17*100</f>
        <v>36.17151275761217</v>
      </c>
      <c r="F17" s="331">
        <v>12800</v>
      </c>
      <c r="G17" s="337">
        <f>F17/'- 44 -'!$I17*100</f>
        <v>7.5004793275070231E-2</v>
      </c>
      <c r="H17" s="331">
        <v>952551</v>
      </c>
      <c r="I17" s="337">
        <f>H17/'- 44 -'!$I17*100</f>
        <v>5.5817102217938608</v>
      </c>
    </row>
    <row r="18" spans="1:9" ht="14.1" customHeight="1">
      <c r="A18" s="26" t="s">
        <v>242</v>
      </c>
      <c r="B18" s="27">
        <v>15923493</v>
      </c>
      <c r="C18" s="79">
        <f>B18/'- 44 -'!$I18*100</f>
        <v>13.500377134920022</v>
      </c>
      <c r="D18" s="27">
        <v>2815742</v>
      </c>
      <c r="E18" s="79">
        <f>D18/'- 44 -'!$I18*100</f>
        <v>2.3872638317882875</v>
      </c>
      <c r="F18" s="27">
        <v>15600</v>
      </c>
      <c r="G18" s="79">
        <f>F18/'- 44 -'!$I18*100</f>
        <v>1.322611083540228E-2</v>
      </c>
      <c r="H18" s="27">
        <v>45691944</v>
      </c>
      <c r="I18" s="79">
        <f>H18/'- 44 -'!$I18*100</f>
        <v>38.738892027499631</v>
      </c>
    </row>
    <row r="19" spans="1:9" ht="14.1" customHeight="1">
      <c r="A19" s="330" t="s">
        <v>243</v>
      </c>
      <c r="B19" s="331">
        <v>0</v>
      </c>
      <c r="C19" s="337">
        <f>B19/'- 44 -'!$I19*100</f>
        <v>0</v>
      </c>
      <c r="D19" s="331">
        <v>11976923</v>
      </c>
      <c r="E19" s="337">
        <f>D19/'- 44 -'!$I19*100</f>
        <v>28.755618479900097</v>
      </c>
      <c r="F19" s="331">
        <v>260619</v>
      </c>
      <c r="G19" s="337">
        <f>F19/'- 44 -'!$I19*100</f>
        <v>0.62572503243221012</v>
      </c>
      <c r="H19" s="331">
        <v>0</v>
      </c>
      <c r="I19" s="337">
        <f>H19/'- 44 -'!$I19*100</f>
        <v>0</v>
      </c>
    </row>
    <row r="20" spans="1:9" ht="14.1" customHeight="1">
      <c r="A20" s="26" t="s">
        <v>244</v>
      </c>
      <c r="B20" s="27">
        <v>0</v>
      </c>
      <c r="C20" s="79">
        <f>B20/'- 44 -'!$I20*100</f>
        <v>0</v>
      </c>
      <c r="D20" s="27">
        <v>19270455</v>
      </c>
      <c r="E20" s="79">
        <f>D20/'- 44 -'!$I20*100</f>
        <v>27.288238990050296</v>
      </c>
      <c r="F20" s="27">
        <v>106116</v>
      </c>
      <c r="G20" s="79">
        <f>F20/'- 44 -'!$I20*100</f>
        <v>0.15026727540518256</v>
      </c>
      <c r="H20" s="27">
        <v>0</v>
      </c>
      <c r="I20" s="79">
        <f>H20/'- 44 -'!$I20*100</f>
        <v>0</v>
      </c>
    </row>
    <row r="21" spans="1:9" ht="14.1" customHeight="1">
      <c r="A21" s="330" t="s">
        <v>245</v>
      </c>
      <c r="B21" s="331">
        <v>6997</v>
      </c>
      <c r="C21" s="337">
        <f>B21/'- 44 -'!$I21*100</f>
        <v>2.1069953752098941E-2</v>
      </c>
      <c r="D21" s="331">
        <v>10078534</v>
      </c>
      <c r="E21" s="337">
        <f>D21/'- 44 -'!$I21*100</f>
        <v>30.349327607396994</v>
      </c>
      <c r="F21" s="331">
        <v>72469</v>
      </c>
      <c r="G21" s="337">
        <f>F21/'- 44 -'!$I21*100</f>
        <v>0.21822473609559215</v>
      </c>
      <c r="H21" s="331">
        <v>0</v>
      </c>
      <c r="I21" s="337">
        <f>H21/'- 44 -'!$I21*100</f>
        <v>0</v>
      </c>
    </row>
    <row r="22" spans="1:9" ht="14.1" customHeight="1">
      <c r="A22" s="26" t="s">
        <v>246</v>
      </c>
      <c r="B22" s="27">
        <v>22700</v>
      </c>
      <c r="C22" s="79">
        <f>B22/'- 44 -'!$I22*100</f>
        <v>0.11912124207246821</v>
      </c>
      <c r="D22" s="27">
        <v>3014912</v>
      </c>
      <c r="E22" s="79">
        <f>D22/'- 44 -'!$I22*100</f>
        <v>15.821148113620676</v>
      </c>
      <c r="F22" s="27">
        <v>24763</v>
      </c>
      <c r="G22" s="79">
        <f>F22/'- 44 -'!$I22*100</f>
        <v>0.12994710649517754</v>
      </c>
      <c r="H22" s="27">
        <v>14975</v>
      </c>
      <c r="I22" s="79">
        <f>H22/'- 44 -'!$I22*100</f>
        <v>7.8583286345163511E-2</v>
      </c>
    </row>
    <row r="23" spans="1:9" ht="14.1" customHeight="1">
      <c r="A23" s="330" t="s">
        <v>247</v>
      </c>
      <c r="B23" s="331">
        <v>0</v>
      </c>
      <c r="C23" s="337">
        <f>B23/'- 44 -'!$I23*100</f>
        <v>0</v>
      </c>
      <c r="D23" s="331">
        <v>2926732</v>
      </c>
      <c r="E23" s="337">
        <f>D23/'- 44 -'!$I23*100</f>
        <v>18.260363596069976</v>
      </c>
      <c r="F23" s="331">
        <v>75460</v>
      </c>
      <c r="G23" s="337">
        <f>F23/'- 44 -'!$I23*100</f>
        <v>0.47080738412654127</v>
      </c>
      <c r="H23" s="331">
        <v>986624</v>
      </c>
      <c r="I23" s="337">
        <f>H23/'- 44 -'!$I23*100</f>
        <v>6.1557098403984183</v>
      </c>
    </row>
    <row r="24" spans="1:9" ht="14.1" customHeight="1">
      <c r="A24" s="26" t="s">
        <v>248</v>
      </c>
      <c r="B24" s="27">
        <v>17002</v>
      </c>
      <c r="C24" s="79">
        <f>B24/'- 44 -'!$I24*100</f>
        <v>3.2389858526119704E-2</v>
      </c>
      <c r="D24" s="27">
        <v>17200081</v>
      </c>
      <c r="E24" s="79">
        <f>D24/'- 44 -'!$I24*100</f>
        <v>32.767215046923859</v>
      </c>
      <c r="F24" s="27">
        <v>194475</v>
      </c>
      <c r="G24" s="79">
        <f>F24/'- 44 -'!$I24*100</f>
        <v>0.37048686841942879</v>
      </c>
      <c r="H24" s="27">
        <v>523610</v>
      </c>
      <c r="I24" s="79">
        <f>H24/'- 44 -'!$I24*100</f>
        <v>0.99750934142227599</v>
      </c>
    </row>
    <row r="25" spans="1:9" ht="14.1" customHeight="1">
      <c r="A25" s="330" t="s">
        <v>249</v>
      </c>
      <c r="B25" s="331">
        <v>55990</v>
      </c>
      <c r="C25" s="337">
        <f>B25/'- 44 -'!$I25*100</f>
        <v>3.6306764157018279E-2</v>
      </c>
      <c r="D25" s="331">
        <v>47580610</v>
      </c>
      <c r="E25" s="337">
        <f>D25/'- 44 -'!$I25*100</f>
        <v>30.853687903501797</v>
      </c>
      <c r="F25" s="331">
        <v>508389</v>
      </c>
      <c r="G25" s="337">
        <f>F25/'- 44 -'!$I25*100</f>
        <v>0.32966528885555219</v>
      </c>
      <c r="H25" s="331">
        <v>0</v>
      </c>
      <c r="I25" s="337">
        <f>H25/'- 44 -'!$I25*100</f>
        <v>0</v>
      </c>
    </row>
    <row r="26" spans="1:9" ht="14.1" customHeight="1">
      <c r="A26" s="26" t="s">
        <v>250</v>
      </c>
      <c r="B26" s="27">
        <v>554981</v>
      </c>
      <c r="C26" s="79">
        <f>B26/'- 44 -'!$I26*100</f>
        <v>1.4762741193876354</v>
      </c>
      <c r="D26" s="27">
        <v>9575010</v>
      </c>
      <c r="E26" s="79">
        <f>D26/'- 44 -'!$I26*100</f>
        <v>25.469952044984968</v>
      </c>
      <c r="F26" s="27">
        <v>426225</v>
      </c>
      <c r="G26" s="79">
        <f>F26/'- 44 -'!$I26*100</f>
        <v>1.1337774383915753</v>
      </c>
      <c r="H26" s="27">
        <v>288793</v>
      </c>
      <c r="I26" s="79">
        <f>H26/'- 44 -'!$I26*100</f>
        <v>0.76820221189610705</v>
      </c>
    </row>
    <row r="27" spans="1:9" ht="14.1" customHeight="1">
      <c r="A27" s="330" t="s">
        <v>251</v>
      </c>
      <c r="B27" s="331">
        <v>99646</v>
      </c>
      <c r="C27" s="337">
        <f>B27/'- 44 -'!$I27*100</f>
        <v>0.25607975473744715</v>
      </c>
      <c r="D27" s="331">
        <v>7498305</v>
      </c>
      <c r="E27" s="337">
        <f>D27/'- 44 -'!$I27*100</f>
        <v>19.269856344926779</v>
      </c>
      <c r="F27" s="331">
        <v>187334</v>
      </c>
      <c r="G27" s="337">
        <f>F27/'- 44 -'!$I27*100</f>
        <v>0.48142870535681243</v>
      </c>
      <c r="H27" s="331">
        <v>298800</v>
      </c>
      <c r="I27" s="337">
        <f>H27/'- 44 -'!$I27*100</f>
        <v>0.76788461870571045</v>
      </c>
    </row>
    <row r="28" spans="1:9" ht="14.1" customHeight="1">
      <c r="A28" s="26" t="s">
        <v>252</v>
      </c>
      <c r="B28" s="27">
        <v>7597</v>
      </c>
      <c r="C28" s="79">
        <f>B28/'- 44 -'!$I28*100</f>
        <v>2.8769221500018951E-2</v>
      </c>
      <c r="D28" s="27">
        <v>6329404</v>
      </c>
      <c r="E28" s="79">
        <f>D28/'- 44 -'!$I28*100</f>
        <v>23.968938480861652</v>
      </c>
      <c r="F28" s="27">
        <v>18500</v>
      </c>
      <c r="G28" s="79">
        <f>F28/'- 44 -'!$I28*100</f>
        <v>7.0057996281473023E-2</v>
      </c>
      <c r="H28" s="27">
        <v>6421491</v>
      </c>
      <c r="I28" s="79">
        <f>H28/'- 44 -'!$I28*100</f>
        <v>24.317664464838519</v>
      </c>
    </row>
    <row r="29" spans="1:9" ht="14.1" customHeight="1">
      <c r="A29" s="330" t="s">
        <v>253</v>
      </c>
      <c r="B29" s="331">
        <v>14871</v>
      </c>
      <c r="C29" s="337">
        <f>B29/'- 44 -'!$I29*100</f>
        <v>1.0573814557960477E-2</v>
      </c>
      <c r="D29" s="331">
        <v>54787741</v>
      </c>
      <c r="E29" s="337">
        <f>D29/'- 44 -'!$I29*100</f>
        <v>38.956049585338455</v>
      </c>
      <c r="F29" s="331">
        <v>748402</v>
      </c>
      <c r="G29" s="337">
        <f>F29/'- 44 -'!$I29*100</f>
        <v>0.53214067398337284</v>
      </c>
      <c r="H29" s="331">
        <v>75000</v>
      </c>
      <c r="I29" s="337">
        <f>H29/'- 44 -'!$I29*100</f>
        <v>5.3327690931816003E-2</v>
      </c>
    </row>
    <row r="30" spans="1:9" ht="14.1" customHeight="1">
      <c r="A30" s="26" t="s">
        <v>254</v>
      </c>
      <c r="B30" s="27">
        <v>0</v>
      </c>
      <c r="C30" s="79">
        <f>B30/'- 44 -'!$I30*100</f>
        <v>0</v>
      </c>
      <c r="D30" s="27">
        <v>4335525</v>
      </c>
      <c r="E30" s="79">
        <f>D30/'- 44 -'!$I30*100</f>
        <v>31.986565646117519</v>
      </c>
      <c r="F30" s="27">
        <v>29900</v>
      </c>
      <c r="G30" s="79">
        <f>F30/'- 44 -'!$I30*100</f>
        <v>0.22059573242431169</v>
      </c>
      <c r="H30" s="27">
        <v>29025</v>
      </c>
      <c r="I30" s="79">
        <f>H30/'- 44 -'!$I30*100</f>
        <v>0.21414017169283101</v>
      </c>
    </row>
    <row r="31" spans="1:9" ht="14.1" customHeight="1">
      <c r="A31" s="330" t="s">
        <v>255</v>
      </c>
      <c r="B31" s="331">
        <v>0</v>
      </c>
      <c r="C31" s="337">
        <f>B31/'- 44 -'!$I31*100</f>
        <v>0</v>
      </c>
      <c r="D31" s="331">
        <v>10447237</v>
      </c>
      <c r="E31" s="337">
        <f>D31/'- 44 -'!$I31*100</f>
        <v>31.366546090197833</v>
      </c>
      <c r="F31" s="331">
        <v>199042</v>
      </c>
      <c r="G31" s="337">
        <f>F31/'- 44 -'!$I31*100</f>
        <v>0.59759916108777456</v>
      </c>
      <c r="H31" s="331">
        <v>928773</v>
      </c>
      <c r="I31" s="337">
        <f>H31/'- 44 -'!$I31*100</f>
        <v>2.7885268719213809</v>
      </c>
    </row>
    <row r="32" spans="1:9" ht="14.1" customHeight="1">
      <c r="A32" s="26" t="s">
        <v>256</v>
      </c>
      <c r="B32" s="27">
        <v>4486</v>
      </c>
      <c r="C32" s="79">
        <f>B32/'- 44 -'!$I32*100</f>
        <v>1.7657092725439177E-2</v>
      </c>
      <c r="D32" s="27">
        <v>8738884</v>
      </c>
      <c r="E32" s="79">
        <f>D32/'- 44 -'!$I32*100</f>
        <v>34.39663065199661</v>
      </c>
      <c r="F32" s="27">
        <v>55900</v>
      </c>
      <c r="G32" s="79">
        <f>F32/'- 44 -'!$I32*100</f>
        <v>0.2200248513936803</v>
      </c>
      <c r="H32" s="27">
        <v>0</v>
      </c>
      <c r="I32" s="79">
        <f>H32/'- 44 -'!$I32*100</f>
        <v>0</v>
      </c>
    </row>
    <row r="33" spans="1:9" ht="14.1" customHeight="1">
      <c r="A33" s="330" t="s">
        <v>257</v>
      </c>
      <c r="B33" s="331">
        <v>25431</v>
      </c>
      <c r="C33" s="337">
        <f>B33/'- 44 -'!$I33*100</f>
        <v>9.50766974831911E-2</v>
      </c>
      <c r="D33" s="331">
        <v>8914991</v>
      </c>
      <c r="E33" s="337">
        <f>D33/'- 44 -'!$I33*100</f>
        <v>33.329711862387299</v>
      </c>
      <c r="F33" s="331">
        <v>29250</v>
      </c>
      <c r="G33" s="337">
        <f>F33/'- 44 -'!$I33*100</f>
        <v>0.10935446507739924</v>
      </c>
      <c r="H33" s="331">
        <v>349758</v>
      </c>
      <c r="I33" s="337">
        <f>H33/'- 44 -'!$I33*100</f>
        <v>1.3076102221039656</v>
      </c>
    </row>
    <row r="34" spans="1:9" ht="14.1" customHeight="1">
      <c r="A34" s="26" t="s">
        <v>258</v>
      </c>
      <c r="B34" s="27">
        <v>20870</v>
      </c>
      <c r="C34" s="79">
        <f>B34/'- 44 -'!$I34*100</f>
        <v>8.4446674595563348E-2</v>
      </c>
      <c r="D34" s="27">
        <v>8398030</v>
      </c>
      <c r="E34" s="79">
        <f>D34/'- 44 -'!$I34*100</f>
        <v>33.981107170760851</v>
      </c>
      <c r="F34" s="27">
        <v>765239</v>
      </c>
      <c r="G34" s="79">
        <f>F34/'- 44 -'!$I34*100</f>
        <v>3.0964009976441926</v>
      </c>
      <c r="H34" s="27">
        <v>0</v>
      </c>
      <c r="I34" s="79">
        <f>H34/'- 44 -'!$I34*100</f>
        <v>0</v>
      </c>
    </row>
    <row r="35" spans="1:9" ht="14.1" customHeight="1">
      <c r="A35" s="330" t="s">
        <v>259</v>
      </c>
      <c r="B35" s="331">
        <v>109686</v>
      </c>
      <c r="C35" s="337">
        <f>B35/'- 44 -'!$I35*100</f>
        <v>6.3681096938158793E-2</v>
      </c>
      <c r="D35" s="331">
        <v>47637925</v>
      </c>
      <c r="E35" s="337">
        <f>D35/'- 44 -'!$I35*100</f>
        <v>27.657452362723944</v>
      </c>
      <c r="F35" s="331">
        <v>931342</v>
      </c>
      <c r="G35" s="337">
        <f>F35/'- 44 -'!$I35*100</f>
        <v>0.5407151339695011</v>
      </c>
      <c r="H35" s="331">
        <v>84288</v>
      </c>
      <c r="I35" s="337">
        <f>H35/'- 44 -'!$I35*100</f>
        <v>4.8935618936997688E-2</v>
      </c>
    </row>
    <row r="36" spans="1:9" ht="14.1" customHeight="1">
      <c r="A36" s="26" t="s">
        <v>260</v>
      </c>
      <c r="B36" s="27">
        <v>28284</v>
      </c>
      <c r="C36" s="79">
        <f>B36/'- 44 -'!$I36*100</f>
        <v>0.12962839219270797</v>
      </c>
      <c r="D36" s="27">
        <v>7109597</v>
      </c>
      <c r="E36" s="79">
        <f>D36/'- 44 -'!$I36*100</f>
        <v>32.583991947677134</v>
      </c>
      <c r="F36" s="27">
        <v>64415</v>
      </c>
      <c r="G36" s="79">
        <f>F36/'- 44 -'!$I36*100</f>
        <v>0.29522036780841765</v>
      </c>
      <c r="H36" s="27">
        <v>1017963</v>
      </c>
      <c r="I36" s="79">
        <f>H36/'- 44 -'!$I36*100</f>
        <v>4.6654259299132228</v>
      </c>
    </row>
    <row r="37" spans="1:9" ht="14.1" customHeight="1">
      <c r="A37" s="330" t="s">
        <v>261</v>
      </c>
      <c r="B37" s="331">
        <v>22181</v>
      </c>
      <c r="C37" s="337">
        <f>B37/'- 44 -'!$I37*100</f>
        <v>5.3955761772845105E-2</v>
      </c>
      <c r="D37" s="331">
        <v>10382545</v>
      </c>
      <c r="E37" s="337">
        <f>D37/'- 44 -'!$I37*100</f>
        <v>25.255765051884225</v>
      </c>
      <c r="F37" s="331">
        <v>267222</v>
      </c>
      <c r="G37" s="337">
        <f>F37/'- 44 -'!$I37*100</f>
        <v>0.65002328896186889</v>
      </c>
      <c r="H37" s="331">
        <v>30288</v>
      </c>
      <c r="I37" s="337">
        <f>H37/'- 44 -'!$I37*100</f>
        <v>7.3676214443710031E-2</v>
      </c>
    </row>
    <row r="38" spans="1:9" ht="14.1" customHeight="1">
      <c r="A38" s="26" t="s">
        <v>262</v>
      </c>
      <c r="B38" s="27">
        <v>155570</v>
      </c>
      <c r="C38" s="79">
        <f>B38/'- 44 -'!$I38*100</f>
        <v>0.13570427789919276</v>
      </c>
      <c r="D38" s="27">
        <v>29865434</v>
      </c>
      <c r="E38" s="79">
        <f>D38/'- 44 -'!$I38*100</f>
        <v>26.05172690824709</v>
      </c>
      <c r="F38" s="27">
        <v>1100643</v>
      </c>
      <c r="G38" s="79">
        <f>F38/'- 44 -'!$I38*100</f>
        <v>0.96009489965803962</v>
      </c>
      <c r="H38" s="27">
        <v>379200</v>
      </c>
      <c r="I38" s="79">
        <f>H38/'- 44 -'!$I38*100</f>
        <v>0.33077754180994978</v>
      </c>
    </row>
    <row r="39" spans="1:9" ht="14.1" customHeight="1">
      <c r="A39" s="330" t="s">
        <v>263</v>
      </c>
      <c r="B39" s="331">
        <v>0</v>
      </c>
      <c r="C39" s="337">
        <f>B39/'- 44 -'!$I39*100</f>
        <v>0</v>
      </c>
      <c r="D39" s="331">
        <v>8364933</v>
      </c>
      <c r="E39" s="337">
        <f>D39/'- 44 -'!$I39*100</f>
        <v>40.492764831338171</v>
      </c>
      <c r="F39" s="331">
        <v>118667</v>
      </c>
      <c r="G39" s="337">
        <f>F39/'- 44 -'!$I39*100</f>
        <v>0.5744403361318503</v>
      </c>
      <c r="H39" s="331">
        <v>0</v>
      </c>
      <c r="I39" s="337">
        <f>H39/'- 44 -'!$I39*100</f>
        <v>0</v>
      </c>
    </row>
    <row r="40" spans="1:9" ht="14.1" customHeight="1">
      <c r="A40" s="26" t="s">
        <v>264</v>
      </c>
      <c r="B40" s="27">
        <v>1236</v>
      </c>
      <c r="C40" s="79">
        <f>B40/'- 44 -'!$I40*100</f>
        <v>1.2837706329387022E-3</v>
      </c>
      <c r="D40" s="27">
        <v>34490097</v>
      </c>
      <c r="E40" s="79">
        <f>D40/'- 44 -'!$I40*100</f>
        <v>35.823117844504239</v>
      </c>
      <c r="F40" s="27">
        <v>769792</v>
      </c>
      <c r="G40" s="79">
        <f>F40/'- 44 -'!$I40*100</f>
        <v>0.79954398306727303</v>
      </c>
      <c r="H40" s="27">
        <v>145958</v>
      </c>
      <c r="I40" s="79">
        <f>H40/'- 44 -'!$I40*100</f>
        <v>0.1515991861185009</v>
      </c>
    </row>
    <row r="41" spans="1:9" ht="14.1" customHeight="1">
      <c r="A41" s="330" t="s">
        <v>265</v>
      </c>
      <c r="B41" s="331">
        <v>0</v>
      </c>
      <c r="C41" s="337">
        <f>B41/'- 44 -'!$I41*100</f>
        <v>0</v>
      </c>
      <c r="D41" s="331">
        <v>20890374</v>
      </c>
      <c r="E41" s="337">
        <f>D41/'- 44 -'!$I41*100</f>
        <v>35.057564614893842</v>
      </c>
      <c r="F41" s="331">
        <v>352127</v>
      </c>
      <c r="G41" s="337">
        <f>F41/'- 44 -'!$I41*100</f>
        <v>0.59092838908239387</v>
      </c>
      <c r="H41" s="331">
        <v>440648</v>
      </c>
      <c r="I41" s="337">
        <f>H41/'- 44 -'!$I41*100</f>
        <v>0.73948153022170604</v>
      </c>
    </row>
    <row r="42" spans="1:9" ht="14.1" customHeight="1">
      <c r="A42" s="26" t="s">
        <v>266</v>
      </c>
      <c r="B42" s="27">
        <v>0</v>
      </c>
      <c r="C42" s="79">
        <f>B42/'- 44 -'!$I42*100</f>
        <v>0</v>
      </c>
      <c r="D42" s="27">
        <v>4791864</v>
      </c>
      <c r="E42" s="79">
        <f>D42/'- 44 -'!$I42*100</f>
        <v>23.262252642224169</v>
      </c>
      <c r="F42" s="27">
        <v>35011</v>
      </c>
      <c r="G42" s="79">
        <f>F42/'- 44 -'!$I42*100</f>
        <v>0.16996198707995683</v>
      </c>
      <c r="H42" s="27">
        <v>357629</v>
      </c>
      <c r="I42" s="79">
        <f>H42/'- 44 -'!$I42*100</f>
        <v>1.7361210898694093</v>
      </c>
    </row>
    <row r="43" spans="1:9" ht="14.1" customHeight="1">
      <c r="A43" s="330" t="s">
        <v>267</v>
      </c>
      <c r="B43" s="331">
        <v>138</v>
      </c>
      <c r="C43" s="337">
        <f>B43/'- 44 -'!$I43*100</f>
        <v>1.1386578293617279E-3</v>
      </c>
      <c r="D43" s="331">
        <v>4303501</v>
      </c>
      <c r="E43" s="337">
        <f>D43/'- 44 -'!$I43*100</f>
        <v>35.508805125478446</v>
      </c>
      <c r="F43" s="331">
        <v>33800</v>
      </c>
      <c r="G43" s="337">
        <f>F43/'- 44 -'!$I43*100</f>
        <v>0.27888865675671304</v>
      </c>
      <c r="H43" s="331">
        <v>9840</v>
      </c>
      <c r="I43" s="337">
        <f>H43/'- 44 -'!$I43*100</f>
        <v>8.1191253919705816E-2</v>
      </c>
    </row>
    <row r="44" spans="1:9" ht="14.1" customHeight="1">
      <c r="A44" s="26" t="s">
        <v>268</v>
      </c>
      <c r="B44" s="27">
        <v>4486</v>
      </c>
      <c r="C44" s="79">
        <f>B44/'- 44 -'!$I44*100</f>
        <v>4.2508167613703664E-2</v>
      </c>
      <c r="D44" s="27">
        <v>1957607</v>
      </c>
      <c r="E44" s="79">
        <f>D44/'- 44 -'!$I44*100</f>
        <v>18.54977406994195</v>
      </c>
      <c r="F44" s="27">
        <v>29201</v>
      </c>
      <c r="G44" s="79">
        <f>F44/'- 44 -'!$I44*100</f>
        <v>0.27670107055010268</v>
      </c>
      <c r="H44" s="27">
        <v>0</v>
      </c>
      <c r="I44" s="79">
        <f>H44/'- 44 -'!$I44*100</f>
        <v>0</v>
      </c>
    </row>
    <row r="45" spans="1:9" ht="14.1" customHeight="1">
      <c r="A45" s="330" t="s">
        <v>269</v>
      </c>
      <c r="B45" s="331">
        <v>19547</v>
      </c>
      <c r="C45" s="337">
        <f>B45/'- 44 -'!$I45*100</f>
        <v>0.11402152041721364</v>
      </c>
      <c r="D45" s="331">
        <v>5241874</v>
      </c>
      <c r="E45" s="337">
        <f>D45/'- 44 -'!$I45*100</f>
        <v>30.576888694708209</v>
      </c>
      <c r="F45" s="331">
        <v>64350</v>
      </c>
      <c r="G45" s="337">
        <f>F45/'- 44 -'!$I45*100</f>
        <v>0.37536628837405733</v>
      </c>
      <c r="H45" s="331">
        <v>0</v>
      </c>
      <c r="I45" s="337">
        <f>H45/'- 44 -'!$I45*100</f>
        <v>0</v>
      </c>
    </row>
    <row r="46" spans="1:9" ht="14.1" customHeight="1">
      <c r="A46" s="26" t="s">
        <v>270</v>
      </c>
      <c r="B46" s="27">
        <v>0</v>
      </c>
      <c r="C46" s="79">
        <f>B46/'- 44 -'!$I46*100</f>
        <v>0</v>
      </c>
      <c r="D46" s="27">
        <v>119773083</v>
      </c>
      <c r="E46" s="79">
        <f>D46/'- 44 -'!$I46*100</f>
        <v>33.349020083606682</v>
      </c>
      <c r="F46" s="27">
        <v>2292888</v>
      </c>
      <c r="G46" s="79">
        <f>F46/'- 44 -'!$I46*100</f>
        <v>0.638420303178309</v>
      </c>
      <c r="H46" s="27">
        <v>2523096</v>
      </c>
      <c r="I46" s="79">
        <f>H46/'- 44 -'!$I46*100</f>
        <v>0.70251827096132857</v>
      </c>
    </row>
    <row r="47" spans="1:9" ht="5.0999999999999996" customHeight="1">
      <c r="A47" s="28"/>
      <c r="B47" s="29"/>
      <c r="C47"/>
      <c r="D47" s="29"/>
      <c r="E47"/>
      <c r="F47" s="29"/>
      <c r="G47"/>
      <c r="H47" s="29"/>
      <c r="I47"/>
    </row>
    <row r="48" spans="1:9" ht="14.1" customHeight="1">
      <c r="A48" s="332" t="s">
        <v>271</v>
      </c>
      <c r="B48" s="333">
        <f>SUM(B11:B46)</f>
        <v>17843896</v>
      </c>
      <c r="C48" s="340">
        <f>B48/'- 44 -'!$I48*100</f>
        <v>0.86326223846966954</v>
      </c>
      <c r="D48" s="333">
        <f>SUM(D11:D46)</f>
        <v>602286690</v>
      </c>
      <c r="E48" s="340">
        <f>D48/'- 44 -'!$I48*100</f>
        <v>29.137771045621868</v>
      </c>
      <c r="F48" s="333">
        <f>SUM(F11:F46)</f>
        <v>12152486</v>
      </c>
      <c r="G48" s="340">
        <f>F48/'- 44 -'!$I48*100</f>
        <v>0.58791994009219295</v>
      </c>
      <c r="H48" s="333">
        <f>SUM(H11:H46)</f>
        <v>62472773</v>
      </c>
      <c r="I48" s="340">
        <f>H48/'- 44 -'!$I48*100</f>
        <v>3.0223436554095326</v>
      </c>
    </row>
    <row r="49" spans="1:9" ht="5.0999999999999996" customHeight="1">
      <c r="A49" s="28" t="s">
        <v>17</v>
      </c>
      <c r="B49" s="29"/>
      <c r="C49"/>
      <c r="D49" s="29"/>
      <c r="E49"/>
      <c r="F49" s="29"/>
      <c r="G49"/>
      <c r="H49" s="29"/>
      <c r="I49"/>
    </row>
    <row r="50" spans="1:9" ht="14.1" customHeight="1">
      <c r="A50" s="26" t="s">
        <v>272</v>
      </c>
      <c r="B50" s="27">
        <v>0</v>
      </c>
      <c r="C50" s="79">
        <f>B50/'- 44 -'!$I50*100</f>
        <v>0</v>
      </c>
      <c r="D50" s="27">
        <v>1844884</v>
      </c>
      <c r="E50" s="79">
        <f>D50/'- 44 -'!$I50*100</f>
        <v>54.045683631535837</v>
      </c>
      <c r="F50" s="27">
        <v>26650</v>
      </c>
      <c r="G50" s="79">
        <f>F50/'- 44 -'!$I50*100</f>
        <v>0.78070895990231914</v>
      </c>
      <c r="H50" s="27">
        <v>0</v>
      </c>
      <c r="I50" s="79">
        <f>H50/'- 44 -'!$I50*100</f>
        <v>0</v>
      </c>
    </row>
    <row r="51" spans="1:9" ht="14.1" customHeight="1">
      <c r="A51" s="330" t="s">
        <v>273</v>
      </c>
      <c r="B51" s="331">
        <v>0</v>
      </c>
      <c r="C51" s="337">
        <f>B51/'- 44 -'!$I51*100</f>
        <v>0</v>
      </c>
      <c r="D51" s="331">
        <v>0</v>
      </c>
      <c r="E51" s="337">
        <f>D51/'- 44 -'!$I51*100</f>
        <v>0</v>
      </c>
      <c r="F51" s="331">
        <v>1495690</v>
      </c>
      <c r="G51" s="337">
        <f>F51/'- 44 -'!$I51*100</f>
        <v>7.5378596407586391</v>
      </c>
      <c r="H51" s="331">
        <v>0</v>
      </c>
      <c r="I51" s="337">
        <f>H51/'- 44 -'!$I51*100</f>
        <v>0</v>
      </c>
    </row>
    <row r="52" spans="1:9" ht="50.1" customHeight="1">
      <c r="A52" s="30"/>
      <c r="B52" s="30"/>
      <c r="C52" s="30"/>
      <c r="D52" s="30"/>
      <c r="E52" s="30"/>
      <c r="F52" s="30"/>
      <c r="G52" s="30"/>
      <c r="H52" s="30"/>
      <c r="I52" s="30"/>
    </row>
    <row r="53" spans="1:9" ht="15" customHeight="1">
      <c r="A53" s="1" t="str">
        <f>"(1)  Municipal Government revenue is net of  "&amp;TEXT('- 42 -'!C48,"$0,000,000")&amp; " in Education Property Tax Credit (EPTC) revenue paid directly to school divisions. See"</f>
        <v>(1)  Municipal Government revenue is net of  $197,713,944 in Education Property Tax Credit (EPTC) revenue paid directly to school divisions. See</v>
      </c>
    </row>
    <row r="54" spans="1:9">
      <c r="A54" s="151" t="s">
        <v>614</v>
      </c>
    </row>
  </sheetData>
  <phoneticPr fontId="6" type="noConversion"/>
  <pageMargins left="0.5" right="0.5" top="0.6" bottom="0.2" header="0.3" footer="0.5"/>
  <pageSetup scale="89" orientation="portrait" r:id="rId1"/>
  <headerFooter alignWithMargins="0">
    <oddHeader>&amp;C&amp;"Arial,Regular"&amp;11&amp;A</oddHeader>
  </headerFooter>
</worksheet>
</file>

<file path=xl/worksheets/sheet4.xml><?xml version="1.0" encoding="utf-8"?>
<worksheet xmlns="http://schemas.openxmlformats.org/spreadsheetml/2006/main" xmlns:r="http://schemas.openxmlformats.org/officeDocument/2006/relationships">
  <sheetPr codeName="Sheet2">
    <pageSetUpPr fitToPage="1"/>
  </sheetPr>
  <dimension ref="A1:F68"/>
  <sheetViews>
    <sheetView showGridLines="0" showZeros="0" workbookViewId="0"/>
  </sheetViews>
  <sheetFormatPr defaultColWidth="15.83203125" defaultRowHeight="12"/>
  <cols>
    <col min="1" max="1" width="40.83203125" style="1" customWidth="1"/>
    <col min="2" max="2" width="27.83203125" style="1" customWidth="1"/>
    <col min="3" max="3" width="18.83203125" style="1" customWidth="1"/>
    <col min="4" max="4" width="27.83203125" style="1" customWidth="1"/>
    <col min="5" max="5" width="18.83203125" style="1" customWidth="1"/>
    <col min="6" max="16384" width="15.83203125" style="1"/>
  </cols>
  <sheetData>
    <row r="1" spans="1:5" ht="6.95" customHeight="1">
      <c r="A1" s="6"/>
      <c r="B1" s="7"/>
      <c r="C1" s="7"/>
      <c r="D1" s="7"/>
      <c r="E1" s="7"/>
    </row>
    <row r="2" spans="1:5" ht="15.95" customHeight="1">
      <c r="A2" s="34"/>
      <c r="B2" s="742" t="s">
        <v>493</v>
      </c>
      <c r="C2" s="743"/>
      <c r="D2" s="743"/>
      <c r="E2" s="35"/>
    </row>
    <row r="3" spans="1:5" ht="15.95" customHeight="1">
      <c r="A3" s="36"/>
      <c r="B3" s="744"/>
      <c r="C3" s="744"/>
      <c r="D3" s="744"/>
      <c r="E3" s="37"/>
    </row>
    <row r="4" spans="1:5" ht="15.95" customHeight="1">
      <c r="B4" s="7"/>
      <c r="C4" s="38"/>
      <c r="D4" s="39"/>
      <c r="E4" s="38"/>
    </row>
    <row r="5" spans="1:5" ht="15.95" customHeight="1">
      <c r="B5" s="7"/>
      <c r="C5" s="7"/>
      <c r="D5" s="7"/>
      <c r="E5" s="7"/>
    </row>
    <row r="6" spans="1:5" ht="15.95" customHeight="1">
      <c r="B6" s="7"/>
      <c r="C6" s="7"/>
      <c r="D6" s="7"/>
      <c r="E6" s="7"/>
    </row>
    <row r="7" spans="1:5" ht="15.95" customHeight="1">
      <c r="B7" s="327" t="s">
        <v>721</v>
      </c>
      <c r="C7" s="328"/>
      <c r="D7" s="327" t="s">
        <v>738</v>
      </c>
      <c r="E7" s="329"/>
    </row>
    <row r="8" spans="1:5" ht="15.95" customHeight="1">
      <c r="A8" s="40"/>
      <c r="B8" s="41"/>
      <c r="C8" s="322"/>
      <c r="D8" s="41"/>
      <c r="E8" s="322"/>
    </row>
    <row r="9" spans="1:5" ht="15.95" customHeight="1">
      <c r="A9" s="42" t="s">
        <v>94</v>
      </c>
      <c r="B9" s="537" t="s">
        <v>474</v>
      </c>
      <c r="C9" s="323" t="s">
        <v>106</v>
      </c>
      <c r="D9" s="537" t="s">
        <v>474</v>
      </c>
      <c r="E9" s="323" t="s">
        <v>106</v>
      </c>
    </row>
    <row r="10" spans="1:5" ht="5.0999999999999996" customHeight="1">
      <c r="A10" s="5"/>
    </row>
    <row r="11" spans="1:5" ht="14.1" customHeight="1">
      <c r="A11" s="330" t="s">
        <v>236</v>
      </c>
      <c r="B11" s="331">
        <v>15034646</v>
      </c>
      <c r="C11" s="331">
        <v>10495</v>
      </c>
      <c r="D11" s="331">
        <f>'- 3 -'!F11</f>
        <v>15627872</v>
      </c>
      <c r="E11" s="331">
        <f>ROUND(D11/'- 7 -'!E11,0)</f>
        <v>10408</v>
      </c>
    </row>
    <row r="12" spans="1:5" ht="14.1" customHeight="1">
      <c r="A12" s="26" t="s">
        <v>237</v>
      </c>
      <c r="B12" s="44">
        <v>27998560</v>
      </c>
      <c r="C12" s="44">
        <v>11969</v>
      </c>
      <c r="D12" s="27">
        <f>'- 3 -'!F12</f>
        <v>28941649</v>
      </c>
      <c r="E12" s="27">
        <f>ROUND(D12/'- 7 -'!E12,0)</f>
        <v>12656</v>
      </c>
    </row>
    <row r="13" spans="1:5" ht="14.1" customHeight="1">
      <c r="A13" s="330" t="s">
        <v>238</v>
      </c>
      <c r="B13" s="331">
        <v>73052265</v>
      </c>
      <c r="C13" s="331">
        <v>9601</v>
      </c>
      <c r="D13" s="331">
        <f>'- 3 -'!F13</f>
        <v>80151366</v>
      </c>
      <c r="E13" s="331">
        <f>ROUND(D13/'- 7 -'!E13,0)</f>
        <v>10212</v>
      </c>
    </row>
    <row r="14" spans="1:5" ht="14.1" customHeight="1">
      <c r="A14" s="26" t="s">
        <v>656</v>
      </c>
      <c r="B14" s="27">
        <v>65402802</v>
      </c>
      <c r="C14" s="27">
        <v>13207</v>
      </c>
      <c r="D14" s="27">
        <f>'- 3 -'!F14</f>
        <v>68931094</v>
      </c>
      <c r="E14" s="27">
        <f>ROUND(D14/'- 7 -'!E14,0)</f>
        <v>13532</v>
      </c>
    </row>
    <row r="15" spans="1:5" ht="14.1" customHeight="1">
      <c r="A15" s="330" t="s">
        <v>239</v>
      </c>
      <c r="B15" s="331">
        <v>17988290</v>
      </c>
      <c r="C15" s="331">
        <v>11734</v>
      </c>
      <c r="D15" s="331">
        <f>'- 3 -'!F15</f>
        <v>18519301</v>
      </c>
      <c r="E15" s="331">
        <f>ROUND(D15/'- 7 -'!E15,0)</f>
        <v>11994</v>
      </c>
    </row>
    <row r="16" spans="1:5" ht="14.1" customHeight="1">
      <c r="A16" s="26" t="s">
        <v>240</v>
      </c>
      <c r="B16" s="44">
        <v>12494013</v>
      </c>
      <c r="C16" s="44">
        <v>12627</v>
      </c>
      <c r="D16" s="27">
        <f>'- 3 -'!F16</f>
        <v>12673417</v>
      </c>
      <c r="E16" s="27">
        <f>ROUND(D16/'- 7 -'!E16,0)</f>
        <v>12769</v>
      </c>
    </row>
    <row r="17" spans="1:5" ht="14.1" customHeight="1">
      <c r="A17" s="330" t="s">
        <v>241</v>
      </c>
      <c r="B17" s="331">
        <v>15599441</v>
      </c>
      <c r="C17" s="331">
        <v>11795</v>
      </c>
      <c r="D17" s="331">
        <f>'- 3 -'!F17</f>
        <v>15750129</v>
      </c>
      <c r="E17" s="331">
        <f>ROUND(D17/'- 7 -'!E17,0)</f>
        <v>12158</v>
      </c>
    </row>
    <row r="18" spans="1:5" ht="14.1" customHeight="1">
      <c r="A18" s="26" t="s">
        <v>242</v>
      </c>
      <c r="B18" s="27">
        <v>104580620</v>
      </c>
      <c r="C18" s="27">
        <v>18093</v>
      </c>
      <c r="D18" s="27">
        <f>'- 3 -'!F18</f>
        <v>108465940</v>
      </c>
      <c r="E18" s="27">
        <f>ROUND(D18/'- 7 -'!E18,0)</f>
        <v>18779</v>
      </c>
    </row>
    <row r="19" spans="1:5" ht="14.1" customHeight="1">
      <c r="A19" s="330" t="s">
        <v>243</v>
      </c>
      <c r="B19" s="331">
        <v>37085221</v>
      </c>
      <c r="C19" s="331">
        <v>8957</v>
      </c>
      <c r="D19" s="331">
        <f>'- 3 -'!F19</f>
        <v>38904695</v>
      </c>
      <c r="E19" s="331">
        <f>ROUND(D19/'- 7 -'!E19,0)</f>
        <v>9287</v>
      </c>
    </row>
    <row r="20" spans="1:5" ht="14.1" customHeight="1">
      <c r="A20" s="26" t="s">
        <v>244</v>
      </c>
      <c r="B20" s="44">
        <v>62713376</v>
      </c>
      <c r="C20" s="44">
        <v>8594</v>
      </c>
      <c r="D20" s="27">
        <f>'- 3 -'!F20</f>
        <v>67523840</v>
      </c>
      <c r="E20" s="27">
        <f>ROUND(D20/'- 7 -'!E20,0)</f>
        <v>9137</v>
      </c>
    </row>
    <row r="21" spans="1:5" ht="14.1" customHeight="1">
      <c r="A21" s="330" t="s">
        <v>245</v>
      </c>
      <c r="B21" s="331">
        <v>31199180</v>
      </c>
      <c r="C21" s="331">
        <v>10974</v>
      </c>
      <c r="D21" s="331">
        <f>'- 3 -'!F21</f>
        <v>32407686</v>
      </c>
      <c r="E21" s="331">
        <f>ROUND(D21/'- 7 -'!E21,0)</f>
        <v>11748</v>
      </c>
    </row>
    <row r="22" spans="1:5" ht="14.1" customHeight="1">
      <c r="A22" s="26" t="s">
        <v>246</v>
      </c>
      <c r="B22" s="27">
        <v>17532329</v>
      </c>
      <c r="C22" s="27">
        <v>11201</v>
      </c>
      <c r="D22" s="27">
        <f>'- 3 -'!F22</f>
        <v>17921935</v>
      </c>
      <c r="E22" s="27">
        <f>ROUND(D22/'- 7 -'!E22,0)</f>
        <v>11233</v>
      </c>
    </row>
    <row r="23" spans="1:5" ht="14.1" customHeight="1">
      <c r="A23" s="330" t="s">
        <v>247</v>
      </c>
      <c r="B23" s="331">
        <v>14650719</v>
      </c>
      <c r="C23" s="331">
        <v>12275</v>
      </c>
      <c r="D23" s="331">
        <f>'- 3 -'!F23</f>
        <v>15511307</v>
      </c>
      <c r="E23" s="331">
        <f>ROUND(D23/'- 7 -'!E23,0)</f>
        <v>13084</v>
      </c>
    </row>
    <row r="24" spans="1:5" ht="14.1" customHeight="1">
      <c r="A24" s="26" t="s">
        <v>248</v>
      </c>
      <c r="B24" s="44">
        <v>48224596</v>
      </c>
      <c r="C24" s="44">
        <v>11133</v>
      </c>
      <c r="D24" s="27">
        <f>'- 3 -'!F24</f>
        <v>50236809</v>
      </c>
      <c r="E24" s="27">
        <f>ROUND(D24/'- 7 -'!E24,0)</f>
        <v>11838</v>
      </c>
    </row>
    <row r="25" spans="1:5" ht="14.1" customHeight="1">
      <c r="A25" s="330" t="s">
        <v>249</v>
      </c>
      <c r="B25" s="331">
        <v>144255522</v>
      </c>
      <c r="C25" s="331">
        <v>10468</v>
      </c>
      <c r="D25" s="331">
        <f>'- 3 -'!F25</f>
        <v>148668623</v>
      </c>
      <c r="E25" s="331">
        <f>ROUND(D25/'- 7 -'!E25,0)</f>
        <v>10847</v>
      </c>
    </row>
    <row r="26" spans="1:5" ht="14.1" customHeight="1">
      <c r="A26" s="26" t="s">
        <v>250</v>
      </c>
      <c r="B26" s="27">
        <v>35858061</v>
      </c>
      <c r="C26" s="27">
        <v>11535</v>
      </c>
      <c r="D26" s="27">
        <f>'- 3 -'!F26</f>
        <v>37162684</v>
      </c>
      <c r="E26" s="27">
        <f>ROUND(D26/'- 7 -'!E26,0)</f>
        <v>11959</v>
      </c>
    </row>
    <row r="27" spans="1:5" ht="14.1" customHeight="1">
      <c r="A27" s="330" t="s">
        <v>251</v>
      </c>
      <c r="B27" s="331">
        <v>39817784</v>
      </c>
      <c r="C27" s="331">
        <v>14245</v>
      </c>
      <c r="D27" s="331">
        <f>'- 3 -'!F27</f>
        <v>36432069</v>
      </c>
      <c r="E27" s="331">
        <f>ROUND(D27/'- 7 -'!E27,0)</f>
        <v>13301</v>
      </c>
    </row>
    <row r="28" spans="1:5" ht="14.1" customHeight="1">
      <c r="A28" s="26" t="s">
        <v>252</v>
      </c>
      <c r="B28" s="44">
        <v>24566886</v>
      </c>
      <c r="C28" s="44">
        <v>12265</v>
      </c>
      <c r="D28" s="27">
        <f>'- 3 -'!F28</f>
        <v>25217124</v>
      </c>
      <c r="E28" s="27">
        <f>ROUND(D28/'- 7 -'!E28,0)</f>
        <v>12707</v>
      </c>
    </row>
    <row r="29" spans="1:5" ht="14.1" customHeight="1">
      <c r="A29" s="330" t="s">
        <v>253</v>
      </c>
      <c r="B29" s="331">
        <v>134109601</v>
      </c>
      <c r="C29" s="331">
        <v>11007</v>
      </c>
      <c r="D29" s="331">
        <f>'- 3 -'!F29</f>
        <v>137051842</v>
      </c>
      <c r="E29" s="331">
        <f>ROUND(D29/'- 7 -'!E29,0)</f>
        <v>11259</v>
      </c>
    </row>
    <row r="30" spans="1:5" ht="14.1" customHeight="1">
      <c r="A30" s="26" t="s">
        <v>254</v>
      </c>
      <c r="B30" s="27">
        <v>12871111</v>
      </c>
      <c r="C30" s="27">
        <v>11722</v>
      </c>
      <c r="D30" s="27">
        <f>'- 3 -'!F30</f>
        <v>13304000</v>
      </c>
      <c r="E30" s="27">
        <f>ROUND(D30/'- 7 -'!E30,0)</f>
        <v>12344</v>
      </c>
    </row>
    <row r="31" spans="1:5" ht="14.1" customHeight="1">
      <c r="A31" s="330" t="s">
        <v>255</v>
      </c>
      <c r="B31" s="331">
        <v>32006632</v>
      </c>
      <c r="C31" s="331">
        <v>10007</v>
      </c>
      <c r="D31" s="331">
        <f>'- 3 -'!F31</f>
        <v>32594043</v>
      </c>
      <c r="E31" s="331">
        <f>ROUND(D31/'- 7 -'!E31,0)</f>
        <v>10246</v>
      </c>
    </row>
    <row r="32" spans="1:5" ht="14.1" customHeight="1">
      <c r="A32" s="26" t="s">
        <v>256</v>
      </c>
      <c r="B32" s="44">
        <v>23397232</v>
      </c>
      <c r="C32" s="44">
        <v>11344</v>
      </c>
      <c r="D32" s="27">
        <f>'- 3 -'!F32</f>
        <v>24395376</v>
      </c>
      <c r="E32" s="27">
        <f>ROUND(D32/'- 7 -'!E32,0)</f>
        <v>11828</v>
      </c>
    </row>
    <row r="33" spans="1:6" ht="14.1" customHeight="1">
      <c r="A33" s="330" t="s">
        <v>257</v>
      </c>
      <c r="B33" s="331">
        <v>24460810</v>
      </c>
      <c r="C33" s="331">
        <v>12005</v>
      </c>
      <c r="D33" s="331">
        <f>'- 3 -'!F33</f>
        <v>25213075</v>
      </c>
      <c r="E33" s="331">
        <f>ROUND(D33/'- 7 -'!E33,0)</f>
        <v>12457</v>
      </c>
    </row>
    <row r="34" spans="1:6" ht="14.1" customHeight="1">
      <c r="A34" s="26" t="s">
        <v>258</v>
      </c>
      <c r="B34" s="27">
        <v>22600297</v>
      </c>
      <c r="C34" s="27">
        <v>11338</v>
      </c>
      <c r="D34" s="27">
        <f>'- 3 -'!F34</f>
        <v>24189412</v>
      </c>
      <c r="E34" s="27">
        <f>ROUND(D34/'- 7 -'!E34,0)</f>
        <v>11864</v>
      </c>
    </row>
    <row r="35" spans="1:6" ht="14.1" customHeight="1">
      <c r="A35" s="330" t="s">
        <v>259</v>
      </c>
      <c r="B35" s="331">
        <v>158593466</v>
      </c>
      <c r="C35" s="331">
        <v>10060</v>
      </c>
      <c r="D35" s="331">
        <f>'- 3 -'!F35</f>
        <v>163717495</v>
      </c>
      <c r="E35" s="331">
        <f>ROUND(D35/'- 7 -'!E35,0)</f>
        <v>10372</v>
      </c>
    </row>
    <row r="36" spans="1:6" ht="14.1" customHeight="1">
      <c r="A36" s="26" t="s">
        <v>260</v>
      </c>
      <c r="B36" s="44">
        <v>20184974</v>
      </c>
      <c r="C36" s="44">
        <v>12094</v>
      </c>
      <c r="D36" s="27">
        <f>'- 3 -'!F36</f>
        <v>20412796</v>
      </c>
      <c r="E36" s="27">
        <f>ROUND(D36/'- 7 -'!E36,0)</f>
        <v>12375</v>
      </c>
    </row>
    <row r="37" spans="1:6" ht="14.1" customHeight="1">
      <c r="A37" s="330" t="s">
        <v>261</v>
      </c>
      <c r="B37" s="331">
        <v>37160815</v>
      </c>
      <c r="C37" s="331">
        <v>10105</v>
      </c>
      <c r="D37" s="331">
        <f>'- 3 -'!F37</f>
        <v>39170545</v>
      </c>
      <c r="E37" s="331">
        <f>ROUND(D37/'- 7 -'!E37,0)</f>
        <v>10506</v>
      </c>
    </row>
    <row r="38" spans="1:6" ht="14.1" customHeight="1">
      <c r="A38" s="26" t="s">
        <v>262</v>
      </c>
      <c r="B38" s="27">
        <v>101167066</v>
      </c>
      <c r="C38" s="27">
        <v>9960</v>
      </c>
      <c r="D38" s="27">
        <f>'- 3 -'!F38</f>
        <v>108078949</v>
      </c>
      <c r="E38" s="27">
        <f>ROUND(D38/'- 7 -'!E38,0)</f>
        <v>10441</v>
      </c>
    </row>
    <row r="39" spans="1:6" ht="14.1" customHeight="1">
      <c r="A39" s="330" t="s">
        <v>263</v>
      </c>
      <c r="B39" s="331">
        <v>18938961</v>
      </c>
      <c r="C39" s="331">
        <v>11918</v>
      </c>
      <c r="D39" s="331">
        <f>'- 3 -'!F39</f>
        <v>19465890</v>
      </c>
      <c r="E39" s="331">
        <f>ROUND(D39/'- 7 -'!E39,0)</f>
        <v>12274</v>
      </c>
    </row>
    <row r="40" spans="1:6" ht="14.1" customHeight="1">
      <c r="A40" s="26" t="s">
        <v>264</v>
      </c>
      <c r="B40" s="44">
        <v>89895034</v>
      </c>
      <c r="C40" s="44">
        <v>10964</v>
      </c>
      <c r="D40" s="27">
        <f>'- 3 -'!F40</f>
        <v>91867413</v>
      </c>
      <c r="E40" s="27">
        <f>ROUND(D40/'- 7 -'!E40,0)</f>
        <v>11432</v>
      </c>
    </row>
    <row r="41" spans="1:6" ht="14.1" customHeight="1">
      <c r="A41" s="330" t="s">
        <v>265</v>
      </c>
      <c r="B41" s="331">
        <v>53978118</v>
      </c>
      <c r="C41" s="331">
        <v>11870</v>
      </c>
      <c r="D41" s="331">
        <f>'- 3 -'!F41</f>
        <v>56650312</v>
      </c>
      <c r="E41" s="331">
        <f>ROUND(D41/'- 7 -'!E41,0)</f>
        <v>12662</v>
      </c>
    </row>
    <row r="42" spans="1:6" ht="14.1" customHeight="1">
      <c r="A42" s="26" t="s">
        <v>266</v>
      </c>
      <c r="B42" s="27">
        <v>19117727</v>
      </c>
      <c r="C42" s="27">
        <v>13060</v>
      </c>
      <c r="D42" s="27">
        <f>'- 3 -'!F42</f>
        <v>19518074</v>
      </c>
      <c r="E42" s="27">
        <f>ROUND(D42/'- 7 -'!E42,0)</f>
        <v>13661</v>
      </c>
    </row>
    <row r="43" spans="1:6" ht="14.1" customHeight="1">
      <c r="A43" s="330" t="s">
        <v>267</v>
      </c>
      <c r="B43" s="331">
        <v>11055177</v>
      </c>
      <c r="C43" s="331">
        <v>11364</v>
      </c>
      <c r="D43" s="331">
        <f>'- 3 -'!F43</f>
        <v>11390454</v>
      </c>
      <c r="E43" s="331">
        <f>ROUND(D43/'- 7 -'!E43,0)</f>
        <v>11677</v>
      </c>
    </row>
    <row r="44" spans="1:6" ht="14.1" customHeight="1">
      <c r="A44" s="26" t="s">
        <v>268</v>
      </c>
      <c r="B44" s="44">
        <v>9668287</v>
      </c>
      <c r="C44" s="44">
        <v>13513</v>
      </c>
      <c r="D44" s="27">
        <f>'- 3 -'!F44</f>
        <v>9743376</v>
      </c>
      <c r="E44" s="27">
        <f>ROUND(D44/'- 7 -'!E44,0)</f>
        <v>13618</v>
      </c>
    </row>
    <row r="45" spans="1:6" ht="14.1" customHeight="1">
      <c r="A45" s="330" t="s">
        <v>269</v>
      </c>
      <c r="B45" s="331">
        <v>15112854</v>
      </c>
      <c r="C45" s="331">
        <v>9121</v>
      </c>
      <c r="D45" s="331">
        <f>'- 3 -'!F45</f>
        <v>15870388</v>
      </c>
      <c r="E45" s="331">
        <f>ROUND(D45/'- 7 -'!E45,0)</f>
        <v>9857</v>
      </c>
    </row>
    <row r="46" spans="1:6" ht="14.1" customHeight="1">
      <c r="A46" s="26" t="s">
        <v>270</v>
      </c>
      <c r="B46" s="27">
        <v>327487923</v>
      </c>
      <c r="C46" s="27">
        <v>10827</v>
      </c>
      <c r="D46" s="27">
        <f>'- 3 -'!F46</f>
        <v>338440748</v>
      </c>
      <c r="E46" s="27">
        <f>ROUND(D46/'- 7 -'!E46,0)</f>
        <v>11234</v>
      </c>
    </row>
    <row r="47" spans="1:6" ht="5.0999999999999996" customHeight="1">
      <c r="A47"/>
      <c r="B47"/>
      <c r="C47"/>
      <c r="D47"/>
      <c r="E47"/>
      <c r="F47"/>
    </row>
    <row r="48" spans="1:6" ht="14.1" customHeight="1">
      <c r="A48" s="332" t="s">
        <v>271</v>
      </c>
      <c r="B48" s="333">
        <v>1899860396</v>
      </c>
      <c r="C48" s="333">
        <v>11030</v>
      </c>
      <c r="D48" s="333">
        <f>SUM(D11:D46)</f>
        <v>1970121728</v>
      </c>
      <c r="E48" s="333">
        <f>ROUND(D48/'- 7 -'!E48,0)</f>
        <v>11437</v>
      </c>
      <c r="F48" s="324"/>
    </row>
    <row r="49" spans="1:5" ht="5.0999999999999996" customHeight="1">
      <c r="A49" s="28" t="s">
        <v>17</v>
      </c>
      <c r="B49" s="29"/>
      <c r="C49" s="29"/>
      <c r="D49" s="29"/>
      <c r="E49" s="29"/>
    </row>
    <row r="50" spans="1:5" ht="14.1" customHeight="1">
      <c r="A50" s="26" t="s">
        <v>272</v>
      </c>
      <c r="B50" s="44">
        <v>3221415</v>
      </c>
      <c r="C50" s="44">
        <v>17798</v>
      </c>
      <c r="D50" s="27">
        <f>'- 3 -'!F50</f>
        <v>3160209</v>
      </c>
      <c r="E50" s="27">
        <f>ROUND(D50/'- 7 -'!E50,0)</f>
        <v>18923</v>
      </c>
    </row>
    <row r="51" spans="1:5" ht="14.1" customHeight="1">
      <c r="A51" s="330" t="s">
        <v>273</v>
      </c>
      <c r="B51" s="331">
        <v>8655836</v>
      </c>
      <c r="C51" s="331">
        <v>13472</v>
      </c>
      <c r="D51" s="331">
        <f>'- 3 -'!F51</f>
        <v>9557687</v>
      </c>
      <c r="E51" s="331">
        <f>ROUND(D51/'- 7 -'!E51,0)</f>
        <v>13222</v>
      </c>
    </row>
    <row r="52" spans="1:5" ht="50.1" customHeight="1">
      <c r="A52" s="30"/>
      <c r="B52" s="30"/>
      <c r="C52" s="30"/>
      <c r="D52" s="30"/>
      <c r="E52" s="30"/>
    </row>
    <row r="53" spans="1:5" ht="15" customHeight="1">
      <c r="A53" s="31" t="s">
        <v>623</v>
      </c>
      <c r="B53" s="45"/>
      <c r="C53" s="45"/>
      <c r="D53" s="45"/>
      <c r="E53" s="45"/>
    </row>
    <row r="54" spans="1:5" ht="12" customHeight="1">
      <c r="A54" s="31" t="s">
        <v>741</v>
      </c>
      <c r="B54" s="45"/>
      <c r="C54" s="45"/>
      <c r="D54" s="45"/>
      <c r="E54" s="45"/>
    </row>
    <row r="55" spans="1:5" ht="12" customHeight="1">
      <c r="A55" s="31" t="s">
        <v>409</v>
      </c>
      <c r="B55" s="45"/>
      <c r="C55" s="45"/>
      <c r="D55" s="45"/>
      <c r="E55" s="45"/>
    </row>
    <row r="56" spans="1:5">
      <c r="A56" s="31"/>
    </row>
    <row r="60" spans="1:5" s="2" customFormat="1" ht="11.25"/>
    <row r="61" spans="1:5" s="2" customFormat="1" ht="11.25"/>
    <row r="62" spans="1:5" s="2" customFormat="1" ht="11.25"/>
    <row r="63" spans="1:5" s="2" customFormat="1" ht="11.25"/>
    <row r="64" spans="1:5" s="2" customFormat="1" ht="11.25"/>
    <row r="65" s="2" customFormat="1" ht="11.25"/>
    <row r="66" s="2" customFormat="1" ht="11.25"/>
    <row r="67" s="2" customFormat="1" ht="11.25"/>
    <row r="68" s="2" customFormat="1" ht="11.25"/>
  </sheetData>
  <mergeCells count="1">
    <mergeCell ref="B2:D3"/>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40.xml><?xml version="1.0" encoding="utf-8"?>
<worksheet xmlns="http://schemas.openxmlformats.org/spreadsheetml/2006/main" xmlns:r="http://schemas.openxmlformats.org/officeDocument/2006/relationships">
  <sheetPr codeName="Sheet38">
    <pageSetUpPr fitToPage="1"/>
  </sheetPr>
  <dimension ref="A1:I52"/>
  <sheetViews>
    <sheetView showGridLines="0" showZeros="0" workbookViewId="0"/>
  </sheetViews>
  <sheetFormatPr defaultColWidth="15.83203125" defaultRowHeight="12"/>
  <cols>
    <col min="1" max="1" width="35.83203125" style="1" customWidth="1"/>
    <col min="2" max="2" width="15.83203125" style="1"/>
    <col min="3" max="3" width="8.83203125" style="1" customWidth="1"/>
    <col min="4" max="4" width="13.83203125" style="1" customWidth="1"/>
    <col min="5" max="5" width="8.83203125" style="1" customWidth="1"/>
    <col min="6" max="6" width="15.83203125" style="1"/>
    <col min="7" max="7" width="8.83203125" style="1" customWidth="1"/>
    <col min="8" max="8" width="4.83203125" style="1" customWidth="1"/>
    <col min="9" max="9" width="19.83203125" style="1" customWidth="1"/>
    <col min="10" max="16384" width="15.83203125" style="1"/>
  </cols>
  <sheetData>
    <row r="1" spans="1:9" ht="6.95" customHeight="1">
      <c r="A1" s="6"/>
    </row>
    <row r="2" spans="1:9" ht="15.95" customHeight="1">
      <c r="A2" s="242"/>
      <c r="B2" s="233" t="str">
        <f>REVYEAR</f>
        <v>ANALYSIS OF OPERATING FUND REVENUE: 2012/2013 ACTUAL</v>
      </c>
      <c r="C2" s="48"/>
      <c r="D2" s="48"/>
      <c r="E2" s="48"/>
      <c r="F2" s="48"/>
      <c r="G2" s="243"/>
      <c r="H2" s="49"/>
      <c r="I2" s="244" t="s">
        <v>19</v>
      </c>
    </row>
    <row r="3" spans="1:9" ht="15.95" customHeight="1">
      <c r="A3" s="234"/>
    </row>
    <row r="4" spans="1:9" ht="15.95" customHeight="1">
      <c r="B4" s="50"/>
      <c r="C4" s="7"/>
      <c r="D4" s="7"/>
      <c r="E4" s="7"/>
      <c r="F4" s="7"/>
      <c r="G4" s="7"/>
      <c r="H4" s="7"/>
      <c r="I4" s="7"/>
    </row>
    <row r="5" spans="1:9" ht="15.95" customHeight="1">
      <c r="B5" s="7"/>
      <c r="C5" s="7"/>
      <c r="D5" s="7"/>
      <c r="E5" s="7"/>
      <c r="F5" s="7"/>
      <c r="G5" s="7"/>
      <c r="H5" s="7"/>
      <c r="I5" s="7"/>
    </row>
    <row r="6" spans="1:9" ht="15.95" customHeight="1">
      <c r="B6" s="357" t="s">
        <v>114</v>
      </c>
      <c r="C6" s="358"/>
      <c r="D6" s="359"/>
      <c r="E6" s="359"/>
      <c r="F6" s="357" t="s">
        <v>68</v>
      </c>
      <c r="G6" s="358"/>
      <c r="H6" s="7"/>
      <c r="I6" s="416" t="s">
        <v>68</v>
      </c>
    </row>
    <row r="7" spans="1:9" ht="15.95" customHeight="1">
      <c r="B7" s="393" t="s">
        <v>120</v>
      </c>
      <c r="C7" s="394"/>
      <c r="D7" s="436"/>
      <c r="E7" s="436"/>
      <c r="F7" s="393" t="s">
        <v>121</v>
      </c>
      <c r="G7" s="394"/>
      <c r="H7" s="7"/>
      <c r="I7" s="417" t="s">
        <v>122</v>
      </c>
    </row>
    <row r="8" spans="1:9" ht="15.95" customHeight="1">
      <c r="A8" s="75"/>
      <c r="B8" s="345" t="s">
        <v>139</v>
      </c>
      <c r="C8" s="346"/>
      <c r="D8" s="345" t="s">
        <v>58</v>
      </c>
      <c r="E8" s="345"/>
      <c r="F8" s="344" t="s">
        <v>140</v>
      </c>
      <c r="G8" s="346"/>
      <c r="H8" s="7"/>
      <c r="I8" s="347" t="s">
        <v>135</v>
      </c>
    </row>
    <row r="9" spans="1:9" ht="15.95" customHeight="1">
      <c r="A9" s="42" t="s">
        <v>94</v>
      </c>
      <c r="B9" s="193" t="s">
        <v>140</v>
      </c>
      <c r="C9" s="235" t="s">
        <v>96</v>
      </c>
      <c r="D9" s="245" t="s">
        <v>140</v>
      </c>
      <c r="E9" s="245" t="s">
        <v>96</v>
      </c>
      <c r="F9" s="235" t="s">
        <v>140</v>
      </c>
      <c r="G9" s="245" t="s">
        <v>96</v>
      </c>
      <c r="H9" s="7"/>
      <c r="I9" s="245" t="s">
        <v>140</v>
      </c>
    </row>
    <row r="10" spans="1:9" ht="5.0999999999999996" customHeight="1">
      <c r="A10" s="5"/>
      <c r="B10" s="236"/>
      <c r="C10" s="236"/>
      <c r="D10" s="236"/>
      <c r="E10" s="236"/>
      <c r="F10" s="236"/>
      <c r="G10" s="6"/>
      <c r="H10" s="6"/>
      <c r="I10" s="236"/>
    </row>
    <row r="11" spans="1:9" ht="14.1" customHeight="1">
      <c r="A11" s="330" t="s">
        <v>236</v>
      </c>
      <c r="B11" s="331">
        <v>33775</v>
      </c>
      <c r="C11" s="337">
        <f>B11/I11*100</f>
        <v>0.20704838685552013</v>
      </c>
      <c r="D11" s="331">
        <v>91064</v>
      </c>
      <c r="E11" s="337">
        <f>D11/I11*100</f>
        <v>0.55824291045480634</v>
      </c>
      <c r="F11" s="331">
        <f>SUM('- 43 -'!$B11,'- 43 -'!$D11,'- 43 -'!$F11,'- 43 -'!$H11,B11,D11)</f>
        <v>5909524</v>
      </c>
      <c r="G11" s="337">
        <f>F11/I11*100</f>
        <v>36.22671832076923</v>
      </c>
      <c r="I11" s="331">
        <f>SUM('- 42 -'!$H11,F11)</f>
        <v>16312612</v>
      </c>
    </row>
    <row r="12" spans="1:9" ht="14.1" customHeight="1">
      <c r="A12" s="26" t="s">
        <v>237</v>
      </c>
      <c r="B12" s="27">
        <v>215382</v>
      </c>
      <c r="C12" s="79">
        <f t="shared" ref="C12:C46" si="0">B12/I12*100</f>
        <v>0.6901211917562653</v>
      </c>
      <c r="D12" s="27">
        <v>199925</v>
      </c>
      <c r="E12" s="79">
        <f t="shared" ref="E12:E46" si="1">D12/I12*100</f>
        <v>0.64059428950363229</v>
      </c>
      <c r="F12" s="27">
        <f>SUM('- 43 -'!$B12,'- 43 -'!$D12,'- 43 -'!$F12,'- 43 -'!$H12,B12,D12)</f>
        <v>10075744</v>
      </c>
      <c r="G12" s="79">
        <f t="shared" ref="G12:G46" si="2">F12/I12*100</f>
        <v>32.284427004629165</v>
      </c>
      <c r="I12" s="27">
        <f>SUM('- 42 -'!$H12,F12)</f>
        <v>31209301</v>
      </c>
    </row>
    <row r="13" spans="1:9" ht="14.1" customHeight="1">
      <c r="A13" s="330" t="s">
        <v>238</v>
      </c>
      <c r="B13" s="331">
        <v>781230</v>
      </c>
      <c r="C13" s="337">
        <f t="shared" si="0"/>
        <v>0.97673044088946726</v>
      </c>
      <c r="D13" s="331">
        <v>53906</v>
      </c>
      <c r="E13" s="337">
        <f t="shared" si="1"/>
        <v>6.7395813200450086E-2</v>
      </c>
      <c r="F13" s="331">
        <f>SUM('- 43 -'!$B13,'- 43 -'!$D13,'- 43 -'!$F13,'- 43 -'!$H13,B13,D13)</f>
        <v>29847895</v>
      </c>
      <c r="G13" s="337">
        <f t="shared" si="2"/>
        <v>37.317240304356616</v>
      </c>
      <c r="I13" s="331">
        <f>SUM('- 42 -'!$H13,F13)</f>
        <v>79984197</v>
      </c>
    </row>
    <row r="14" spans="1:9" ht="14.1" customHeight="1">
      <c r="A14" s="26" t="s">
        <v>656</v>
      </c>
      <c r="B14" s="27">
        <v>97672</v>
      </c>
      <c r="C14" s="79">
        <f t="shared" si="0"/>
        <v>0.13694809833645188</v>
      </c>
      <c r="D14" s="27">
        <v>89849</v>
      </c>
      <c r="E14" s="79">
        <f t="shared" si="1"/>
        <v>0.12597929485862752</v>
      </c>
      <c r="F14" s="27">
        <f>SUM('- 43 -'!$B14,'- 43 -'!$D14,'- 43 -'!$F14,'- 43 -'!$H14,B14,D14)</f>
        <v>17355510</v>
      </c>
      <c r="G14" s="79">
        <f t="shared" si="2"/>
        <v>24.334549207134838</v>
      </c>
      <c r="I14" s="27">
        <f>SUM('- 42 -'!$H14,F14)</f>
        <v>71320450</v>
      </c>
    </row>
    <row r="15" spans="1:9" ht="14.1" customHeight="1">
      <c r="A15" s="330" t="s">
        <v>239</v>
      </c>
      <c r="B15" s="331">
        <v>148890</v>
      </c>
      <c r="C15" s="337">
        <f t="shared" si="0"/>
        <v>0.76048451173615206</v>
      </c>
      <c r="D15" s="331">
        <v>11382</v>
      </c>
      <c r="E15" s="337">
        <f t="shared" si="1"/>
        <v>5.8135769444427984E-2</v>
      </c>
      <c r="F15" s="331">
        <f>SUM('- 43 -'!$B15,'- 43 -'!$D15,'- 43 -'!$F15,'- 43 -'!$H15,B15,D15)</f>
        <v>6833291</v>
      </c>
      <c r="G15" s="337">
        <f t="shared" si="2"/>
        <v>34.902357241494002</v>
      </c>
      <c r="I15" s="331">
        <f>SUM('- 42 -'!$H15,F15)</f>
        <v>19578308</v>
      </c>
    </row>
    <row r="16" spans="1:9" ht="14.1" customHeight="1">
      <c r="A16" s="26" t="s">
        <v>240</v>
      </c>
      <c r="B16" s="27">
        <v>185670</v>
      </c>
      <c r="C16" s="79">
        <f t="shared" si="0"/>
        <v>1.4106138301238647</v>
      </c>
      <c r="D16" s="27">
        <v>28772</v>
      </c>
      <c r="E16" s="79">
        <f t="shared" si="1"/>
        <v>0.21859310131051773</v>
      </c>
      <c r="F16" s="27">
        <f>SUM('- 43 -'!$B16,'- 43 -'!$D16,'- 43 -'!$F16,'- 43 -'!$H16,B16,D16)</f>
        <v>3365184</v>
      </c>
      <c r="G16" s="79">
        <f t="shared" si="2"/>
        <v>25.566731789258078</v>
      </c>
      <c r="I16" s="27">
        <f>SUM('- 42 -'!$H16,F16)</f>
        <v>13162355</v>
      </c>
    </row>
    <row r="17" spans="1:9" ht="14.1" customHeight="1">
      <c r="A17" s="330" t="s">
        <v>241</v>
      </c>
      <c r="B17" s="331">
        <v>0</v>
      </c>
      <c r="C17" s="337">
        <f t="shared" si="0"/>
        <v>0</v>
      </c>
      <c r="D17" s="331">
        <v>41077</v>
      </c>
      <c r="E17" s="337">
        <f t="shared" si="1"/>
        <v>0.24070092916875468</v>
      </c>
      <c r="F17" s="331">
        <f>SUM('- 43 -'!$B17,'- 43 -'!$D17,'- 43 -'!$F17,'- 43 -'!$H17,B17,D17)</f>
        <v>7179305</v>
      </c>
      <c r="G17" s="337">
        <f t="shared" si="2"/>
        <v>42.068928701849849</v>
      </c>
      <c r="I17" s="331">
        <f>SUM('- 42 -'!$H17,F17)</f>
        <v>17065576</v>
      </c>
    </row>
    <row r="18" spans="1:9" ht="14.1" customHeight="1">
      <c r="A18" s="26" t="s">
        <v>242</v>
      </c>
      <c r="B18" s="27">
        <v>4466236</v>
      </c>
      <c r="C18" s="79">
        <f t="shared" si="0"/>
        <v>3.7865982277604959</v>
      </c>
      <c r="D18" s="27">
        <v>1226037</v>
      </c>
      <c r="E18" s="79">
        <f t="shared" si="1"/>
        <v>1.0394680288656477</v>
      </c>
      <c r="F18" s="27">
        <f>SUM('- 43 -'!$B18,'- 43 -'!$D18,'- 43 -'!$F18,'- 43 -'!$H18,B18,D18)</f>
        <v>70139052</v>
      </c>
      <c r="G18" s="79">
        <f t="shared" si="2"/>
        <v>59.465825361669488</v>
      </c>
      <c r="I18" s="27">
        <f>SUM('- 42 -'!$H18,F18)</f>
        <v>117948505</v>
      </c>
    </row>
    <row r="19" spans="1:9" ht="14.1" customHeight="1">
      <c r="A19" s="330" t="s">
        <v>243</v>
      </c>
      <c r="B19" s="331">
        <v>1760</v>
      </c>
      <c r="C19" s="337">
        <f t="shared" si="0"/>
        <v>4.2256169238646833E-3</v>
      </c>
      <c r="D19" s="331">
        <v>445998</v>
      </c>
      <c r="E19" s="337">
        <f t="shared" si="1"/>
        <v>1.0708049413692051</v>
      </c>
      <c r="F19" s="331">
        <f>SUM('- 43 -'!$B19,'- 43 -'!$D19,'- 43 -'!$F19,'- 43 -'!$H19,B19,D19)</f>
        <v>12685300</v>
      </c>
      <c r="G19" s="337">
        <f t="shared" si="2"/>
        <v>30.456374070625376</v>
      </c>
      <c r="I19" s="331">
        <f>SUM('- 42 -'!$H19,F19)</f>
        <v>41650723</v>
      </c>
    </row>
    <row r="20" spans="1:9" ht="14.1" customHeight="1">
      <c r="A20" s="26" t="s">
        <v>244</v>
      </c>
      <c r="B20" s="27">
        <v>359379</v>
      </c>
      <c r="C20" s="79">
        <f t="shared" si="0"/>
        <v>0.50890443635115434</v>
      </c>
      <c r="D20" s="27">
        <v>83419</v>
      </c>
      <c r="E20" s="79">
        <f t="shared" si="1"/>
        <v>0.11812682203461233</v>
      </c>
      <c r="F20" s="27">
        <f>SUM('- 43 -'!$B20,'- 43 -'!$D20,'- 43 -'!$F20,'- 43 -'!$H20,B20,D20)</f>
        <v>19819369</v>
      </c>
      <c r="G20" s="79">
        <f t="shared" si="2"/>
        <v>28.065537523841243</v>
      </c>
      <c r="I20" s="27">
        <f>SUM('- 42 -'!$H20,F20)</f>
        <v>70618170</v>
      </c>
    </row>
    <row r="21" spans="1:9" ht="14.1" customHeight="1">
      <c r="A21" s="330" t="s">
        <v>245</v>
      </c>
      <c r="B21" s="331">
        <v>311151</v>
      </c>
      <c r="C21" s="337">
        <f t="shared" si="0"/>
        <v>0.93696401027859622</v>
      </c>
      <c r="D21" s="331">
        <v>105227</v>
      </c>
      <c r="E21" s="337">
        <f t="shared" si="1"/>
        <v>0.31686837551409391</v>
      </c>
      <c r="F21" s="331">
        <f>SUM('- 43 -'!$B21,'- 43 -'!$D21,'- 43 -'!$F21,'- 43 -'!$H21,B21,D21)</f>
        <v>10574378</v>
      </c>
      <c r="G21" s="337">
        <f t="shared" si="2"/>
        <v>31.842454683037367</v>
      </c>
      <c r="I21" s="331">
        <f>SUM('- 42 -'!$H21,F21)</f>
        <v>33208426</v>
      </c>
    </row>
    <row r="22" spans="1:9" ht="14.1" customHeight="1">
      <c r="A22" s="26" t="s">
        <v>246</v>
      </c>
      <c r="B22" s="27">
        <v>54972</v>
      </c>
      <c r="C22" s="79">
        <f t="shared" si="0"/>
        <v>0.28847281582412876</v>
      </c>
      <c r="D22" s="27">
        <v>106439</v>
      </c>
      <c r="E22" s="79">
        <f t="shared" si="1"/>
        <v>0.55855268215645126</v>
      </c>
      <c r="F22" s="27">
        <f>SUM('- 43 -'!$B22,'- 43 -'!$D22,'- 43 -'!$F22,'- 43 -'!$H22,B22,D22)</f>
        <v>3238761</v>
      </c>
      <c r="G22" s="79">
        <f t="shared" si="2"/>
        <v>16.995825246514062</v>
      </c>
      <c r="I22" s="27">
        <f>SUM('- 42 -'!$H22,F22)</f>
        <v>19056215</v>
      </c>
    </row>
    <row r="23" spans="1:9" ht="14.1" customHeight="1">
      <c r="A23" s="330" t="s">
        <v>247</v>
      </c>
      <c r="B23" s="331">
        <v>155150</v>
      </c>
      <c r="C23" s="337">
        <f t="shared" si="0"/>
        <v>0.96800643582338819</v>
      </c>
      <c r="D23" s="331">
        <v>227427</v>
      </c>
      <c r="E23" s="337">
        <f t="shared" si="1"/>
        <v>1.4189545580406426</v>
      </c>
      <c r="F23" s="331">
        <f>SUM('- 43 -'!$B23,'- 43 -'!$D23,'- 43 -'!$F23,'- 43 -'!$H23,B23,D23)</f>
        <v>4371393</v>
      </c>
      <c r="G23" s="337">
        <f t="shared" si="2"/>
        <v>27.273841814458965</v>
      </c>
      <c r="I23" s="331">
        <f>SUM('- 42 -'!$H23,F23)</f>
        <v>16027786</v>
      </c>
    </row>
    <row r="24" spans="1:9" ht="14.1" customHeight="1">
      <c r="A24" s="26" t="s">
        <v>248</v>
      </c>
      <c r="B24" s="27">
        <v>566977</v>
      </c>
      <c r="C24" s="79">
        <f t="shared" si="0"/>
        <v>1.0801261508977633</v>
      </c>
      <c r="D24" s="27">
        <v>202672</v>
      </c>
      <c r="E24" s="79">
        <f t="shared" si="1"/>
        <v>0.38610265893458018</v>
      </c>
      <c r="F24" s="27">
        <f>SUM('- 43 -'!$B24,'- 43 -'!$D24,'- 43 -'!$F24,'- 43 -'!$H24,B24,D24)</f>
        <v>18704817</v>
      </c>
      <c r="G24" s="79">
        <f t="shared" si="2"/>
        <v>35.633829925124026</v>
      </c>
      <c r="I24" s="27">
        <f>SUM('- 42 -'!$H24,F24)</f>
        <v>52491739</v>
      </c>
    </row>
    <row r="25" spans="1:9" ht="14.1" customHeight="1">
      <c r="A25" s="330" t="s">
        <v>249</v>
      </c>
      <c r="B25" s="331">
        <v>2742831</v>
      </c>
      <c r="C25" s="337">
        <f t="shared" si="0"/>
        <v>1.7785911455538241</v>
      </c>
      <c r="D25" s="331">
        <v>309896</v>
      </c>
      <c r="E25" s="337">
        <f t="shared" si="1"/>
        <v>0.20095233050907907</v>
      </c>
      <c r="F25" s="331">
        <f>SUM('- 43 -'!$B25,'- 43 -'!$D25,'- 43 -'!$F25,'- 43 -'!$H25,B25,D25)</f>
        <v>51197716</v>
      </c>
      <c r="G25" s="337">
        <f t="shared" si="2"/>
        <v>33.199203432577271</v>
      </c>
      <c r="I25" s="331">
        <f>SUM('- 42 -'!$H25,F25)</f>
        <v>154213688</v>
      </c>
    </row>
    <row r="26" spans="1:9" ht="14.1" customHeight="1">
      <c r="A26" s="26" t="s">
        <v>250</v>
      </c>
      <c r="B26" s="27">
        <v>608226</v>
      </c>
      <c r="C26" s="79">
        <f t="shared" si="0"/>
        <v>1.6179081852147441</v>
      </c>
      <c r="D26" s="27">
        <v>132246</v>
      </c>
      <c r="E26" s="79">
        <f t="shared" si="1"/>
        <v>0.35178023606670722</v>
      </c>
      <c r="F26" s="27">
        <f>SUM('- 43 -'!$B26,'- 43 -'!$D26,'- 43 -'!$F26,'- 43 -'!$H26,B26,D26)</f>
        <v>11585481</v>
      </c>
      <c r="G26" s="79">
        <f t="shared" si="2"/>
        <v>30.81789423594174</v>
      </c>
      <c r="I26" s="27">
        <f>SUM('- 42 -'!$H26,F26)</f>
        <v>37593357</v>
      </c>
    </row>
    <row r="27" spans="1:9" ht="14.1" customHeight="1">
      <c r="A27" s="330" t="s">
        <v>251</v>
      </c>
      <c r="B27" s="331">
        <v>371506</v>
      </c>
      <c r="C27" s="337">
        <f t="shared" si="0"/>
        <v>0.95473140280081548</v>
      </c>
      <c r="D27" s="331">
        <v>174641</v>
      </c>
      <c r="E27" s="337">
        <f t="shared" si="1"/>
        <v>0.44880902843167325</v>
      </c>
      <c r="F27" s="331">
        <f>SUM('- 43 -'!$B27,'- 43 -'!$D27,'- 43 -'!$F27,'- 43 -'!$H27,B27,D27)</f>
        <v>8630232</v>
      </c>
      <c r="G27" s="337">
        <f t="shared" si="2"/>
        <v>22.178789854959238</v>
      </c>
      <c r="I27" s="331">
        <f>SUM('- 42 -'!$H27,F27)</f>
        <v>38912096</v>
      </c>
    </row>
    <row r="28" spans="1:9" ht="14.1" customHeight="1">
      <c r="A28" s="26" t="s">
        <v>252</v>
      </c>
      <c r="B28" s="27">
        <v>21400</v>
      </c>
      <c r="C28" s="79">
        <f t="shared" si="0"/>
        <v>8.1040060563433672E-2</v>
      </c>
      <c r="D28" s="27">
        <v>24612</v>
      </c>
      <c r="E28" s="79">
        <f t="shared" si="1"/>
        <v>9.3203643485384555E-2</v>
      </c>
      <c r="F28" s="27">
        <f>SUM('- 43 -'!$B28,'- 43 -'!$D28,'- 43 -'!$F28,'- 43 -'!$H28,B28,D28)</f>
        <v>12823004</v>
      </c>
      <c r="G28" s="79">
        <f t="shared" si="2"/>
        <v>48.559673867530478</v>
      </c>
      <c r="I28" s="27">
        <f>SUM('- 42 -'!$H28,F28)</f>
        <v>26406693</v>
      </c>
    </row>
    <row r="29" spans="1:9" ht="14.1" customHeight="1">
      <c r="A29" s="330" t="s">
        <v>253</v>
      </c>
      <c r="B29" s="331">
        <v>2631969</v>
      </c>
      <c r="C29" s="337">
        <f t="shared" si="0"/>
        <v>1.8714243916549447</v>
      </c>
      <c r="D29" s="331">
        <v>564724</v>
      </c>
      <c r="E29" s="337">
        <f t="shared" si="1"/>
        <v>0.40153902578371808</v>
      </c>
      <c r="F29" s="331">
        <f>SUM('- 43 -'!$B29,'- 43 -'!$D29,'- 43 -'!$F29,'- 43 -'!$H29,B29,D29)</f>
        <v>58822707</v>
      </c>
      <c r="G29" s="337">
        <f t="shared" si="2"/>
        <v>41.825055182250267</v>
      </c>
      <c r="I29" s="331">
        <f>SUM('- 42 -'!$H29,F29)</f>
        <v>140639879</v>
      </c>
    </row>
    <row r="30" spans="1:9" ht="14.1" customHeight="1">
      <c r="A30" s="26" t="s">
        <v>254</v>
      </c>
      <c r="B30" s="27">
        <v>11294</v>
      </c>
      <c r="C30" s="79">
        <f t="shared" si="0"/>
        <v>8.332468903010623E-2</v>
      </c>
      <c r="D30" s="27">
        <v>55753</v>
      </c>
      <c r="E30" s="79">
        <f t="shared" si="1"/>
        <v>0.4113335742425635</v>
      </c>
      <c r="F30" s="27">
        <f>SUM('- 43 -'!$B30,'- 43 -'!$D30,'- 43 -'!$F30,'- 43 -'!$H30,B30,D30)</f>
        <v>4461497</v>
      </c>
      <c r="G30" s="79">
        <f t="shared" si="2"/>
        <v>32.915959813507335</v>
      </c>
      <c r="I30" s="27">
        <f>SUM('- 42 -'!$H30,F30)</f>
        <v>13554206</v>
      </c>
    </row>
    <row r="31" spans="1:9" ht="14.1" customHeight="1">
      <c r="A31" s="330" t="s">
        <v>255</v>
      </c>
      <c r="B31" s="331">
        <v>56350</v>
      </c>
      <c r="C31" s="337">
        <f t="shared" si="0"/>
        <v>0.16918395477987608</v>
      </c>
      <c r="D31" s="331">
        <v>124845</v>
      </c>
      <c r="E31" s="337">
        <f t="shared" si="1"/>
        <v>0.3748317805588931</v>
      </c>
      <c r="F31" s="331">
        <f>SUM('- 43 -'!$B31,'- 43 -'!$D31,'- 43 -'!$F31,'- 43 -'!$H31,B31,D31)</f>
        <v>11756247</v>
      </c>
      <c r="G31" s="337">
        <f t="shared" si="2"/>
        <v>35.296687858545759</v>
      </c>
      <c r="I31" s="331">
        <f>SUM('- 42 -'!$H31,F31)</f>
        <v>33306941</v>
      </c>
    </row>
    <row r="32" spans="1:9" ht="14.1" customHeight="1">
      <c r="A32" s="26" t="s">
        <v>256</v>
      </c>
      <c r="B32" s="27">
        <v>18090</v>
      </c>
      <c r="C32" s="79">
        <f t="shared" si="0"/>
        <v>7.1203033304323385E-2</v>
      </c>
      <c r="D32" s="27">
        <v>100097</v>
      </c>
      <c r="E32" s="79">
        <f t="shared" si="1"/>
        <v>0.39398618157340282</v>
      </c>
      <c r="F32" s="27">
        <f>SUM('- 43 -'!$B32,'- 43 -'!$D32,'- 43 -'!$F32,'- 43 -'!$H32,B32,D32)</f>
        <v>8917457</v>
      </c>
      <c r="G32" s="79">
        <f t="shared" si="2"/>
        <v>35.099501810993452</v>
      </c>
      <c r="I32" s="27">
        <f>SUM('- 42 -'!$H32,F32)</f>
        <v>25406221</v>
      </c>
    </row>
    <row r="33" spans="1:9" ht="14.1" customHeight="1">
      <c r="A33" s="330" t="s">
        <v>257</v>
      </c>
      <c r="B33" s="331">
        <v>50656</v>
      </c>
      <c r="C33" s="337">
        <f t="shared" si="0"/>
        <v>0.18938324044310206</v>
      </c>
      <c r="D33" s="331">
        <v>101875</v>
      </c>
      <c r="E33" s="337">
        <f t="shared" si="1"/>
        <v>0.38087132067555712</v>
      </c>
      <c r="F33" s="331">
        <f>SUM('- 43 -'!$B33,'- 43 -'!$D33,'- 43 -'!$F33,'- 43 -'!$H33,B33,D33)</f>
        <v>9471961</v>
      </c>
      <c r="G33" s="337">
        <f t="shared" si="2"/>
        <v>35.412007808170507</v>
      </c>
      <c r="I33" s="331">
        <f>SUM('- 42 -'!$H33,F33)</f>
        <v>26747879</v>
      </c>
    </row>
    <row r="34" spans="1:9" ht="14.1" customHeight="1">
      <c r="A34" s="26" t="s">
        <v>258</v>
      </c>
      <c r="B34" s="27">
        <v>182934</v>
      </c>
      <c r="C34" s="79">
        <f t="shared" si="0"/>
        <v>0.74020929422447468</v>
      </c>
      <c r="D34" s="27">
        <v>96811</v>
      </c>
      <c r="E34" s="79">
        <f t="shared" si="1"/>
        <v>0.3917281750968416</v>
      </c>
      <c r="F34" s="27">
        <f>SUM('- 43 -'!$B34,'- 43 -'!$D34,'- 43 -'!$F34,'- 43 -'!$H34,B34,D34)</f>
        <v>9463884</v>
      </c>
      <c r="G34" s="79">
        <f t="shared" si="2"/>
        <v>38.293892312321923</v>
      </c>
      <c r="I34" s="27">
        <f>SUM('- 42 -'!$H34,F34)</f>
        <v>24713821</v>
      </c>
    </row>
    <row r="35" spans="1:9" ht="14.1" customHeight="1">
      <c r="A35" s="330" t="s">
        <v>259</v>
      </c>
      <c r="B35" s="331">
        <v>3058819</v>
      </c>
      <c r="C35" s="337">
        <f t="shared" si="0"/>
        <v>1.775877953934704</v>
      </c>
      <c r="D35" s="331">
        <v>303878</v>
      </c>
      <c r="E35" s="337">
        <f t="shared" si="1"/>
        <v>0.17642437845644676</v>
      </c>
      <c r="F35" s="331">
        <f>SUM('- 43 -'!$B35,'- 43 -'!$D35,'- 43 -'!$F35,'- 43 -'!$H35,B35,D35)</f>
        <v>52125938</v>
      </c>
      <c r="G35" s="337">
        <f t="shared" si="2"/>
        <v>30.263086544959748</v>
      </c>
      <c r="I35" s="331">
        <f>SUM('- 42 -'!$H35,F35)</f>
        <v>172242636</v>
      </c>
    </row>
    <row r="36" spans="1:9" ht="14.1" customHeight="1">
      <c r="A36" s="26" t="s">
        <v>260</v>
      </c>
      <c r="B36" s="27">
        <v>60298</v>
      </c>
      <c r="C36" s="79">
        <f t="shared" si="0"/>
        <v>0.27635174630306558</v>
      </c>
      <c r="D36" s="27">
        <v>76614</v>
      </c>
      <c r="E36" s="79">
        <f t="shared" si="1"/>
        <v>0.35112960116858044</v>
      </c>
      <c r="F36" s="27">
        <f>SUM('- 43 -'!$B36,'- 43 -'!$D36,'- 43 -'!$F36,'- 43 -'!$H36,B36,D36)</f>
        <v>8357171</v>
      </c>
      <c r="G36" s="79">
        <f t="shared" si="2"/>
        <v>38.30174798506313</v>
      </c>
      <c r="I36" s="27">
        <f>SUM('- 42 -'!$H36,F36)</f>
        <v>21819294</v>
      </c>
    </row>
    <row r="37" spans="1:9" ht="14.1" customHeight="1">
      <c r="A37" s="330" t="s">
        <v>261</v>
      </c>
      <c r="B37" s="331">
        <v>38109</v>
      </c>
      <c r="C37" s="337">
        <f t="shared" si="0"/>
        <v>9.2700965934870108E-2</v>
      </c>
      <c r="D37" s="331">
        <v>63407</v>
      </c>
      <c r="E37" s="337">
        <f t="shared" si="1"/>
        <v>0.15423889755785533</v>
      </c>
      <c r="F37" s="331">
        <f>SUM('- 43 -'!$B37,'- 43 -'!$D37,'- 43 -'!$F37,'- 43 -'!$H37,B37,D37)</f>
        <v>10803752</v>
      </c>
      <c r="G37" s="337">
        <f t="shared" si="2"/>
        <v>26.280360180555373</v>
      </c>
      <c r="I37" s="331">
        <f>SUM('- 42 -'!$H37,F37)</f>
        <v>41109604</v>
      </c>
    </row>
    <row r="38" spans="1:9" ht="14.1" customHeight="1">
      <c r="A38" s="26" t="s">
        <v>262</v>
      </c>
      <c r="B38" s="27">
        <v>1038797</v>
      </c>
      <c r="C38" s="79">
        <f t="shared" si="0"/>
        <v>0.90614640849037564</v>
      </c>
      <c r="D38" s="27">
        <v>150090</v>
      </c>
      <c r="E38" s="79">
        <f t="shared" si="1"/>
        <v>0.13092405392999834</v>
      </c>
      <c r="F38" s="27">
        <f>SUM('- 43 -'!$B38,'- 43 -'!$D38,'- 43 -'!$F38,'- 43 -'!$H38,B38,D38)</f>
        <v>32689734</v>
      </c>
      <c r="G38" s="79">
        <f t="shared" si="2"/>
        <v>28.515374090034644</v>
      </c>
      <c r="I38" s="27">
        <f>SUM('- 42 -'!$H38,F38)</f>
        <v>114638980</v>
      </c>
    </row>
    <row r="39" spans="1:9" ht="14.1" customHeight="1">
      <c r="A39" s="330" t="s">
        <v>263</v>
      </c>
      <c r="B39" s="331">
        <v>2730</v>
      </c>
      <c r="C39" s="337">
        <f t="shared" si="0"/>
        <v>1.3215317802252956E-2</v>
      </c>
      <c r="D39" s="331">
        <v>108894</v>
      </c>
      <c r="E39" s="337">
        <f t="shared" si="1"/>
        <v>0.52713143471008539</v>
      </c>
      <c r="F39" s="331">
        <f>SUM('- 43 -'!$B39,'- 43 -'!$D39,'- 43 -'!$F39,'- 43 -'!$H39,B39,D39)</f>
        <v>8595224</v>
      </c>
      <c r="G39" s="337">
        <f t="shared" si="2"/>
        <v>41.607551919982363</v>
      </c>
      <c r="I39" s="331">
        <f>SUM('- 42 -'!$H39,F39)</f>
        <v>20657846</v>
      </c>
    </row>
    <row r="40" spans="1:9" ht="14.1" customHeight="1">
      <c r="A40" s="26" t="s">
        <v>264</v>
      </c>
      <c r="B40" s="27">
        <v>2531284</v>
      </c>
      <c r="C40" s="79">
        <f t="shared" si="0"/>
        <v>2.6291165556857687</v>
      </c>
      <c r="D40" s="27">
        <v>1167247</v>
      </c>
      <c r="E40" s="79">
        <f t="shared" si="1"/>
        <v>1.2123603721567973</v>
      </c>
      <c r="F40" s="27">
        <f>SUM('- 43 -'!$B40,'- 43 -'!$D40,'- 43 -'!$F40,'- 43 -'!$H40,B40,D40)</f>
        <v>39105614</v>
      </c>
      <c r="G40" s="79">
        <f t="shared" si="2"/>
        <v>40.617021712165517</v>
      </c>
      <c r="I40" s="27">
        <f>SUM('- 42 -'!$H40,F40)</f>
        <v>96278881</v>
      </c>
    </row>
    <row r="41" spans="1:9" ht="14.1" customHeight="1">
      <c r="A41" s="330" t="s">
        <v>265</v>
      </c>
      <c r="B41" s="331">
        <v>104300</v>
      </c>
      <c r="C41" s="337">
        <f t="shared" si="0"/>
        <v>0.17503295964607563</v>
      </c>
      <c r="D41" s="331">
        <v>312041</v>
      </c>
      <c r="E41" s="337">
        <f t="shared" si="1"/>
        <v>0.52365733231947353</v>
      </c>
      <c r="F41" s="331">
        <f>SUM('- 43 -'!$B41,'- 43 -'!$D41,'- 43 -'!$F41,'- 43 -'!$H41,B41,D41)</f>
        <v>22099490</v>
      </c>
      <c r="G41" s="337">
        <f t="shared" si="2"/>
        <v>37.086664826163492</v>
      </c>
      <c r="I41" s="331">
        <f>SUM('- 42 -'!$H41,F41)</f>
        <v>59588777</v>
      </c>
    </row>
    <row r="42" spans="1:9" ht="14.1" customHeight="1">
      <c r="A42" s="26" t="s">
        <v>266</v>
      </c>
      <c r="B42" s="27">
        <v>229726</v>
      </c>
      <c r="C42" s="79">
        <f t="shared" si="0"/>
        <v>1.1152120031969999</v>
      </c>
      <c r="D42" s="27">
        <v>126030</v>
      </c>
      <c r="E42" s="79">
        <f t="shared" si="1"/>
        <v>0.61181654998963075</v>
      </c>
      <c r="F42" s="27">
        <f>SUM('- 43 -'!$B42,'- 43 -'!$D42,'- 43 -'!$F42,'- 43 -'!$H42,B42,D42)</f>
        <v>5540260</v>
      </c>
      <c r="G42" s="79">
        <f t="shared" si="2"/>
        <v>26.895364272360162</v>
      </c>
      <c r="I42" s="27">
        <f>SUM('- 42 -'!$H42,F42)</f>
        <v>20599312</v>
      </c>
    </row>
    <row r="43" spans="1:9" ht="14.1" customHeight="1">
      <c r="A43" s="330" t="s">
        <v>267</v>
      </c>
      <c r="B43" s="331">
        <v>38821</v>
      </c>
      <c r="C43" s="337">
        <f t="shared" si="0"/>
        <v>0.32031764922935968</v>
      </c>
      <c r="D43" s="331">
        <v>42620</v>
      </c>
      <c r="E43" s="337">
        <f t="shared" si="1"/>
        <v>0.35166374411157131</v>
      </c>
      <c r="F43" s="331">
        <f>SUM('- 43 -'!$B43,'- 43 -'!$D43,'- 43 -'!$F43,'- 43 -'!$H43,B43,D43)</f>
        <v>4428720</v>
      </c>
      <c r="G43" s="337">
        <f t="shared" si="2"/>
        <v>36.542005087325151</v>
      </c>
      <c r="I43" s="331">
        <f>SUM('- 42 -'!$H43,F43)</f>
        <v>12119532</v>
      </c>
    </row>
    <row r="44" spans="1:9" ht="14.1" customHeight="1">
      <c r="A44" s="26" t="s">
        <v>268</v>
      </c>
      <c r="B44" s="27">
        <v>8157</v>
      </c>
      <c r="C44" s="79">
        <f t="shared" si="0"/>
        <v>7.7293607495537403E-2</v>
      </c>
      <c r="D44" s="27">
        <v>11097</v>
      </c>
      <c r="E44" s="79">
        <f t="shared" si="1"/>
        <v>0.10515228176755896</v>
      </c>
      <c r="F44" s="27">
        <f>SUM('- 43 -'!$B44,'- 43 -'!$D44,'- 43 -'!$F44,'- 43 -'!$H44,B44,D44)</f>
        <v>2010548</v>
      </c>
      <c r="G44" s="79">
        <f t="shared" si="2"/>
        <v>19.051429197368851</v>
      </c>
      <c r="I44" s="27">
        <f>SUM('- 42 -'!$H44,F44)</f>
        <v>10553266</v>
      </c>
    </row>
    <row r="45" spans="1:9" ht="14.1" customHeight="1">
      <c r="A45" s="330" t="s">
        <v>269</v>
      </c>
      <c r="B45" s="331">
        <v>301579</v>
      </c>
      <c r="C45" s="337">
        <f t="shared" si="0"/>
        <v>1.7591700059294457</v>
      </c>
      <c r="D45" s="331">
        <v>13594</v>
      </c>
      <c r="E45" s="337">
        <f t="shared" si="1"/>
        <v>7.9296492993891771E-2</v>
      </c>
      <c r="F45" s="331">
        <f>SUM('- 43 -'!$B45,'- 43 -'!$D45,'- 43 -'!$F45,'- 43 -'!$H45,B45,D45)</f>
        <v>5640944</v>
      </c>
      <c r="G45" s="337">
        <f t="shared" si="2"/>
        <v>32.904743002422819</v>
      </c>
      <c r="I45" s="331">
        <f>SUM('- 42 -'!$H45,F45)</f>
        <v>17143255</v>
      </c>
    </row>
    <row r="46" spans="1:9" ht="14.1" customHeight="1">
      <c r="A46" s="26" t="s">
        <v>270</v>
      </c>
      <c r="B46" s="27">
        <v>703500</v>
      </c>
      <c r="C46" s="79">
        <f t="shared" si="0"/>
        <v>0.19587903259380324</v>
      </c>
      <c r="D46" s="27">
        <v>874819</v>
      </c>
      <c r="E46" s="79">
        <f t="shared" si="1"/>
        <v>0.24358024081688467</v>
      </c>
      <c r="F46" s="27">
        <f>SUM('- 43 -'!$B46,'- 43 -'!$D46,'- 43 -'!$F46,'- 43 -'!$H46,B46,D46)</f>
        <v>126167386</v>
      </c>
      <c r="G46" s="79">
        <f t="shared" si="2"/>
        <v>35.129417931157008</v>
      </c>
      <c r="I46" s="27">
        <f>SUM('- 42 -'!$H46,F46)</f>
        <v>359150232</v>
      </c>
    </row>
    <row r="47" spans="1:9" ht="5.0999999999999996" customHeight="1">
      <c r="A47" s="28"/>
      <c r="B47" s="29"/>
      <c r="C47"/>
      <c r="D47" s="29"/>
      <c r="E47"/>
      <c r="F47" s="29"/>
      <c r="G47"/>
      <c r="I47" s="29"/>
    </row>
    <row r="48" spans="1:9" ht="14.1" customHeight="1">
      <c r="A48" s="332" t="s">
        <v>271</v>
      </c>
      <c r="B48" s="333">
        <f>SUM(B11:B46)</f>
        <v>22189620</v>
      </c>
      <c r="C48" s="340">
        <f>B48/I48*100</f>
        <v>1.073502167463392</v>
      </c>
      <c r="D48" s="333">
        <f>SUM(D11:D46)</f>
        <v>7849025</v>
      </c>
      <c r="E48" s="340">
        <f>D48/I48*100</f>
        <v>0.37972463476050289</v>
      </c>
      <c r="F48" s="333">
        <f>SUM(F11:F46)</f>
        <v>724794490</v>
      </c>
      <c r="G48" s="340">
        <f>F48/I48*100</f>
        <v>35.064523681817164</v>
      </c>
      <c r="I48" s="333">
        <f>SUM(I11:I46)</f>
        <v>2067030759</v>
      </c>
    </row>
    <row r="49" spans="1:9" ht="5.0999999999999996" customHeight="1">
      <c r="A49" s="28" t="s">
        <v>17</v>
      </c>
      <c r="B49" s="29"/>
      <c r="C49"/>
      <c r="D49" s="29"/>
      <c r="E49"/>
      <c r="F49" s="29"/>
      <c r="G49"/>
      <c r="I49" s="29"/>
    </row>
    <row r="50" spans="1:9" ht="14.1" customHeight="1">
      <c r="A50" s="26" t="s">
        <v>272</v>
      </c>
      <c r="B50" s="27">
        <v>0</v>
      </c>
      <c r="C50" s="79">
        <f>B50/I50*100</f>
        <v>0</v>
      </c>
      <c r="D50" s="27">
        <v>16747</v>
      </c>
      <c r="E50" s="79">
        <f>D50/I50*100</f>
        <v>0.49060161168796013</v>
      </c>
      <c r="F50" s="27">
        <f>SUM('- 43 -'!$B50,'- 43 -'!$D50,'- 43 -'!$F50,'- 43 -'!$H50,B50,D50)</f>
        <v>1888281</v>
      </c>
      <c r="G50" s="79">
        <f>F50/I50*100</f>
        <v>55.316994203126114</v>
      </c>
      <c r="I50" s="27">
        <f>SUM('- 42 -'!$H50,F50)</f>
        <v>3413564</v>
      </c>
    </row>
    <row r="51" spans="1:9" ht="14.1" customHeight="1">
      <c r="A51" s="330" t="s">
        <v>273</v>
      </c>
      <c r="B51" s="331">
        <v>6173275</v>
      </c>
      <c r="C51" s="337">
        <f>B51/I51*100</f>
        <v>31.111580925060867</v>
      </c>
      <c r="D51" s="331">
        <v>195188</v>
      </c>
      <c r="E51" s="337">
        <f>D51/I51*100</f>
        <v>0.98369297619185603</v>
      </c>
      <c r="F51" s="331">
        <f>SUM('- 43 -'!$B51,'- 43 -'!$D51,'- 43 -'!$F51,'- 43 -'!$H51,B51,D51)</f>
        <v>7864153</v>
      </c>
      <c r="G51" s="337">
        <f>F51/I51*100</f>
        <v>39.633133542011365</v>
      </c>
      <c r="I51" s="331">
        <f>SUM('- 42 -'!$H51,F51)</f>
        <v>19842370</v>
      </c>
    </row>
    <row r="52" spans="1:9" ht="50.1" customHeight="1"/>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41.xml><?xml version="1.0" encoding="utf-8"?>
<worksheet xmlns="http://schemas.openxmlformats.org/spreadsheetml/2006/main" xmlns:r="http://schemas.openxmlformats.org/officeDocument/2006/relationships">
  <sheetPr codeName="Sheet23"/>
  <dimension ref="A1:E58"/>
  <sheetViews>
    <sheetView showGridLines="0" showZeros="0" workbookViewId="0"/>
  </sheetViews>
  <sheetFormatPr defaultColWidth="15.83203125" defaultRowHeight="12"/>
  <cols>
    <col min="1" max="1" width="37.33203125" style="1" customWidth="1"/>
    <col min="2" max="2" width="23.6640625" style="1" customWidth="1"/>
    <col min="3" max="3" width="25.1640625" style="1" customWidth="1"/>
    <col min="4" max="4" width="22.6640625" style="1" customWidth="1"/>
    <col min="5" max="5" width="17.1640625" style="1" customWidth="1"/>
    <col min="6" max="16384" width="15.83203125" style="1"/>
  </cols>
  <sheetData>
    <row r="1" spans="1:5" ht="6.95" customHeight="1">
      <c r="A1" s="6"/>
    </row>
    <row r="2" spans="1:5" ht="14.1" customHeight="1">
      <c r="A2" s="71"/>
      <c r="B2" s="605" t="s">
        <v>354</v>
      </c>
      <c r="C2" s="237"/>
      <c r="D2" s="237"/>
      <c r="E2" s="238"/>
    </row>
    <row r="3" spans="1:5" ht="14.1" customHeight="1">
      <c r="A3" s="73"/>
      <c r="B3" s="30"/>
      <c r="C3" s="606" t="str">
        <f>"FOR THE YEAR ENDED JUNE 30, "&amp;SPRINGYR</f>
        <v>FOR THE YEAR ENDED JUNE 30, 2013</v>
      </c>
      <c r="D3" s="240"/>
      <c r="E3" s="241"/>
    </row>
    <row r="7" spans="1:5" ht="13.5">
      <c r="B7" s="357" t="s">
        <v>725</v>
      </c>
      <c r="C7" s="360"/>
      <c r="D7" s="360"/>
      <c r="E7" s="572" t="str">
        <f>"% OF "&amp;FALLYR&amp;"/"&amp;SPRINGYR</f>
        <v>% OF 2012/2013</v>
      </c>
    </row>
    <row r="8" spans="1:5">
      <c r="A8" s="75"/>
      <c r="B8" s="393"/>
      <c r="C8" s="438"/>
      <c r="D8" s="438"/>
      <c r="E8" s="542" t="s">
        <v>122</v>
      </c>
    </row>
    <row r="9" spans="1:5" ht="14.25">
      <c r="A9" s="42" t="s">
        <v>94</v>
      </c>
      <c r="B9" s="603" t="s">
        <v>718</v>
      </c>
      <c r="C9" s="603" t="s">
        <v>532</v>
      </c>
      <c r="D9" s="684" t="s">
        <v>68</v>
      </c>
      <c r="E9" s="571" t="s">
        <v>719</v>
      </c>
    </row>
    <row r="10" spans="1:5" ht="5.0999999999999996" customHeight="1">
      <c r="A10" s="5"/>
      <c r="B10" s="6"/>
      <c r="C10" s="6"/>
      <c r="D10" s="6"/>
      <c r="E10" s="6"/>
    </row>
    <row r="11" spans="1:5" ht="14.1" customHeight="1">
      <c r="A11" s="330" t="s">
        <v>236</v>
      </c>
      <c r="B11" s="331">
        <v>94972</v>
      </c>
      <c r="C11" s="331">
        <v>521995</v>
      </c>
      <c r="D11" s="331">
        <f>+B11+C11</f>
        <v>616967</v>
      </c>
      <c r="E11" s="337">
        <f>D11/'- 3 -'!$B11*100</f>
        <v>3.931258804786248</v>
      </c>
    </row>
    <row r="12" spans="1:5" ht="14.1" customHeight="1">
      <c r="A12" s="26" t="s">
        <v>237</v>
      </c>
      <c r="B12" s="27">
        <v>865263</v>
      </c>
      <c r="C12" s="27">
        <v>-37693</v>
      </c>
      <c r="D12" s="27">
        <f t="shared" ref="D12:D46" si="0">+B12+C12</f>
        <v>827570</v>
      </c>
      <c r="E12" s="79">
        <f>D12/'- 3 -'!$B12*100</f>
        <v>2.7690373197852147</v>
      </c>
    </row>
    <row r="13" spans="1:5" ht="14.1" customHeight="1">
      <c r="A13" s="330" t="s">
        <v>238</v>
      </c>
      <c r="B13" s="331">
        <v>367998</v>
      </c>
      <c r="C13" s="331">
        <v>1028816</v>
      </c>
      <c r="D13" s="331">
        <f t="shared" si="0"/>
        <v>1396814</v>
      </c>
      <c r="E13" s="337">
        <f>D13/'- 3 -'!$B13*100</f>
        <v>1.7337823711847862</v>
      </c>
    </row>
    <row r="14" spans="1:5" ht="14.1" customHeight="1">
      <c r="A14" s="26" t="s">
        <v>656</v>
      </c>
      <c r="B14" s="27">
        <v>409883</v>
      </c>
      <c r="C14" s="27">
        <v>3106504</v>
      </c>
      <c r="D14" s="27">
        <f t="shared" si="0"/>
        <v>3516387</v>
      </c>
      <c r="E14" s="79">
        <f>D14/'- 3 -'!$B14*100</f>
        <v>5.0107554801991991</v>
      </c>
    </row>
    <row r="15" spans="1:5" ht="14.1" customHeight="1">
      <c r="A15" s="330" t="s">
        <v>239</v>
      </c>
      <c r="B15" s="331">
        <v>673405</v>
      </c>
      <c r="C15" s="331">
        <v>496391</v>
      </c>
      <c r="D15" s="331">
        <f t="shared" si="0"/>
        <v>1169796</v>
      </c>
      <c r="E15" s="337">
        <f>D15/'- 3 -'!$B15*100</f>
        <v>6.2755622878510167</v>
      </c>
    </row>
    <row r="16" spans="1:5" ht="14.1" customHeight="1">
      <c r="A16" s="26" t="s">
        <v>240</v>
      </c>
      <c r="B16" s="27">
        <v>70862</v>
      </c>
      <c r="C16" s="27">
        <v>325309</v>
      </c>
      <c r="D16" s="27">
        <f t="shared" si="0"/>
        <v>396171</v>
      </c>
      <c r="E16" s="79">
        <f>D16/'- 3 -'!$B16*100</f>
        <v>3.1005445915915244</v>
      </c>
    </row>
    <row r="17" spans="1:5" ht="14.1" customHeight="1">
      <c r="A17" s="330" t="s">
        <v>241</v>
      </c>
      <c r="B17" s="331">
        <v>9899</v>
      </c>
      <c r="C17" s="331">
        <v>710657</v>
      </c>
      <c r="D17" s="331">
        <f t="shared" si="0"/>
        <v>720556</v>
      </c>
      <c r="E17" s="337">
        <f>D17/'- 3 -'!$B17*100</f>
        <v>4.4114885703571618</v>
      </c>
    </row>
    <row r="18" spans="1:5" ht="14.1" customHeight="1">
      <c r="A18" s="26" t="s">
        <v>242</v>
      </c>
      <c r="B18" s="27">
        <v>0</v>
      </c>
      <c r="C18" s="27">
        <v>4882705</v>
      </c>
      <c r="D18" s="27">
        <f t="shared" si="0"/>
        <v>4882705</v>
      </c>
      <c r="E18" s="79">
        <f>D18/'- 3 -'!$B18*100</f>
        <v>4.1608928269654015</v>
      </c>
    </row>
    <row r="19" spans="1:5" ht="14.1" customHeight="1">
      <c r="A19" s="330" t="s">
        <v>243</v>
      </c>
      <c r="B19" s="331">
        <v>1272333</v>
      </c>
      <c r="C19" s="331">
        <v>470339</v>
      </c>
      <c r="D19" s="331">
        <f t="shared" si="0"/>
        <v>1742672</v>
      </c>
      <c r="E19" s="337">
        <f>D19/'- 3 -'!$B19*100</f>
        <v>4.4298903615659011</v>
      </c>
    </row>
    <row r="20" spans="1:5" ht="14.1" customHeight="1">
      <c r="A20" s="26" t="s">
        <v>244</v>
      </c>
      <c r="B20" s="27">
        <v>0</v>
      </c>
      <c r="C20" s="27">
        <v>3630689</v>
      </c>
      <c r="D20" s="27">
        <f t="shared" si="0"/>
        <v>3630689</v>
      </c>
      <c r="E20" s="79">
        <f>D20/'- 3 -'!$B20*100</f>
        <v>5.291560981843392</v>
      </c>
    </row>
    <row r="21" spans="1:5" ht="14.1" customHeight="1">
      <c r="A21" s="330" t="s">
        <v>245</v>
      </c>
      <c r="B21" s="331">
        <v>0</v>
      </c>
      <c r="C21" s="331">
        <v>1304866</v>
      </c>
      <c r="D21" s="331">
        <f t="shared" si="0"/>
        <v>1304866</v>
      </c>
      <c r="E21" s="337">
        <f>D21/'- 3 -'!$B21*100</f>
        <v>3.9463625483974294</v>
      </c>
    </row>
    <row r="22" spans="1:5" ht="14.1" customHeight="1">
      <c r="A22" s="26" t="s">
        <v>246</v>
      </c>
      <c r="B22" s="27">
        <v>0</v>
      </c>
      <c r="C22" s="27">
        <v>681849</v>
      </c>
      <c r="D22" s="27">
        <f t="shared" si="0"/>
        <v>681849</v>
      </c>
      <c r="E22" s="79">
        <f>D22/'- 3 -'!$B22*100</f>
        <v>3.6678060721012602</v>
      </c>
    </row>
    <row r="23" spans="1:5" ht="14.1" customHeight="1">
      <c r="A23" s="330" t="s">
        <v>247</v>
      </c>
      <c r="B23" s="331">
        <v>100000</v>
      </c>
      <c r="C23" s="331">
        <v>597942</v>
      </c>
      <c r="D23" s="331">
        <f t="shared" si="0"/>
        <v>697942</v>
      </c>
      <c r="E23" s="337">
        <f>D23/'- 3 -'!$B23*100</f>
        <v>4.3307138403742442</v>
      </c>
    </row>
    <row r="24" spans="1:5" ht="14.1" customHeight="1">
      <c r="A24" s="26" t="s">
        <v>248</v>
      </c>
      <c r="B24" s="27">
        <v>0</v>
      </c>
      <c r="C24" s="27">
        <v>2744481</v>
      </c>
      <c r="D24" s="27">
        <f t="shared" si="0"/>
        <v>2744481</v>
      </c>
      <c r="E24" s="79">
        <f>D24/'- 3 -'!$B24*100</f>
        <v>5.3446088190531356</v>
      </c>
    </row>
    <row r="25" spans="1:5" ht="14.1" customHeight="1">
      <c r="A25" s="330" t="s">
        <v>249</v>
      </c>
      <c r="B25" s="331">
        <v>963304</v>
      </c>
      <c r="C25" s="331">
        <v>5030436</v>
      </c>
      <c r="D25" s="331">
        <f t="shared" si="0"/>
        <v>5993740</v>
      </c>
      <c r="E25" s="337">
        <f>D25/'- 3 -'!$B25*100</f>
        <v>3.9671744369394406</v>
      </c>
    </row>
    <row r="26" spans="1:5" ht="14.1" customHeight="1">
      <c r="A26" s="26" t="s">
        <v>250</v>
      </c>
      <c r="B26" s="27">
        <v>0</v>
      </c>
      <c r="C26" s="27">
        <v>1143339</v>
      </c>
      <c r="D26" s="27">
        <f t="shared" si="0"/>
        <v>1143339</v>
      </c>
      <c r="E26" s="79">
        <f>D26/'- 3 -'!$B26*100</f>
        <v>3.0655173053582221</v>
      </c>
    </row>
    <row r="27" spans="1:5" ht="14.1" customHeight="1">
      <c r="A27" s="330" t="s">
        <v>251</v>
      </c>
      <c r="B27" s="331">
        <v>0</v>
      </c>
      <c r="C27" s="331">
        <v>2964228</v>
      </c>
      <c r="D27" s="331">
        <f t="shared" si="0"/>
        <v>2964228</v>
      </c>
      <c r="E27" s="337">
        <f>D27/'- 3 -'!$B27*100</f>
        <v>8.12902278891133</v>
      </c>
    </row>
    <row r="28" spans="1:5" ht="14.1" customHeight="1">
      <c r="A28" s="26" t="s">
        <v>252</v>
      </c>
      <c r="B28" s="27">
        <v>180000</v>
      </c>
      <c r="C28" s="27">
        <v>748963</v>
      </c>
      <c r="D28" s="27">
        <f t="shared" si="0"/>
        <v>928963</v>
      </c>
      <c r="E28" s="79">
        <f>D28/'- 3 -'!$B28*100</f>
        <v>3.6330934731281364</v>
      </c>
    </row>
    <row r="29" spans="1:5" ht="14.1" customHeight="1">
      <c r="A29" s="330" t="s">
        <v>253</v>
      </c>
      <c r="B29" s="331">
        <v>975407</v>
      </c>
      <c r="C29" s="331">
        <v>4276817</v>
      </c>
      <c r="D29" s="331">
        <f t="shared" si="0"/>
        <v>5252224</v>
      </c>
      <c r="E29" s="337">
        <f>D29/'- 3 -'!$B29*100</f>
        <v>3.7548726635216445</v>
      </c>
    </row>
    <row r="30" spans="1:5" ht="14.1" customHeight="1">
      <c r="A30" s="26" t="s">
        <v>254</v>
      </c>
      <c r="B30" s="27">
        <v>138968</v>
      </c>
      <c r="C30" s="27">
        <v>948462</v>
      </c>
      <c r="D30" s="27">
        <f t="shared" si="0"/>
        <v>1087430</v>
      </c>
      <c r="E30" s="79">
        <f>D30/'- 3 -'!$B30*100</f>
        <v>8.1438392701811519</v>
      </c>
    </row>
    <row r="31" spans="1:5" ht="14.1" customHeight="1">
      <c r="A31" s="330" t="s">
        <v>255</v>
      </c>
      <c r="B31" s="331">
        <v>0</v>
      </c>
      <c r="C31" s="331">
        <v>293896</v>
      </c>
      <c r="D31" s="331">
        <f t="shared" si="0"/>
        <v>293896</v>
      </c>
      <c r="E31" s="337">
        <f>D31/'- 3 -'!$B31*100</f>
        <v>0.89909383629594231</v>
      </c>
    </row>
    <row r="32" spans="1:5" ht="14.1" customHeight="1">
      <c r="A32" s="26" t="s">
        <v>256</v>
      </c>
      <c r="B32" s="27">
        <v>0</v>
      </c>
      <c r="C32" s="27">
        <v>946295</v>
      </c>
      <c r="D32" s="27">
        <f t="shared" si="0"/>
        <v>946295</v>
      </c>
      <c r="E32" s="79">
        <f>D32/'- 3 -'!$B32*100</f>
        <v>3.7961522466075044</v>
      </c>
    </row>
    <row r="33" spans="1:5" ht="14.1" customHeight="1">
      <c r="A33" s="330" t="s">
        <v>257</v>
      </c>
      <c r="B33" s="331">
        <v>161590</v>
      </c>
      <c r="C33" s="331">
        <v>1123561</v>
      </c>
      <c r="D33" s="331">
        <f t="shared" si="0"/>
        <v>1285151</v>
      </c>
      <c r="E33" s="337">
        <f>D33/'- 3 -'!$B33*100</f>
        <v>5.063028879078229</v>
      </c>
    </row>
    <row r="34" spans="1:5" ht="14.1" customHeight="1">
      <c r="A34" s="26" t="s">
        <v>258</v>
      </c>
      <c r="B34" s="27">
        <v>914652</v>
      </c>
      <c r="C34" s="27">
        <v>386198</v>
      </c>
      <c r="D34" s="27">
        <f t="shared" si="0"/>
        <v>1300850</v>
      </c>
      <c r="E34" s="79">
        <f>D34/'- 3 -'!$B34*100</f>
        <v>5.2964350596843923</v>
      </c>
    </row>
    <row r="35" spans="1:5" ht="14.1" customHeight="1">
      <c r="A35" s="330" t="s">
        <v>259</v>
      </c>
      <c r="B35" s="331">
        <v>4378211</v>
      </c>
      <c r="C35" s="331">
        <v>5131261</v>
      </c>
      <c r="D35" s="331">
        <f t="shared" si="0"/>
        <v>9509472</v>
      </c>
      <c r="E35" s="337">
        <f>D35/'- 3 -'!$B35*100</f>
        <v>5.7098924299212737</v>
      </c>
    </row>
    <row r="36" spans="1:5" ht="14.1" customHeight="1">
      <c r="A36" s="26" t="s">
        <v>260</v>
      </c>
      <c r="B36" s="27">
        <v>0</v>
      </c>
      <c r="C36" s="27">
        <v>853231</v>
      </c>
      <c r="D36" s="27">
        <f t="shared" si="0"/>
        <v>853231</v>
      </c>
      <c r="E36" s="79">
        <f>D36/'- 3 -'!$B36*100</f>
        <v>4.0983721522944334</v>
      </c>
    </row>
    <row r="37" spans="1:5" ht="14.1" customHeight="1">
      <c r="A37" s="330" t="s">
        <v>261</v>
      </c>
      <c r="B37" s="331">
        <v>237600</v>
      </c>
      <c r="C37" s="331">
        <v>1257758</v>
      </c>
      <c r="D37" s="331">
        <f t="shared" si="0"/>
        <v>1495358</v>
      </c>
      <c r="E37" s="337">
        <f>D37/'- 3 -'!$B37*100</f>
        <v>3.7217029760671898</v>
      </c>
    </row>
    <row r="38" spans="1:5" ht="14.1" customHeight="1">
      <c r="A38" s="26" t="s">
        <v>262</v>
      </c>
      <c r="B38" s="27">
        <v>3796736</v>
      </c>
      <c r="C38" s="27">
        <v>549571</v>
      </c>
      <c r="D38" s="27">
        <f t="shared" si="0"/>
        <v>4346307</v>
      </c>
      <c r="E38" s="79">
        <f>D38/'- 3 -'!$B38*100</f>
        <v>3.9042676164308072</v>
      </c>
    </row>
    <row r="39" spans="1:5" ht="14.1" customHeight="1">
      <c r="A39" s="330" t="s">
        <v>263</v>
      </c>
      <c r="B39" s="331">
        <v>0</v>
      </c>
      <c r="C39" s="331">
        <v>625842</v>
      </c>
      <c r="D39" s="331">
        <f t="shared" si="0"/>
        <v>625842</v>
      </c>
      <c r="E39" s="337">
        <f>D39/'- 3 -'!$B39*100</f>
        <v>3.1853341544001617</v>
      </c>
    </row>
    <row r="40" spans="1:5" ht="14.1" customHeight="1">
      <c r="A40" s="26" t="s">
        <v>264</v>
      </c>
      <c r="B40" s="27">
        <v>87375</v>
      </c>
      <c r="C40" s="27">
        <v>3987031</v>
      </c>
      <c r="D40" s="27">
        <f t="shared" si="0"/>
        <v>4074406</v>
      </c>
      <c r="E40" s="79">
        <f>D40/'- 3 -'!$B40*100</f>
        <v>4.3692390155311722</v>
      </c>
    </row>
    <row r="41" spans="1:5" ht="14.1" customHeight="1">
      <c r="A41" s="330" t="s">
        <v>265</v>
      </c>
      <c r="B41" s="331">
        <v>0</v>
      </c>
      <c r="C41" s="331">
        <v>2120719</v>
      </c>
      <c r="D41" s="331">
        <f t="shared" si="0"/>
        <v>2120719</v>
      </c>
      <c r="E41" s="337">
        <f>D41/'- 3 -'!$B41*100</f>
        <v>3.6196862331766404</v>
      </c>
    </row>
    <row r="42" spans="1:5" ht="14.1" customHeight="1">
      <c r="A42" s="26" t="s">
        <v>266</v>
      </c>
      <c r="B42" s="27">
        <v>0</v>
      </c>
      <c r="C42" s="27">
        <v>662075</v>
      </c>
      <c r="D42" s="27">
        <f t="shared" si="0"/>
        <v>662075</v>
      </c>
      <c r="E42" s="79">
        <f>D42/'- 3 -'!$B42*100</f>
        <v>3.364407553530071</v>
      </c>
    </row>
    <row r="43" spans="1:5" ht="14.1" customHeight="1">
      <c r="A43" s="330" t="s">
        <v>267</v>
      </c>
      <c r="B43" s="331">
        <v>298067</v>
      </c>
      <c r="C43" s="331">
        <v>390510</v>
      </c>
      <c r="D43" s="331">
        <f t="shared" si="0"/>
        <v>688577</v>
      </c>
      <c r="E43" s="337">
        <f>D43/'- 3 -'!$B43*100</f>
        <v>5.9006737584519735</v>
      </c>
    </row>
    <row r="44" spans="1:5" ht="14.1" customHeight="1">
      <c r="A44" s="26" t="s">
        <v>268</v>
      </c>
      <c r="B44" s="27">
        <v>0</v>
      </c>
      <c r="C44" s="27">
        <v>432537</v>
      </c>
      <c r="D44" s="27">
        <f t="shared" si="0"/>
        <v>432537</v>
      </c>
      <c r="E44" s="79">
        <f>D44/'- 3 -'!$B44*100</f>
        <v>4.3471553342420206</v>
      </c>
    </row>
    <row r="45" spans="1:5" ht="14.1" customHeight="1">
      <c r="A45" s="330" t="s">
        <v>269</v>
      </c>
      <c r="B45" s="331">
        <v>0</v>
      </c>
      <c r="C45" s="331">
        <v>627635</v>
      </c>
      <c r="D45" s="331">
        <f t="shared" si="0"/>
        <v>627635</v>
      </c>
      <c r="E45" s="337">
        <f>D45/'- 3 -'!$B45*100</f>
        <v>3.8222478594382792</v>
      </c>
    </row>
    <row r="46" spans="1:5" ht="14.1" customHeight="1">
      <c r="A46" s="26" t="s">
        <v>270</v>
      </c>
      <c r="B46" s="27">
        <v>1377209</v>
      </c>
      <c r="C46" s="27">
        <v>11970159</v>
      </c>
      <c r="D46" s="27">
        <f t="shared" si="0"/>
        <v>13347368</v>
      </c>
      <c r="E46" s="79">
        <f>D46/'- 3 -'!$B46*100</f>
        <v>3.8173428443896413</v>
      </c>
    </row>
    <row r="47" spans="1:5" ht="5.0999999999999996" customHeight="1">
      <c r="A47" s="28"/>
      <c r="B47" s="29"/>
      <c r="C47" s="29"/>
      <c r="D47" s="29"/>
      <c r="E47"/>
    </row>
    <row r="48" spans="1:5" ht="14.1" customHeight="1">
      <c r="A48" s="332" t="s">
        <v>271</v>
      </c>
      <c r="B48" s="333">
        <f>SUM(B11:B46)</f>
        <v>17373734</v>
      </c>
      <c r="C48" s="333">
        <f>SUM(C11:C46)</f>
        <v>66935374</v>
      </c>
      <c r="D48" s="333">
        <f>SUM(D11:D46)</f>
        <v>84309108</v>
      </c>
      <c r="E48" s="340">
        <f>D48/'- 3 -'!$B48*100</f>
        <v>4.179055252045063</v>
      </c>
    </row>
    <row r="49" spans="1:5" ht="5.0999999999999996" customHeight="1">
      <c r="A49" s="28" t="s">
        <v>17</v>
      </c>
      <c r="B49" s="29"/>
      <c r="C49" s="29"/>
      <c r="D49" s="29"/>
      <c r="E49"/>
    </row>
    <row r="50" spans="1:5" ht="14.1" customHeight="1">
      <c r="A50" s="26" t="s">
        <v>272</v>
      </c>
      <c r="B50" s="27">
        <v>0</v>
      </c>
      <c r="C50" s="27">
        <v>324319</v>
      </c>
      <c r="D50" s="27">
        <f t="shared" ref="D50:D51" si="1">+B50+C50</f>
        <v>324319</v>
      </c>
      <c r="E50" s="79">
        <f>D50/'- 3 -'!$B50*100</f>
        <v>10.225938055823477</v>
      </c>
    </row>
    <row r="51" spans="1:5" ht="14.1" customHeight="1">
      <c r="A51" s="330" t="s">
        <v>273</v>
      </c>
      <c r="B51" s="331">
        <v>1946833</v>
      </c>
      <c r="C51" s="331">
        <v>24816</v>
      </c>
      <c r="D51" s="331">
        <f t="shared" si="1"/>
        <v>1971649</v>
      </c>
      <c r="E51" s="337">
        <f>D51/'- 3 -'!$B51*100</f>
        <v>10.428531320994869</v>
      </c>
    </row>
    <row r="52" spans="1:5" ht="50.1" customHeight="1">
      <c r="A52" s="30"/>
      <c r="B52" s="30"/>
      <c r="C52" s="30"/>
      <c r="D52" s="30"/>
      <c r="E52" s="30"/>
    </row>
    <row r="53" spans="1:5">
      <c r="A53" s="45" t="s">
        <v>722</v>
      </c>
      <c r="B53" s="206"/>
      <c r="C53" s="206"/>
      <c r="D53" s="206"/>
      <c r="E53" s="206"/>
    </row>
    <row r="54" spans="1:5">
      <c r="A54" s="45" t="s">
        <v>716</v>
      </c>
    </row>
    <row r="55" spans="1:5" ht="12" customHeight="1">
      <c r="A55" s="1" t="s">
        <v>600</v>
      </c>
    </row>
    <row r="56" spans="1:5" ht="12" customHeight="1">
      <c r="A56" s="151" t="s">
        <v>717</v>
      </c>
    </row>
    <row r="57" spans="1:5" ht="12" customHeight="1">
      <c r="A57" s="45" t="s">
        <v>601</v>
      </c>
    </row>
    <row r="58" spans="1:5" ht="15">
      <c r="A58" s="715"/>
    </row>
  </sheetData>
  <phoneticPr fontId="6" type="noConversion"/>
  <pageMargins left="0.51181102362204722" right="0.51181102362204722" top="0.59055118110236227" bottom="0.19685039370078741" header="0.31496062992125984" footer="0.51181102362204722"/>
  <pageSetup scale="90" orientation="portrait" r:id="rId1"/>
  <headerFooter alignWithMargins="0">
    <oddHeader>&amp;C&amp;"Arial,Regular"&amp;11&amp;A</oddHeader>
  </headerFooter>
</worksheet>
</file>

<file path=xl/worksheets/sheet42.xml><?xml version="1.0" encoding="utf-8"?>
<worksheet xmlns="http://schemas.openxmlformats.org/spreadsheetml/2006/main" xmlns:r="http://schemas.openxmlformats.org/officeDocument/2006/relationships">
  <sheetPr codeName="Sheet40">
    <pageSetUpPr fitToPage="1"/>
  </sheetPr>
  <dimension ref="A1:F56"/>
  <sheetViews>
    <sheetView showGridLines="0" showZeros="0" workbookViewId="0"/>
  </sheetViews>
  <sheetFormatPr defaultColWidth="19.83203125" defaultRowHeight="12"/>
  <cols>
    <col min="1" max="1" width="34.83203125" style="1" customWidth="1"/>
    <col min="2" max="2" width="19.83203125" style="1" customWidth="1"/>
    <col min="3" max="4" width="19.33203125" style="1" customWidth="1"/>
    <col min="5" max="16384" width="19.83203125" style="1"/>
  </cols>
  <sheetData>
    <row r="1" spans="1:6" ht="6.95" customHeight="1">
      <c r="A1" s="6"/>
    </row>
    <row r="2" spans="1:6" ht="15.95" customHeight="1">
      <c r="A2" s="152"/>
      <c r="B2" s="757" t="str">
        <f>'- 47 -'!B2:C3</f>
        <v>CAPITAL FUND 2012/2013 ACTUAL</v>
      </c>
      <c r="C2" s="757"/>
      <c r="D2" s="757"/>
      <c r="E2" s="757"/>
      <c r="F2" s="264" t="s">
        <v>479</v>
      </c>
    </row>
    <row r="3" spans="1:6" ht="15.95" customHeight="1">
      <c r="A3" s="154"/>
      <c r="B3" s="758" t="s">
        <v>277</v>
      </c>
      <c r="C3" s="758"/>
      <c r="D3" s="758"/>
      <c r="E3" s="758"/>
      <c r="F3" s="258"/>
    </row>
    <row r="4" spans="1:6" ht="15.95" customHeight="1">
      <c r="B4" s="7"/>
      <c r="C4" s="7"/>
      <c r="D4" s="7"/>
      <c r="E4" s="7"/>
    </row>
    <row r="5" spans="1:6" ht="15.95" customHeight="1">
      <c r="B5" s="7"/>
      <c r="C5" s="7"/>
      <c r="D5" s="7"/>
      <c r="E5" s="7"/>
    </row>
    <row r="6" spans="1:6" ht="15.95" customHeight="1">
      <c r="B6" s="540" t="s">
        <v>1</v>
      </c>
      <c r="C6" s="194"/>
      <c r="D6" s="602"/>
      <c r="E6" s="195"/>
    </row>
    <row r="7" spans="1:6" ht="15.95" customHeight="1">
      <c r="B7" s="541"/>
      <c r="C7" s="541"/>
      <c r="D7" s="541" t="s">
        <v>58</v>
      </c>
      <c r="E7" s="541"/>
    </row>
    <row r="8" spans="1:6" ht="15.95" customHeight="1">
      <c r="A8" s="538"/>
      <c r="B8" s="542"/>
      <c r="C8" s="542" t="s">
        <v>144</v>
      </c>
      <c r="D8" s="542" t="s">
        <v>145</v>
      </c>
      <c r="E8" s="542" t="s">
        <v>68</v>
      </c>
    </row>
    <row r="9" spans="1:6" ht="15.95" customHeight="1">
      <c r="A9" s="539" t="s">
        <v>94</v>
      </c>
      <c r="B9" s="580" t="s">
        <v>515</v>
      </c>
      <c r="C9" s="580" t="s">
        <v>516</v>
      </c>
      <c r="D9" s="580" t="s">
        <v>546</v>
      </c>
      <c r="E9" s="543" t="s">
        <v>277</v>
      </c>
    </row>
    <row r="10" spans="1:6" ht="5.0999999999999996" customHeight="1">
      <c r="A10" s="5"/>
      <c r="B10" s="236"/>
      <c r="C10" s="236"/>
      <c r="D10" s="236"/>
      <c r="E10" s="236"/>
    </row>
    <row r="11" spans="1:6" ht="14.1" customHeight="1">
      <c r="A11" s="330" t="s">
        <v>236</v>
      </c>
      <c r="B11" s="331">
        <v>1099119</v>
      </c>
      <c r="C11" s="331">
        <v>1026172</v>
      </c>
      <c r="D11" s="331">
        <v>24141</v>
      </c>
      <c r="E11" s="331">
        <f t="shared" ref="E11:E46" si="0">SUM(B11:D11)</f>
        <v>2149432</v>
      </c>
    </row>
    <row r="12" spans="1:6" ht="14.1" customHeight="1">
      <c r="A12" s="26" t="s">
        <v>237</v>
      </c>
      <c r="B12" s="27">
        <v>1401646</v>
      </c>
      <c r="C12" s="27">
        <v>541114</v>
      </c>
      <c r="D12" s="27">
        <v>22998</v>
      </c>
      <c r="E12" s="27">
        <f t="shared" si="0"/>
        <v>1965758</v>
      </c>
    </row>
    <row r="13" spans="1:6" ht="14.1" customHeight="1">
      <c r="A13" s="330" t="s">
        <v>238</v>
      </c>
      <c r="B13" s="331">
        <v>1835238</v>
      </c>
      <c r="C13" s="331">
        <v>708336</v>
      </c>
      <c r="D13" s="331">
        <v>8963</v>
      </c>
      <c r="E13" s="331">
        <f t="shared" si="0"/>
        <v>2552537</v>
      </c>
    </row>
    <row r="14" spans="1:6" ht="14.1" customHeight="1">
      <c r="A14" s="26" t="s">
        <v>656</v>
      </c>
      <c r="B14" s="27">
        <v>2023056</v>
      </c>
      <c r="C14" s="27">
        <v>1793928</v>
      </c>
      <c r="D14" s="27">
        <v>53</v>
      </c>
      <c r="E14" s="27">
        <f t="shared" si="0"/>
        <v>3817037</v>
      </c>
    </row>
    <row r="15" spans="1:6" ht="14.1" customHeight="1">
      <c r="A15" s="330" t="s">
        <v>239</v>
      </c>
      <c r="B15" s="331">
        <v>1330314</v>
      </c>
      <c r="C15" s="331">
        <v>915338</v>
      </c>
      <c r="D15" s="331">
        <v>0</v>
      </c>
      <c r="E15" s="331">
        <f t="shared" si="0"/>
        <v>2245652</v>
      </c>
    </row>
    <row r="16" spans="1:6" ht="14.1" customHeight="1">
      <c r="A16" s="26" t="s">
        <v>240</v>
      </c>
      <c r="B16" s="27">
        <v>263292</v>
      </c>
      <c r="C16" s="27">
        <v>102918</v>
      </c>
      <c r="D16" s="27">
        <v>-49087</v>
      </c>
      <c r="E16" s="27">
        <f t="shared" si="0"/>
        <v>317123</v>
      </c>
    </row>
    <row r="17" spans="1:5" ht="14.1" customHeight="1">
      <c r="A17" s="330" t="s">
        <v>241</v>
      </c>
      <c r="B17" s="331">
        <v>926448</v>
      </c>
      <c r="C17" s="331">
        <v>467528</v>
      </c>
      <c r="D17" s="331">
        <v>0</v>
      </c>
      <c r="E17" s="331">
        <f t="shared" si="0"/>
        <v>1393976</v>
      </c>
    </row>
    <row r="18" spans="1:5" ht="14.1" customHeight="1">
      <c r="A18" s="26" t="s">
        <v>242</v>
      </c>
      <c r="B18" s="27">
        <v>2652503</v>
      </c>
      <c r="C18" s="27">
        <v>1665280</v>
      </c>
      <c r="D18" s="27">
        <v>0</v>
      </c>
      <c r="E18" s="27">
        <f t="shared" si="0"/>
        <v>4317783</v>
      </c>
    </row>
    <row r="19" spans="1:5" ht="14.1" customHeight="1">
      <c r="A19" s="330" t="s">
        <v>243</v>
      </c>
      <c r="B19" s="331">
        <v>2597942</v>
      </c>
      <c r="C19" s="331">
        <v>2728608</v>
      </c>
      <c r="D19" s="331">
        <v>46718</v>
      </c>
      <c r="E19" s="331">
        <f t="shared" si="0"/>
        <v>5373268</v>
      </c>
    </row>
    <row r="20" spans="1:5" ht="14.1" customHeight="1">
      <c r="A20" s="26" t="s">
        <v>244</v>
      </c>
      <c r="B20" s="27">
        <v>2794736</v>
      </c>
      <c r="C20" s="27">
        <v>2666428</v>
      </c>
      <c r="D20" s="27">
        <v>0</v>
      </c>
      <c r="E20" s="27">
        <f t="shared" si="0"/>
        <v>5461164</v>
      </c>
    </row>
    <row r="21" spans="1:5" ht="14.1" customHeight="1">
      <c r="A21" s="330" t="s">
        <v>245</v>
      </c>
      <c r="B21" s="331">
        <v>1158177</v>
      </c>
      <c r="C21" s="331">
        <v>590520</v>
      </c>
      <c r="D21" s="331">
        <v>0</v>
      </c>
      <c r="E21" s="331">
        <f t="shared" si="0"/>
        <v>1748697</v>
      </c>
    </row>
    <row r="22" spans="1:5" ht="14.1" customHeight="1">
      <c r="A22" s="26" t="s">
        <v>246</v>
      </c>
      <c r="B22" s="27">
        <v>319143</v>
      </c>
      <c r="C22" s="27">
        <v>528664</v>
      </c>
      <c r="D22" s="27">
        <v>0</v>
      </c>
      <c r="E22" s="27">
        <f t="shared" si="0"/>
        <v>847807</v>
      </c>
    </row>
    <row r="23" spans="1:5" ht="14.1" customHeight="1">
      <c r="A23" s="330" t="s">
        <v>247</v>
      </c>
      <c r="B23" s="331">
        <v>868918</v>
      </c>
      <c r="C23" s="331">
        <v>674904</v>
      </c>
      <c r="D23" s="331">
        <v>0</v>
      </c>
      <c r="E23" s="331">
        <f t="shared" si="0"/>
        <v>1543822</v>
      </c>
    </row>
    <row r="24" spans="1:5" ht="14.1" customHeight="1">
      <c r="A24" s="26" t="s">
        <v>248</v>
      </c>
      <c r="B24" s="27">
        <v>2199487</v>
      </c>
      <c r="C24" s="27">
        <v>1051148</v>
      </c>
      <c r="D24" s="27">
        <v>0</v>
      </c>
      <c r="E24" s="27">
        <f t="shared" si="0"/>
        <v>3250635</v>
      </c>
    </row>
    <row r="25" spans="1:5" ht="14.1" customHeight="1">
      <c r="A25" s="330" t="s">
        <v>249</v>
      </c>
      <c r="B25" s="331">
        <v>3640779</v>
      </c>
      <c r="C25" s="331">
        <v>1298048</v>
      </c>
      <c r="D25" s="331">
        <v>0</v>
      </c>
      <c r="E25" s="331">
        <f t="shared" si="0"/>
        <v>4938827</v>
      </c>
    </row>
    <row r="26" spans="1:5" ht="14.1" customHeight="1">
      <c r="A26" s="26" t="s">
        <v>250</v>
      </c>
      <c r="B26" s="27">
        <v>1271717</v>
      </c>
      <c r="C26" s="27">
        <v>866899</v>
      </c>
      <c r="D26" s="27">
        <v>0</v>
      </c>
      <c r="E26" s="27">
        <f t="shared" si="0"/>
        <v>2138616</v>
      </c>
    </row>
    <row r="27" spans="1:5" ht="14.1" customHeight="1">
      <c r="A27" s="330" t="s">
        <v>251</v>
      </c>
      <c r="B27" s="331">
        <v>775423</v>
      </c>
      <c r="C27" s="331">
        <v>393383</v>
      </c>
      <c r="D27" s="331">
        <v>0</v>
      </c>
      <c r="E27" s="331">
        <f t="shared" si="0"/>
        <v>1168806</v>
      </c>
    </row>
    <row r="28" spans="1:5" ht="14.1" customHeight="1">
      <c r="A28" s="26" t="s">
        <v>252</v>
      </c>
      <c r="B28" s="27">
        <v>727894</v>
      </c>
      <c r="C28" s="27">
        <v>402875</v>
      </c>
      <c r="D28" s="27">
        <v>0</v>
      </c>
      <c r="E28" s="27">
        <f t="shared" si="0"/>
        <v>1130769</v>
      </c>
    </row>
    <row r="29" spans="1:5" ht="14.1" customHeight="1">
      <c r="A29" s="330" t="s">
        <v>253</v>
      </c>
      <c r="B29" s="331">
        <v>3122279</v>
      </c>
      <c r="C29" s="331">
        <v>1272068</v>
      </c>
      <c r="D29" s="331">
        <v>1194</v>
      </c>
      <c r="E29" s="331">
        <f t="shared" si="0"/>
        <v>4395541</v>
      </c>
    </row>
    <row r="30" spans="1:5" ht="14.1" customHeight="1">
      <c r="A30" s="26" t="s">
        <v>254</v>
      </c>
      <c r="B30" s="27">
        <v>530708</v>
      </c>
      <c r="C30" s="27">
        <v>160886</v>
      </c>
      <c r="D30" s="27">
        <v>6473</v>
      </c>
      <c r="E30" s="27">
        <f t="shared" si="0"/>
        <v>698067</v>
      </c>
    </row>
    <row r="31" spans="1:5" ht="14.1" customHeight="1">
      <c r="A31" s="330" t="s">
        <v>255</v>
      </c>
      <c r="B31" s="331">
        <v>1218279</v>
      </c>
      <c r="C31" s="331">
        <v>538670</v>
      </c>
      <c r="D31" s="331">
        <v>0</v>
      </c>
      <c r="E31" s="331">
        <f t="shared" si="0"/>
        <v>1756949</v>
      </c>
    </row>
    <row r="32" spans="1:5" ht="14.1" customHeight="1">
      <c r="A32" s="26" t="s">
        <v>256</v>
      </c>
      <c r="B32" s="27">
        <v>959573</v>
      </c>
      <c r="C32" s="27">
        <v>421805</v>
      </c>
      <c r="D32" s="27">
        <v>0</v>
      </c>
      <c r="E32" s="27">
        <f t="shared" si="0"/>
        <v>1381378</v>
      </c>
    </row>
    <row r="33" spans="1:5" ht="14.1" customHeight="1">
      <c r="A33" s="330" t="s">
        <v>257</v>
      </c>
      <c r="B33" s="331">
        <v>1369641</v>
      </c>
      <c r="C33" s="331">
        <v>460447</v>
      </c>
      <c r="D33" s="331">
        <v>0</v>
      </c>
      <c r="E33" s="331">
        <f t="shared" si="0"/>
        <v>1830088</v>
      </c>
    </row>
    <row r="34" spans="1:5" ht="14.1" customHeight="1">
      <c r="A34" s="26" t="s">
        <v>258</v>
      </c>
      <c r="B34" s="27">
        <v>1060578</v>
      </c>
      <c r="C34" s="27">
        <v>503392</v>
      </c>
      <c r="D34" s="27">
        <v>0</v>
      </c>
      <c r="E34" s="27">
        <f t="shared" si="0"/>
        <v>1563970</v>
      </c>
    </row>
    <row r="35" spans="1:5" ht="14.1" customHeight="1">
      <c r="A35" s="330" t="s">
        <v>259</v>
      </c>
      <c r="B35" s="331">
        <v>6145771</v>
      </c>
      <c r="C35" s="331">
        <v>2268233</v>
      </c>
      <c r="D35" s="331">
        <v>73882</v>
      </c>
      <c r="E35" s="331">
        <f t="shared" si="0"/>
        <v>8487886</v>
      </c>
    </row>
    <row r="36" spans="1:5" ht="14.1" customHeight="1">
      <c r="A36" s="26" t="s">
        <v>260</v>
      </c>
      <c r="B36" s="27">
        <v>799382</v>
      </c>
      <c r="C36" s="27">
        <v>380290</v>
      </c>
      <c r="D36" s="27">
        <v>0</v>
      </c>
      <c r="E36" s="27">
        <f t="shared" si="0"/>
        <v>1179672</v>
      </c>
    </row>
    <row r="37" spans="1:5" ht="14.1" customHeight="1">
      <c r="A37" s="330" t="s">
        <v>261</v>
      </c>
      <c r="B37" s="331">
        <v>1650553</v>
      </c>
      <c r="C37" s="331">
        <v>1389966</v>
      </c>
      <c r="D37" s="331">
        <v>7787</v>
      </c>
      <c r="E37" s="331">
        <f t="shared" si="0"/>
        <v>3048306</v>
      </c>
    </row>
    <row r="38" spans="1:5" ht="14.1" customHeight="1">
      <c r="A38" s="26" t="s">
        <v>262</v>
      </c>
      <c r="B38" s="27">
        <v>3632474</v>
      </c>
      <c r="C38" s="27">
        <v>2636240</v>
      </c>
      <c r="D38" s="27">
        <v>95217</v>
      </c>
      <c r="E38" s="27">
        <f t="shared" si="0"/>
        <v>6363931</v>
      </c>
    </row>
    <row r="39" spans="1:5" ht="14.1" customHeight="1">
      <c r="A39" s="330" t="s">
        <v>263</v>
      </c>
      <c r="B39" s="331">
        <v>1149970</v>
      </c>
      <c r="C39" s="331">
        <v>841128</v>
      </c>
      <c r="D39" s="331">
        <v>0</v>
      </c>
      <c r="E39" s="331">
        <f t="shared" si="0"/>
        <v>1991098</v>
      </c>
    </row>
    <row r="40" spans="1:5" ht="14.1" customHeight="1">
      <c r="A40" s="26" t="s">
        <v>264</v>
      </c>
      <c r="B40" s="27">
        <v>2768754</v>
      </c>
      <c r="C40" s="27">
        <v>793798</v>
      </c>
      <c r="D40" s="27">
        <v>5944</v>
      </c>
      <c r="E40" s="27">
        <f t="shared" si="0"/>
        <v>3568496</v>
      </c>
    </row>
    <row r="41" spans="1:5" ht="14.1" customHeight="1">
      <c r="A41" s="330" t="s">
        <v>265</v>
      </c>
      <c r="B41" s="331">
        <v>2232046</v>
      </c>
      <c r="C41" s="331">
        <v>1077907</v>
      </c>
      <c r="D41" s="331">
        <v>1313</v>
      </c>
      <c r="E41" s="331">
        <f t="shared" si="0"/>
        <v>3311266</v>
      </c>
    </row>
    <row r="42" spans="1:5" ht="14.1" customHeight="1">
      <c r="A42" s="26" t="s">
        <v>266</v>
      </c>
      <c r="B42" s="27">
        <v>959973</v>
      </c>
      <c r="C42" s="27">
        <v>330365</v>
      </c>
      <c r="D42" s="27">
        <v>-4246</v>
      </c>
      <c r="E42" s="27">
        <f t="shared" si="0"/>
        <v>1286092</v>
      </c>
    </row>
    <row r="43" spans="1:5" ht="14.1" customHeight="1">
      <c r="A43" s="330" t="s">
        <v>267</v>
      </c>
      <c r="B43" s="331">
        <v>402585</v>
      </c>
      <c r="C43" s="331">
        <v>200991</v>
      </c>
      <c r="D43" s="331">
        <v>0</v>
      </c>
      <c r="E43" s="331">
        <f t="shared" si="0"/>
        <v>603576</v>
      </c>
    </row>
    <row r="44" spans="1:5" ht="14.1" customHeight="1">
      <c r="A44" s="26" t="s">
        <v>268</v>
      </c>
      <c r="B44" s="27">
        <v>462229</v>
      </c>
      <c r="C44" s="27">
        <v>151424</v>
      </c>
      <c r="D44" s="27">
        <v>0</v>
      </c>
      <c r="E44" s="27">
        <f t="shared" si="0"/>
        <v>613653</v>
      </c>
    </row>
    <row r="45" spans="1:5" ht="14.1" customHeight="1">
      <c r="A45" s="330" t="s">
        <v>269</v>
      </c>
      <c r="B45" s="331">
        <v>705209</v>
      </c>
      <c r="C45" s="331">
        <v>331788</v>
      </c>
      <c r="D45" s="331">
        <v>0</v>
      </c>
      <c r="E45" s="331">
        <f t="shared" si="0"/>
        <v>1036997</v>
      </c>
    </row>
    <row r="46" spans="1:5" ht="14.1" customHeight="1">
      <c r="A46" s="26" t="s">
        <v>270</v>
      </c>
      <c r="B46" s="27">
        <v>7420084</v>
      </c>
      <c r="C46" s="27">
        <v>4697151</v>
      </c>
      <c r="D46" s="27">
        <v>31915</v>
      </c>
      <c r="E46" s="27">
        <f t="shared" si="0"/>
        <v>12149150</v>
      </c>
    </row>
    <row r="47" spans="1:5" ht="5.0999999999999996" customHeight="1">
      <c r="A47" s="28"/>
      <c r="B47" s="29"/>
      <c r="C47" s="29"/>
      <c r="D47" s="29"/>
      <c r="E47" s="29"/>
    </row>
    <row r="48" spans="1:5" ht="14.1" customHeight="1">
      <c r="A48" s="332" t="s">
        <v>271</v>
      </c>
      <c r="B48" s="333">
        <f>SUM(B11:B46)</f>
        <v>64475920</v>
      </c>
      <c r="C48" s="333">
        <f>SUM(C11:C46)</f>
        <v>36878640</v>
      </c>
      <c r="D48" s="333">
        <f>SUM(D11:D46)</f>
        <v>273265</v>
      </c>
      <c r="E48" s="333">
        <f>SUM(E11:E46)</f>
        <v>101627825</v>
      </c>
    </row>
    <row r="49" spans="1:6" ht="5.0999999999999996" customHeight="1">
      <c r="A49" s="28" t="s">
        <v>17</v>
      </c>
      <c r="B49" s="29"/>
      <c r="C49" s="29"/>
      <c r="D49" s="29"/>
      <c r="E49" s="29"/>
    </row>
    <row r="50" spans="1:6" ht="14.1" customHeight="1">
      <c r="A50" s="26" t="s">
        <v>272</v>
      </c>
      <c r="B50" s="27">
        <v>106904</v>
      </c>
      <c r="C50" s="27">
        <v>10146</v>
      </c>
      <c r="D50" s="27">
        <v>0</v>
      </c>
      <c r="E50" s="27">
        <f>SUM(B50:D50)</f>
        <v>117050</v>
      </c>
    </row>
    <row r="51" spans="1:6" ht="14.1" customHeight="1">
      <c r="A51" s="330" t="s">
        <v>273</v>
      </c>
      <c r="B51" s="331">
        <v>442586</v>
      </c>
      <c r="C51" s="331">
        <v>219957</v>
      </c>
      <c r="D51" s="331">
        <v>0</v>
      </c>
      <c r="E51" s="331">
        <f>SUM(B51:D51)</f>
        <v>662543</v>
      </c>
    </row>
    <row r="52" spans="1:6" ht="50.1" customHeight="1">
      <c r="A52" s="30"/>
      <c r="B52" s="30"/>
      <c r="C52" s="30"/>
      <c r="D52" s="30"/>
      <c r="E52" s="30"/>
      <c r="F52" s="30"/>
    </row>
    <row r="53" spans="1:6">
      <c r="A53" s="587" t="s">
        <v>642</v>
      </c>
      <c r="B53" s="206"/>
      <c r="C53" s="206"/>
      <c r="D53" s="206"/>
      <c r="E53" s="206"/>
    </row>
    <row r="54" spans="1:6">
      <c r="A54" s="597" t="s">
        <v>667</v>
      </c>
      <c r="B54" s="206"/>
      <c r="C54" s="206"/>
      <c r="D54" s="206"/>
      <c r="E54" s="206"/>
    </row>
    <row r="55" spans="1:6">
      <c r="A55" s="587" t="s">
        <v>766</v>
      </c>
    </row>
    <row r="56" spans="1:6">
      <c r="A56" s="587"/>
    </row>
  </sheetData>
  <mergeCells count="2">
    <mergeCell ref="B2:E2"/>
    <mergeCell ref="B3:E3"/>
  </mergeCells>
  <phoneticPr fontId="6" type="noConversion"/>
  <hyperlinks>
    <hyperlink ref="A54" r:id="rId1" display="http://www.edu.gov.mb.ca/k12/finance/frame_manual/index.html"/>
  </hyperlinks>
  <pageMargins left="0.5" right="0.5" top="0.6" bottom="0.2" header="0.3" footer="0.5"/>
  <pageSetup scale="88" orientation="portrait" r:id="rId2"/>
  <headerFooter alignWithMargins="0">
    <oddHeader>&amp;C&amp;"Arial,Regular"&amp;11&amp;A</oddHeader>
  </headerFooter>
</worksheet>
</file>

<file path=xl/worksheets/sheet43.xml><?xml version="1.0" encoding="utf-8"?>
<worksheet xmlns="http://schemas.openxmlformats.org/spreadsheetml/2006/main" xmlns:r="http://schemas.openxmlformats.org/officeDocument/2006/relationships">
  <sheetPr codeName="Sheet39">
    <pageSetUpPr fitToPage="1"/>
  </sheetPr>
  <dimension ref="A1:F54"/>
  <sheetViews>
    <sheetView showGridLines="0" showZeros="0" workbookViewId="0"/>
  </sheetViews>
  <sheetFormatPr defaultColWidth="15.83203125" defaultRowHeight="12"/>
  <cols>
    <col min="1" max="1" width="34.83203125" style="1" customWidth="1"/>
    <col min="2" max="4" width="22.83203125" style="1" customWidth="1"/>
    <col min="5" max="5" width="4.83203125" style="1" customWidth="1"/>
    <col min="6" max="6" width="25.83203125" style="1" customWidth="1"/>
    <col min="7" max="16384" width="15.83203125" style="1"/>
  </cols>
  <sheetData>
    <row r="1" spans="1:6" ht="6.95" customHeight="1">
      <c r="A1" s="6"/>
      <c r="E1"/>
    </row>
    <row r="2" spans="1:6" ht="15.95" customHeight="1">
      <c r="A2" s="152"/>
      <c r="B2" s="759" t="str">
        <f>"CAPITAL FUND "&amp;FALLYR&amp;"/"&amp;SPRINGYR&amp;" ACTUAL"</f>
        <v>CAPITAL FUND 2012/2013 ACTUAL</v>
      </c>
      <c r="C2" s="759"/>
      <c r="D2" s="759"/>
      <c r="E2" s="759"/>
      <c r="F2" s="264" t="s">
        <v>481</v>
      </c>
    </row>
    <row r="3" spans="1:6" ht="15.95" customHeight="1">
      <c r="A3" s="154"/>
      <c r="B3" s="758" t="s">
        <v>0</v>
      </c>
      <c r="C3" s="760"/>
      <c r="D3" s="760"/>
      <c r="E3" s="760"/>
      <c r="F3" s="258"/>
    </row>
    <row r="4" spans="1:6" ht="15.95" customHeight="1">
      <c r="B4" s="7"/>
      <c r="C4" s="7"/>
      <c r="D4" s="7"/>
      <c r="E4"/>
    </row>
    <row r="5" spans="1:6" ht="15.95" customHeight="1">
      <c r="B5" s="7"/>
      <c r="C5" s="7"/>
      <c r="D5" s="7"/>
      <c r="E5" s="594"/>
    </row>
    <row r="6" spans="1:6" ht="15.95" customHeight="1">
      <c r="B6" s="546" t="s">
        <v>2</v>
      </c>
      <c r="C6" s="588"/>
      <c r="D6" s="589"/>
      <c r="E6" s="594"/>
      <c r="F6" s="593" t="s">
        <v>108</v>
      </c>
    </row>
    <row r="7" spans="1:6" ht="15.95" customHeight="1">
      <c r="B7" s="408"/>
      <c r="C7" s="408"/>
      <c r="D7" s="437"/>
      <c r="E7" s="594"/>
      <c r="F7" s="417" t="s">
        <v>522</v>
      </c>
    </row>
    <row r="8" spans="1:6" ht="15.95" customHeight="1">
      <c r="A8" s="75"/>
      <c r="B8" s="394" t="s">
        <v>134</v>
      </c>
      <c r="C8" s="408" t="s">
        <v>58</v>
      </c>
      <c r="D8" s="408" t="s">
        <v>68</v>
      </c>
      <c r="E8" s="594"/>
      <c r="F8" s="417" t="s">
        <v>527</v>
      </c>
    </row>
    <row r="9" spans="1:6" ht="15.95" customHeight="1">
      <c r="A9" s="42" t="s">
        <v>94</v>
      </c>
      <c r="B9" s="346" t="s">
        <v>507</v>
      </c>
      <c r="C9" s="346" t="s">
        <v>508</v>
      </c>
      <c r="D9" s="355" t="s">
        <v>140</v>
      </c>
      <c r="E9"/>
      <c r="F9" s="347" t="s">
        <v>145</v>
      </c>
    </row>
    <row r="10" spans="1:6" ht="5.0999999999999996" customHeight="1">
      <c r="A10" s="5"/>
      <c r="B10" s="236"/>
      <c r="C10" s="236"/>
      <c r="D10" s="236"/>
      <c r="E10"/>
      <c r="F10" s="236"/>
    </row>
    <row r="11" spans="1:6" ht="14.1" customHeight="1">
      <c r="A11" s="330" t="s">
        <v>236</v>
      </c>
      <c r="B11" s="331">
        <v>2149987</v>
      </c>
      <c r="C11" s="331">
        <v>0</v>
      </c>
      <c r="D11" s="331">
        <f t="shared" ref="D11:D46" si="0">SUM(B11:C11)</f>
        <v>2149987</v>
      </c>
      <c r="E11"/>
      <c r="F11" s="331">
        <v>488375</v>
      </c>
    </row>
    <row r="12" spans="1:6" ht="14.1" customHeight="1">
      <c r="A12" s="26" t="s">
        <v>237</v>
      </c>
      <c r="B12" s="27">
        <v>1152780</v>
      </c>
      <c r="C12" s="27">
        <v>71460</v>
      </c>
      <c r="D12" s="27">
        <f t="shared" si="0"/>
        <v>1224240</v>
      </c>
      <c r="E12"/>
      <c r="F12" s="27">
        <v>1393649</v>
      </c>
    </row>
    <row r="13" spans="1:6" ht="14.1" customHeight="1">
      <c r="A13" s="330" t="s">
        <v>238</v>
      </c>
      <c r="B13" s="331">
        <v>1561191</v>
      </c>
      <c r="C13" s="331">
        <v>3526</v>
      </c>
      <c r="D13" s="331">
        <f t="shared" si="0"/>
        <v>1564717</v>
      </c>
      <c r="E13"/>
      <c r="F13" s="331">
        <v>806820</v>
      </c>
    </row>
    <row r="14" spans="1:6" ht="14.1" customHeight="1">
      <c r="A14" s="26" t="s">
        <v>656</v>
      </c>
      <c r="B14" s="27">
        <v>4615692</v>
      </c>
      <c r="C14" s="27">
        <v>763541</v>
      </c>
      <c r="D14" s="27">
        <f t="shared" si="0"/>
        <v>5379233</v>
      </c>
      <c r="E14"/>
      <c r="F14" s="27">
        <v>1540045</v>
      </c>
    </row>
    <row r="15" spans="1:6" ht="14.1" customHeight="1">
      <c r="A15" s="330" t="s">
        <v>239</v>
      </c>
      <c r="B15" s="331">
        <v>1815649</v>
      </c>
      <c r="C15" s="331">
        <v>5169</v>
      </c>
      <c r="D15" s="331">
        <f t="shared" si="0"/>
        <v>1820818</v>
      </c>
      <c r="E15"/>
      <c r="F15" s="331">
        <v>909554</v>
      </c>
    </row>
    <row r="16" spans="1:6" ht="14.1" customHeight="1">
      <c r="A16" s="26" t="s">
        <v>240</v>
      </c>
      <c r="B16" s="27">
        <v>207528</v>
      </c>
      <c r="C16" s="27">
        <v>0</v>
      </c>
      <c r="D16" s="27">
        <f t="shared" si="0"/>
        <v>207528</v>
      </c>
      <c r="E16"/>
      <c r="F16" s="27">
        <v>291840</v>
      </c>
    </row>
    <row r="17" spans="1:6" ht="14.1" customHeight="1">
      <c r="A17" s="330" t="s">
        <v>241</v>
      </c>
      <c r="B17" s="331">
        <v>1080465</v>
      </c>
      <c r="C17" s="331">
        <v>44699</v>
      </c>
      <c r="D17" s="331">
        <f t="shared" si="0"/>
        <v>1125164</v>
      </c>
      <c r="E17"/>
      <c r="F17" s="331">
        <v>867833</v>
      </c>
    </row>
    <row r="18" spans="1:6" ht="14.1" customHeight="1">
      <c r="A18" s="26" t="s">
        <v>242</v>
      </c>
      <c r="B18" s="27">
        <v>3623930</v>
      </c>
      <c r="C18" s="27">
        <v>623871</v>
      </c>
      <c r="D18" s="27">
        <f t="shared" si="0"/>
        <v>4247801</v>
      </c>
      <c r="E18"/>
      <c r="F18" s="27">
        <v>680700</v>
      </c>
    </row>
    <row r="19" spans="1:6" ht="14.1" customHeight="1">
      <c r="A19" s="330" t="s">
        <v>243</v>
      </c>
      <c r="B19" s="331">
        <v>4931928</v>
      </c>
      <c r="C19" s="331">
        <v>9470</v>
      </c>
      <c r="D19" s="331">
        <f t="shared" si="0"/>
        <v>4941398</v>
      </c>
      <c r="E19"/>
      <c r="F19" s="331">
        <v>2398781</v>
      </c>
    </row>
    <row r="20" spans="1:6" ht="14.1" customHeight="1">
      <c r="A20" s="26" t="s">
        <v>244</v>
      </c>
      <c r="B20" s="27">
        <v>5242543</v>
      </c>
      <c r="C20" s="27">
        <v>25428</v>
      </c>
      <c r="D20" s="27">
        <f t="shared" si="0"/>
        <v>5267971</v>
      </c>
      <c r="E20"/>
      <c r="F20" s="27">
        <v>1978451</v>
      </c>
    </row>
    <row r="21" spans="1:6" ht="14.1" customHeight="1">
      <c r="A21" s="330" t="s">
        <v>245</v>
      </c>
      <c r="B21" s="331">
        <v>1281389</v>
      </c>
      <c r="C21" s="331">
        <v>5555</v>
      </c>
      <c r="D21" s="331">
        <f t="shared" si="0"/>
        <v>1286944</v>
      </c>
      <c r="E21"/>
      <c r="F21" s="331">
        <v>73913</v>
      </c>
    </row>
    <row r="22" spans="1:6" ht="14.1" customHeight="1">
      <c r="A22" s="26" t="s">
        <v>246</v>
      </c>
      <c r="B22" s="27">
        <v>1048413</v>
      </c>
      <c r="C22" s="27">
        <v>84</v>
      </c>
      <c r="D22" s="27">
        <f t="shared" si="0"/>
        <v>1048497</v>
      </c>
      <c r="E22"/>
      <c r="F22" s="27">
        <v>85376</v>
      </c>
    </row>
    <row r="23" spans="1:6" ht="14.1" customHeight="1">
      <c r="A23" s="330" t="s">
        <v>247</v>
      </c>
      <c r="B23" s="331">
        <v>1338255</v>
      </c>
      <c r="C23" s="331">
        <v>16663</v>
      </c>
      <c r="D23" s="331">
        <f t="shared" si="0"/>
        <v>1354918</v>
      </c>
      <c r="E23"/>
      <c r="F23" s="331">
        <v>-10456</v>
      </c>
    </row>
    <row r="24" spans="1:6" ht="14.1" customHeight="1">
      <c r="A24" s="26" t="s">
        <v>248</v>
      </c>
      <c r="B24" s="27">
        <v>2109183</v>
      </c>
      <c r="C24" s="27">
        <v>23874</v>
      </c>
      <c r="D24" s="27">
        <f t="shared" si="0"/>
        <v>2133057</v>
      </c>
      <c r="E24"/>
      <c r="F24" s="27">
        <v>710013</v>
      </c>
    </row>
    <row r="25" spans="1:6" ht="14.1" customHeight="1">
      <c r="A25" s="330" t="s">
        <v>249</v>
      </c>
      <c r="B25" s="331">
        <v>3076783</v>
      </c>
      <c r="C25" s="331">
        <v>57273</v>
      </c>
      <c r="D25" s="331">
        <f t="shared" si="0"/>
        <v>3134056</v>
      </c>
      <c r="E25"/>
      <c r="F25" s="331">
        <v>1133258</v>
      </c>
    </row>
    <row r="26" spans="1:6" ht="14.1" customHeight="1">
      <c r="A26" s="26" t="s">
        <v>250</v>
      </c>
      <c r="B26" s="27">
        <v>1537632</v>
      </c>
      <c r="C26" s="27">
        <v>3968</v>
      </c>
      <c r="D26" s="27">
        <f t="shared" si="0"/>
        <v>1541600</v>
      </c>
      <c r="E26"/>
      <c r="F26" s="27">
        <v>534268</v>
      </c>
    </row>
    <row r="27" spans="1:6" ht="14.1" customHeight="1">
      <c r="A27" s="330" t="s">
        <v>251</v>
      </c>
      <c r="B27" s="331">
        <v>885614</v>
      </c>
      <c r="C27" s="331">
        <v>41837</v>
      </c>
      <c r="D27" s="331">
        <f t="shared" si="0"/>
        <v>927451</v>
      </c>
      <c r="E27"/>
      <c r="F27" s="331">
        <v>326796</v>
      </c>
    </row>
    <row r="28" spans="1:6" ht="14.1" customHeight="1">
      <c r="A28" s="26" t="s">
        <v>252</v>
      </c>
      <c r="B28" s="27">
        <v>958233</v>
      </c>
      <c r="C28" s="27">
        <v>0</v>
      </c>
      <c r="D28" s="27">
        <f t="shared" si="0"/>
        <v>958233</v>
      </c>
      <c r="E28"/>
      <c r="F28" s="27">
        <v>465648</v>
      </c>
    </row>
    <row r="29" spans="1:6" ht="14.1" customHeight="1">
      <c r="A29" s="330" t="s">
        <v>253</v>
      </c>
      <c r="B29" s="331">
        <v>3014641</v>
      </c>
      <c r="C29" s="331">
        <v>240145</v>
      </c>
      <c r="D29" s="331">
        <f t="shared" si="0"/>
        <v>3254786</v>
      </c>
      <c r="E29"/>
      <c r="F29" s="331">
        <v>291760</v>
      </c>
    </row>
    <row r="30" spans="1:6" ht="14.1" customHeight="1">
      <c r="A30" s="26" t="s">
        <v>254</v>
      </c>
      <c r="B30" s="27">
        <v>330438</v>
      </c>
      <c r="C30" s="27">
        <v>32814</v>
      </c>
      <c r="D30" s="27">
        <f t="shared" si="0"/>
        <v>363252</v>
      </c>
      <c r="E30"/>
      <c r="F30" s="27">
        <v>279947</v>
      </c>
    </row>
    <row r="31" spans="1:6" ht="14.1" customHeight="1">
      <c r="A31" s="330" t="s">
        <v>255</v>
      </c>
      <c r="B31" s="331">
        <v>886977</v>
      </c>
      <c r="C31" s="331">
        <v>6624</v>
      </c>
      <c r="D31" s="331">
        <f t="shared" si="0"/>
        <v>893601</v>
      </c>
      <c r="E31"/>
      <c r="F31" s="331">
        <v>988831</v>
      </c>
    </row>
    <row r="32" spans="1:6" ht="14.1" customHeight="1">
      <c r="A32" s="26" t="s">
        <v>256</v>
      </c>
      <c r="B32" s="27">
        <v>1144782</v>
      </c>
      <c r="C32" s="27">
        <v>44849</v>
      </c>
      <c r="D32" s="27">
        <f t="shared" si="0"/>
        <v>1189631</v>
      </c>
      <c r="E32"/>
      <c r="F32" s="27">
        <v>393157</v>
      </c>
    </row>
    <row r="33" spans="1:6" ht="14.1" customHeight="1">
      <c r="A33" s="330" t="s">
        <v>257</v>
      </c>
      <c r="B33" s="331">
        <v>966186</v>
      </c>
      <c r="C33" s="331">
        <v>33082</v>
      </c>
      <c r="D33" s="331">
        <f t="shared" si="0"/>
        <v>999268</v>
      </c>
      <c r="E33"/>
      <c r="F33" s="331">
        <v>1221801</v>
      </c>
    </row>
    <row r="34" spans="1:6" ht="14.1" customHeight="1">
      <c r="A34" s="26" t="s">
        <v>258</v>
      </c>
      <c r="B34" s="27">
        <v>1182276</v>
      </c>
      <c r="C34" s="27">
        <v>17676</v>
      </c>
      <c r="D34" s="27">
        <f t="shared" si="0"/>
        <v>1199952</v>
      </c>
      <c r="E34"/>
      <c r="F34" s="27">
        <v>550707</v>
      </c>
    </row>
    <row r="35" spans="1:6" ht="14.1" customHeight="1">
      <c r="A35" s="330" t="s">
        <v>259</v>
      </c>
      <c r="B35" s="331">
        <v>4541541</v>
      </c>
      <c r="C35" s="331">
        <v>172948</v>
      </c>
      <c r="D35" s="331">
        <f t="shared" si="0"/>
        <v>4714489</v>
      </c>
      <c r="E35"/>
      <c r="F35" s="331">
        <v>4387361</v>
      </c>
    </row>
    <row r="36" spans="1:6" ht="14.1" customHeight="1">
      <c r="A36" s="26" t="s">
        <v>260</v>
      </c>
      <c r="B36" s="27">
        <v>980064</v>
      </c>
      <c r="C36" s="27">
        <v>0</v>
      </c>
      <c r="D36" s="27">
        <f t="shared" si="0"/>
        <v>980064</v>
      </c>
      <c r="E36"/>
      <c r="F36" s="27">
        <v>923332</v>
      </c>
    </row>
    <row r="37" spans="1:6" ht="14.1" customHeight="1">
      <c r="A37" s="330" t="s">
        <v>261</v>
      </c>
      <c r="B37" s="331">
        <v>3055663</v>
      </c>
      <c r="C37" s="331">
        <v>-1225105</v>
      </c>
      <c r="D37" s="331">
        <f t="shared" si="0"/>
        <v>1830558</v>
      </c>
      <c r="E37"/>
      <c r="F37" s="331">
        <v>830650</v>
      </c>
    </row>
    <row r="38" spans="1:6" ht="14.1" customHeight="1">
      <c r="A38" s="26" t="s">
        <v>262</v>
      </c>
      <c r="B38" s="27">
        <v>4380919</v>
      </c>
      <c r="C38" s="27">
        <v>139764</v>
      </c>
      <c r="D38" s="27">
        <f t="shared" si="0"/>
        <v>4520683</v>
      </c>
      <c r="E38"/>
      <c r="F38" s="27">
        <v>1886471</v>
      </c>
    </row>
    <row r="39" spans="1:6" ht="14.1" customHeight="1">
      <c r="A39" s="330" t="s">
        <v>263</v>
      </c>
      <c r="B39" s="331">
        <v>1731083</v>
      </c>
      <c r="C39" s="331">
        <v>4992</v>
      </c>
      <c r="D39" s="331">
        <f t="shared" si="0"/>
        <v>1736075</v>
      </c>
      <c r="E39"/>
      <c r="F39" s="331">
        <v>726427</v>
      </c>
    </row>
    <row r="40" spans="1:6" ht="14.1" customHeight="1">
      <c r="A40" s="26" t="s">
        <v>264</v>
      </c>
      <c r="B40" s="27">
        <v>1565377</v>
      </c>
      <c r="C40" s="27">
        <v>39722</v>
      </c>
      <c r="D40" s="27">
        <f t="shared" si="0"/>
        <v>1605099</v>
      </c>
      <c r="E40"/>
      <c r="F40" s="27">
        <v>2288997</v>
      </c>
    </row>
    <row r="41" spans="1:6" ht="14.1" customHeight="1">
      <c r="A41" s="330" t="s">
        <v>265</v>
      </c>
      <c r="B41" s="331">
        <v>2381269</v>
      </c>
      <c r="C41" s="331">
        <v>85317</v>
      </c>
      <c r="D41" s="331">
        <f t="shared" si="0"/>
        <v>2466586</v>
      </c>
      <c r="E41"/>
      <c r="F41" s="331">
        <v>1734474</v>
      </c>
    </row>
    <row r="42" spans="1:6" ht="14.1" customHeight="1">
      <c r="A42" s="26" t="s">
        <v>266</v>
      </c>
      <c r="B42" s="27">
        <v>681500</v>
      </c>
      <c r="C42" s="27">
        <v>80538</v>
      </c>
      <c r="D42" s="27">
        <f t="shared" si="0"/>
        <v>762038</v>
      </c>
      <c r="E42"/>
      <c r="F42" s="27">
        <v>914978</v>
      </c>
    </row>
    <row r="43" spans="1:6" ht="14.1" customHeight="1">
      <c r="A43" s="330" t="s">
        <v>267</v>
      </c>
      <c r="B43" s="331">
        <v>475821</v>
      </c>
      <c r="C43" s="331">
        <v>6333</v>
      </c>
      <c r="D43" s="331">
        <f t="shared" si="0"/>
        <v>482154</v>
      </c>
      <c r="E43"/>
      <c r="F43" s="331">
        <v>549867</v>
      </c>
    </row>
    <row r="44" spans="1:6" ht="14.1" customHeight="1">
      <c r="A44" s="26" t="s">
        <v>268</v>
      </c>
      <c r="B44" s="27">
        <v>460242</v>
      </c>
      <c r="C44" s="27">
        <v>0</v>
      </c>
      <c r="D44" s="27">
        <f t="shared" si="0"/>
        <v>460242</v>
      </c>
      <c r="E44"/>
      <c r="F44" s="27">
        <v>553310</v>
      </c>
    </row>
    <row r="45" spans="1:6" ht="14.1" customHeight="1">
      <c r="A45" s="330" t="s">
        <v>269</v>
      </c>
      <c r="B45" s="331">
        <v>766214</v>
      </c>
      <c r="C45" s="331">
        <v>0</v>
      </c>
      <c r="D45" s="331">
        <f t="shared" si="0"/>
        <v>766214</v>
      </c>
      <c r="E45"/>
      <c r="F45" s="331">
        <v>425570</v>
      </c>
    </row>
    <row r="46" spans="1:6" ht="14.1" customHeight="1">
      <c r="A46" s="26" t="s">
        <v>270</v>
      </c>
      <c r="B46" s="27">
        <v>11232812</v>
      </c>
      <c r="C46" s="27">
        <v>841023</v>
      </c>
      <c r="D46" s="27">
        <f t="shared" si="0"/>
        <v>12073835</v>
      </c>
      <c r="E46"/>
      <c r="F46" s="27">
        <v>4646612</v>
      </c>
    </row>
    <row r="47" spans="1:6" ht="5.0999999999999996" customHeight="1">
      <c r="A47" s="28"/>
      <c r="B47" s="29"/>
      <c r="C47" s="29"/>
      <c r="D47" s="29"/>
      <c r="E47"/>
      <c r="F47" s="29"/>
    </row>
    <row r="48" spans="1:6" ht="14.1" customHeight="1">
      <c r="A48" s="332" t="s">
        <v>271</v>
      </c>
      <c r="B48" s="333">
        <f>SUM(B11:B46)</f>
        <v>78395000</v>
      </c>
      <c r="C48" s="333">
        <f>SUM(C11:C46)</f>
        <v>2217140</v>
      </c>
      <c r="D48" s="333">
        <f>SUM(D11:D46)</f>
        <v>80612140</v>
      </c>
      <c r="E48"/>
      <c r="F48" s="333">
        <f>SUM(F11:F46)</f>
        <v>38269116</v>
      </c>
    </row>
    <row r="49" spans="1:6" ht="5.0999999999999996" customHeight="1">
      <c r="A49" s="28" t="s">
        <v>17</v>
      </c>
      <c r="B49" s="29"/>
      <c r="C49" s="29"/>
      <c r="D49" s="29"/>
      <c r="E49"/>
      <c r="F49" s="29"/>
    </row>
    <row r="50" spans="1:6" ht="14.1" customHeight="1">
      <c r="A50" s="26" t="s">
        <v>272</v>
      </c>
      <c r="B50" s="27">
        <v>0</v>
      </c>
      <c r="C50" s="27">
        <v>0</v>
      </c>
      <c r="D50" s="27">
        <f>SUM(B50:C50)</f>
        <v>0</v>
      </c>
      <c r="E50"/>
      <c r="F50" s="27">
        <v>49802</v>
      </c>
    </row>
    <row r="51" spans="1:6" ht="14.1" customHeight="1">
      <c r="A51" s="330" t="s">
        <v>273</v>
      </c>
      <c r="B51" s="331">
        <v>121187</v>
      </c>
      <c r="C51" s="331">
        <v>6839</v>
      </c>
      <c r="D51" s="331">
        <f>SUM(B51:C51)</f>
        <v>128026</v>
      </c>
      <c r="E51"/>
      <c r="F51" s="331">
        <v>724315</v>
      </c>
    </row>
    <row r="52" spans="1:6" ht="50.1" customHeight="1">
      <c r="A52" s="30"/>
      <c r="B52" s="30"/>
      <c r="C52" s="30"/>
      <c r="D52" s="30"/>
      <c r="E52" s="30"/>
      <c r="F52" s="30"/>
    </row>
    <row r="53" spans="1:6" ht="13.5" customHeight="1">
      <c r="A53" s="555" t="s">
        <v>643</v>
      </c>
      <c r="B53" s="206"/>
      <c r="C53" s="206"/>
      <c r="D53" s="206"/>
      <c r="E53" s="206"/>
    </row>
    <row r="54" spans="1:6">
      <c r="A54" s="555" t="s">
        <v>644</v>
      </c>
    </row>
  </sheetData>
  <mergeCells count="2">
    <mergeCell ref="B2:E2"/>
    <mergeCell ref="B3:E3"/>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44.xml><?xml version="1.0" encoding="utf-8"?>
<worksheet xmlns="http://schemas.openxmlformats.org/spreadsheetml/2006/main" xmlns:r="http://schemas.openxmlformats.org/officeDocument/2006/relationships">
  <sheetPr codeName="Sheet41">
    <pageSetUpPr fitToPage="1"/>
  </sheetPr>
  <dimension ref="A1:E55"/>
  <sheetViews>
    <sheetView showGridLines="0" showZeros="0" workbookViewId="0"/>
  </sheetViews>
  <sheetFormatPr defaultColWidth="19.83203125" defaultRowHeight="12"/>
  <cols>
    <col min="1" max="1" width="32.83203125" style="1" customWidth="1"/>
    <col min="2" max="4" width="18.83203125" style="1" customWidth="1"/>
    <col min="5" max="5" width="44.83203125" style="1" customWidth="1"/>
    <col min="6" max="16384" width="19.83203125" style="1"/>
  </cols>
  <sheetData>
    <row r="1" spans="1:5" ht="6.95" customHeight="1">
      <c r="A1" s="6"/>
      <c r="B1" s="6"/>
    </row>
    <row r="2" spans="1:5" ht="15.95" customHeight="1">
      <c r="A2" s="152"/>
      <c r="B2" s="759" t="str">
        <f>"CAPITAL FUND "&amp;FALLYR&amp;"/"&amp;SPRINGYR&amp;" ACTUAL"</f>
        <v>CAPITAL FUND 2012/2013 ACTUAL</v>
      </c>
      <c r="C2" s="759"/>
      <c r="D2" s="759"/>
      <c r="E2" s="264" t="s">
        <v>480</v>
      </c>
    </row>
    <row r="3" spans="1:5" ht="15.95" customHeight="1">
      <c r="A3" s="154"/>
      <c r="B3" s="758" t="s">
        <v>514</v>
      </c>
      <c r="C3" s="758"/>
      <c r="D3" s="758"/>
      <c r="E3" s="258"/>
    </row>
    <row r="4" spans="1:5" ht="15.95" customHeight="1">
      <c r="C4" s="7"/>
      <c r="D4" s="7"/>
    </row>
    <row r="5" spans="1:5" ht="15.95" customHeight="1">
      <c r="B5" s="595"/>
      <c r="C5" s="596"/>
      <c r="D5" s="596"/>
    </row>
    <row r="6" spans="1:5" ht="15.95" customHeight="1">
      <c r="B6" s="560" t="s">
        <v>476</v>
      </c>
      <c r="C6" s="761" t="s">
        <v>498</v>
      </c>
      <c r="D6" s="762"/>
    </row>
    <row r="7" spans="1:5" ht="15.95" customHeight="1">
      <c r="B7" s="561" t="s">
        <v>475</v>
      </c>
      <c r="C7" s="559" t="s">
        <v>499</v>
      </c>
      <c r="D7" s="544"/>
    </row>
    <row r="8" spans="1:5" ht="15.95" customHeight="1">
      <c r="A8" s="538"/>
      <c r="B8" s="561" t="s">
        <v>477</v>
      </c>
      <c r="C8" s="559" t="s">
        <v>500</v>
      </c>
      <c r="D8" s="559" t="s">
        <v>497</v>
      </c>
    </row>
    <row r="9" spans="1:5" ht="15.95" customHeight="1">
      <c r="A9" s="539" t="s">
        <v>94</v>
      </c>
      <c r="B9" s="562" t="s">
        <v>478</v>
      </c>
      <c r="C9" s="577" t="s">
        <v>510</v>
      </c>
      <c r="D9" s="577" t="s">
        <v>511</v>
      </c>
    </row>
    <row r="10" spans="1:5" ht="5.0999999999999996" customHeight="1">
      <c r="A10" s="5"/>
      <c r="B10" s="236"/>
      <c r="C10" s="236"/>
    </row>
    <row r="11" spans="1:5" ht="14.1" customHeight="1">
      <c r="A11" s="330" t="s">
        <v>236</v>
      </c>
      <c r="B11" s="565">
        <v>3108607</v>
      </c>
      <c r="C11" s="563">
        <v>2190479</v>
      </c>
      <c r="D11" s="331">
        <v>918128</v>
      </c>
    </row>
    <row r="12" spans="1:5" ht="14.1" customHeight="1">
      <c r="A12" s="26" t="s">
        <v>237</v>
      </c>
      <c r="B12" s="566">
        <v>8897756</v>
      </c>
      <c r="C12" s="564">
        <v>3387215</v>
      </c>
      <c r="D12" s="27">
        <v>5510541</v>
      </c>
    </row>
    <row r="13" spans="1:5" ht="14.1" customHeight="1">
      <c r="A13" s="330" t="s">
        <v>238</v>
      </c>
      <c r="B13" s="565">
        <v>10269033</v>
      </c>
      <c r="C13" s="563">
        <v>9327744</v>
      </c>
      <c r="D13" s="331">
        <v>941289</v>
      </c>
    </row>
    <row r="14" spans="1:5" ht="14.1" customHeight="1">
      <c r="A14" s="26" t="s">
        <v>656</v>
      </c>
      <c r="B14" s="566">
        <v>23973680</v>
      </c>
      <c r="C14" s="564">
        <v>23408680</v>
      </c>
      <c r="D14" s="27">
        <v>565000</v>
      </c>
    </row>
    <row r="15" spans="1:5" ht="14.1" customHeight="1">
      <c r="A15" s="330" t="s">
        <v>239</v>
      </c>
      <c r="B15" s="565">
        <v>4629585</v>
      </c>
      <c r="C15" s="563">
        <v>3448633</v>
      </c>
      <c r="D15" s="331">
        <v>1180952</v>
      </c>
    </row>
    <row r="16" spans="1:5" ht="14.1" customHeight="1">
      <c r="A16" s="26" t="s">
        <v>240</v>
      </c>
      <c r="B16" s="566">
        <v>1547996</v>
      </c>
      <c r="C16" s="564">
        <v>1443883</v>
      </c>
      <c r="D16" s="27">
        <v>104113</v>
      </c>
    </row>
    <row r="17" spans="1:4" ht="14.1" customHeight="1">
      <c r="A17" s="330" t="s">
        <v>241</v>
      </c>
      <c r="B17" s="565">
        <v>4348919</v>
      </c>
      <c r="C17" s="563">
        <v>3891752</v>
      </c>
      <c r="D17" s="331">
        <v>457167</v>
      </c>
    </row>
    <row r="18" spans="1:4" ht="14.1" customHeight="1">
      <c r="A18" s="26" t="s">
        <v>242</v>
      </c>
      <c r="B18" s="566">
        <v>16003760</v>
      </c>
      <c r="C18" s="564">
        <v>14234366</v>
      </c>
      <c r="D18" s="27">
        <v>1769394</v>
      </c>
    </row>
    <row r="19" spans="1:4" ht="14.1" customHeight="1">
      <c r="A19" s="330" t="s">
        <v>243</v>
      </c>
      <c r="B19" s="565">
        <v>16593193</v>
      </c>
      <c r="C19" s="563">
        <v>14426805</v>
      </c>
      <c r="D19" s="331">
        <v>2166388</v>
      </c>
    </row>
    <row r="20" spans="1:4" ht="14.1" customHeight="1">
      <c r="A20" s="26" t="s">
        <v>244</v>
      </c>
      <c r="B20" s="566">
        <v>12294839</v>
      </c>
      <c r="C20" s="564">
        <v>12109745</v>
      </c>
      <c r="D20" s="44">
        <v>185094</v>
      </c>
    </row>
    <row r="21" spans="1:4" ht="14.1" customHeight="1">
      <c r="A21" s="330" t="s">
        <v>245</v>
      </c>
      <c r="B21" s="565">
        <v>3222377</v>
      </c>
      <c r="C21" s="563">
        <v>3216822</v>
      </c>
      <c r="D21" s="331">
        <v>5555</v>
      </c>
    </row>
    <row r="22" spans="1:4" ht="14.1" customHeight="1">
      <c r="A22" s="26" t="s">
        <v>246</v>
      </c>
      <c r="B22" s="566">
        <v>619685</v>
      </c>
      <c r="C22" s="564">
        <v>619685</v>
      </c>
      <c r="D22" s="27">
        <v>0</v>
      </c>
    </row>
    <row r="23" spans="1:4" ht="14.1" customHeight="1">
      <c r="A23" s="330" t="s">
        <v>247</v>
      </c>
      <c r="B23" s="565">
        <v>2769990</v>
      </c>
      <c r="C23" s="563">
        <v>2200728</v>
      </c>
      <c r="D23" s="331">
        <v>569262</v>
      </c>
    </row>
    <row r="24" spans="1:4" ht="14.1" customHeight="1">
      <c r="A24" s="26" t="s">
        <v>248</v>
      </c>
      <c r="B24" s="566">
        <v>7180589</v>
      </c>
      <c r="C24" s="564">
        <v>7078188</v>
      </c>
      <c r="D24" s="27">
        <v>102401</v>
      </c>
    </row>
    <row r="25" spans="1:4" ht="14.1" customHeight="1">
      <c r="A25" s="330" t="s">
        <v>249</v>
      </c>
      <c r="B25" s="565">
        <v>20095265</v>
      </c>
      <c r="C25" s="563">
        <v>18247562</v>
      </c>
      <c r="D25" s="331">
        <v>1847703</v>
      </c>
    </row>
    <row r="26" spans="1:4" ht="14.1" customHeight="1">
      <c r="A26" s="26" t="s">
        <v>250</v>
      </c>
      <c r="B26" s="566">
        <v>2905378</v>
      </c>
      <c r="C26" s="564">
        <v>2563682</v>
      </c>
      <c r="D26" s="27">
        <v>341696</v>
      </c>
    </row>
    <row r="27" spans="1:4" ht="14.1" customHeight="1">
      <c r="A27" s="330" t="s">
        <v>251</v>
      </c>
      <c r="B27" s="565">
        <v>5387270</v>
      </c>
      <c r="C27" s="563">
        <v>5269255</v>
      </c>
      <c r="D27" s="331">
        <v>118015</v>
      </c>
    </row>
    <row r="28" spans="1:4" ht="14.1" customHeight="1">
      <c r="A28" s="26" t="s">
        <v>252</v>
      </c>
      <c r="B28" s="566">
        <v>2334369</v>
      </c>
      <c r="C28" s="564">
        <v>1821162</v>
      </c>
      <c r="D28" s="27">
        <v>513207</v>
      </c>
    </row>
    <row r="29" spans="1:4" ht="14.1" customHeight="1">
      <c r="A29" s="330" t="s">
        <v>253</v>
      </c>
      <c r="B29" s="565">
        <v>21525139</v>
      </c>
      <c r="C29" s="563">
        <v>18876936</v>
      </c>
      <c r="D29" s="331">
        <v>2648203</v>
      </c>
    </row>
    <row r="30" spans="1:4" ht="14.1" customHeight="1">
      <c r="A30" s="26" t="s">
        <v>254</v>
      </c>
      <c r="B30" s="566">
        <v>1814999</v>
      </c>
      <c r="C30" s="564">
        <v>1410324</v>
      </c>
      <c r="D30" s="27">
        <v>404675</v>
      </c>
    </row>
    <row r="31" spans="1:4" ht="14.1" customHeight="1">
      <c r="A31" s="330" t="s">
        <v>255</v>
      </c>
      <c r="B31" s="565">
        <v>4495297</v>
      </c>
      <c r="C31" s="563">
        <v>4370297</v>
      </c>
      <c r="D31" s="331">
        <v>125000</v>
      </c>
    </row>
    <row r="32" spans="1:4" ht="14.1" customHeight="1">
      <c r="A32" s="26" t="s">
        <v>256</v>
      </c>
      <c r="B32" s="566">
        <v>4363069</v>
      </c>
      <c r="C32" s="564">
        <v>4000308</v>
      </c>
      <c r="D32" s="27">
        <v>362761</v>
      </c>
    </row>
    <row r="33" spans="1:4" ht="14.1" customHeight="1">
      <c r="A33" s="330" t="s">
        <v>257</v>
      </c>
      <c r="B33" s="565">
        <v>5307739</v>
      </c>
      <c r="C33" s="563">
        <v>4089856</v>
      </c>
      <c r="D33" s="331">
        <v>1217883</v>
      </c>
    </row>
    <row r="34" spans="1:4" ht="14.1" customHeight="1">
      <c r="A34" s="26" t="s">
        <v>258</v>
      </c>
      <c r="B34" s="566">
        <v>5294987</v>
      </c>
      <c r="C34" s="564">
        <v>4862497</v>
      </c>
      <c r="D34" s="27">
        <v>432490</v>
      </c>
    </row>
    <row r="35" spans="1:4" ht="14.1" customHeight="1">
      <c r="A35" s="330" t="s">
        <v>259</v>
      </c>
      <c r="B35" s="565">
        <v>28540144</v>
      </c>
      <c r="C35" s="563">
        <v>22042498</v>
      </c>
      <c r="D35" s="331">
        <v>6497646</v>
      </c>
    </row>
    <row r="36" spans="1:4" ht="14.1" customHeight="1">
      <c r="A36" s="26" t="s">
        <v>260</v>
      </c>
      <c r="B36" s="566">
        <v>4911580</v>
      </c>
      <c r="C36" s="564">
        <v>2324623</v>
      </c>
      <c r="D36" s="27">
        <v>2586957</v>
      </c>
    </row>
    <row r="37" spans="1:4" ht="14.1" customHeight="1">
      <c r="A37" s="330" t="s">
        <v>261</v>
      </c>
      <c r="B37" s="565">
        <v>6370004</v>
      </c>
      <c r="C37" s="563">
        <v>5890011</v>
      </c>
      <c r="D37" s="331">
        <v>479993</v>
      </c>
    </row>
    <row r="38" spans="1:4" ht="14.1" customHeight="1">
      <c r="A38" s="26" t="s">
        <v>262</v>
      </c>
      <c r="B38" s="566">
        <v>35390679</v>
      </c>
      <c r="C38" s="564">
        <v>29474435</v>
      </c>
      <c r="D38" s="27">
        <v>5916244</v>
      </c>
    </row>
    <row r="39" spans="1:4" ht="14.1" customHeight="1">
      <c r="A39" s="330" t="s">
        <v>263</v>
      </c>
      <c r="B39" s="565">
        <v>2431499</v>
      </c>
      <c r="C39" s="563">
        <v>2117050</v>
      </c>
      <c r="D39" s="331">
        <v>314449</v>
      </c>
    </row>
    <row r="40" spans="1:4" ht="14.1" customHeight="1">
      <c r="A40" s="26" t="s">
        <v>264</v>
      </c>
      <c r="B40" s="566">
        <v>30538642</v>
      </c>
      <c r="C40" s="564">
        <v>25212570</v>
      </c>
      <c r="D40" s="27">
        <v>5326072</v>
      </c>
    </row>
    <row r="41" spans="1:4" ht="14.1" customHeight="1">
      <c r="A41" s="330" t="s">
        <v>265</v>
      </c>
      <c r="B41" s="565">
        <v>12576464</v>
      </c>
      <c r="C41" s="563">
        <v>9358190</v>
      </c>
      <c r="D41" s="331">
        <v>3218274</v>
      </c>
    </row>
    <row r="42" spans="1:4" ht="14.1" customHeight="1">
      <c r="A42" s="26" t="s">
        <v>266</v>
      </c>
      <c r="B42" s="566">
        <v>4343022</v>
      </c>
      <c r="C42" s="564">
        <v>2208312</v>
      </c>
      <c r="D42" s="27">
        <v>2134710</v>
      </c>
    </row>
    <row r="43" spans="1:4" ht="14.1" customHeight="1">
      <c r="A43" s="330" t="s">
        <v>267</v>
      </c>
      <c r="B43" s="565">
        <v>1338875</v>
      </c>
      <c r="C43" s="563">
        <v>732004</v>
      </c>
      <c r="D43" s="331">
        <v>606871</v>
      </c>
    </row>
    <row r="44" spans="1:4" ht="14.1" customHeight="1">
      <c r="A44" s="26" t="s">
        <v>268</v>
      </c>
      <c r="B44" s="566">
        <v>2592998</v>
      </c>
      <c r="C44" s="564">
        <v>1241803</v>
      </c>
      <c r="D44" s="27">
        <v>1351195</v>
      </c>
    </row>
    <row r="45" spans="1:4" ht="14.1" customHeight="1">
      <c r="A45" s="330" t="s">
        <v>269</v>
      </c>
      <c r="B45" s="565">
        <v>3950783</v>
      </c>
      <c r="C45" s="563">
        <v>3641428</v>
      </c>
      <c r="D45" s="331">
        <v>309355</v>
      </c>
    </row>
    <row r="46" spans="1:4" ht="14.1" customHeight="1">
      <c r="A46" s="26" t="s">
        <v>270</v>
      </c>
      <c r="B46" s="566">
        <v>51946419</v>
      </c>
      <c r="C46" s="564">
        <v>49015819</v>
      </c>
      <c r="D46" s="27">
        <v>2930600</v>
      </c>
    </row>
    <row r="47" spans="1:4" ht="5.0999999999999996" customHeight="1">
      <c r="A47" s="28"/>
      <c r="B47" s="29"/>
      <c r="C47" s="29"/>
      <c r="D47" s="29"/>
    </row>
    <row r="48" spans="1:4" ht="14.1" customHeight="1">
      <c r="A48" s="332" t="s">
        <v>271</v>
      </c>
      <c r="B48" s="568">
        <f>SUM(B11:B46)</f>
        <v>373914630</v>
      </c>
      <c r="C48" s="567">
        <f>SUM(C11:C46)</f>
        <v>319755347</v>
      </c>
      <c r="D48" s="333">
        <f>SUM(D11:D46)</f>
        <v>54159283</v>
      </c>
    </row>
    <row r="49" spans="1:5" ht="5.0999999999999996" customHeight="1">
      <c r="A49" s="28" t="s">
        <v>17</v>
      </c>
      <c r="B49" s="29"/>
      <c r="C49" s="29"/>
      <c r="D49" s="29"/>
    </row>
    <row r="50" spans="1:5" ht="14.1" customHeight="1">
      <c r="A50" s="26" t="s">
        <v>272</v>
      </c>
      <c r="B50" s="566">
        <v>1175102</v>
      </c>
      <c r="C50" s="564">
        <v>1175102</v>
      </c>
      <c r="D50" s="44">
        <v>0</v>
      </c>
    </row>
    <row r="51" spans="1:5" ht="14.1" customHeight="1">
      <c r="A51" s="330" t="s">
        <v>273</v>
      </c>
      <c r="B51" s="565">
        <v>5075117</v>
      </c>
      <c r="C51" s="563">
        <v>5075117</v>
      </c>
      <c r="D51" s="331">
        <v>0</v>
      </c>
    </row>
    <row r="52" spans="1:5" ht="50.1" customHeight="1">
      <c r="A52" s="30"/>
      <c r="B52" s="30"/>
      <c r="C52" s="30"/>
      <c r="D52" s="30"/>
      <c r="E52" s="30"/>
    </row>
    <row r="53" spans="1:5" ht="15" customHeight="1">
      <c r="A53" s="586" t="s">
        <v>645</v>
      </c>
      <c r="B53" s="206"/>
      <c r="C53" s="206"/>
      <c r="D53" s="206"/>
      <c r="E53" s="206"/>
    </row>
    <row r="54" spans="1:5">
      <c r="A54" s="586" t="s">
        <v>518</v>
      </c>
    </row>
    <row r="55" spans="1:5">
      <c r="A55" s="681" t="s">
        <v>646</v>
      </c>
    </row>
  </sheetData>
  <mergeCells count="3">
    <mergeCell ref="C6:D6"/>
    <mergeCell ref="B2:D2"/>
    <mergeCell ref="B3:D3"/>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45.xml><?xml version="1.0" encoding="utf-8"?>
<worksheet xmlns="http://schemas.openxmlformats.org/spreadsheetml/2006/main" xmlns:r="http://schemas.openxmlformats.org/officeDocument/2006/relationships">
  <sheetPr codeName="Sheet43"/>
  <dimension ref="A1:G57"/>
  <sheetViews>
    <sheetView showGridLines="0" showZeros="0" workbookViewId="0"/>
  </sheetViews>
  <sheetFormatPr defaultColWidth="15.83203125" defaultRowHeight="12"/>
  <cols>
    <col min="1" max="1" width="29" style="1" customWidth="1"/>
    <col min="2" max="2" width="14.33203125" style="1" customWidth="1"/>
    <col min="3" max="3" width="16.33203125" style="1" customWidth="1"/>
    <col min="4" max="4" width="15.1640625" style="1" customWidth="1"/>
    <col min="5" max="5" width="15" style="1" customWidth="1"/>
    <col min="6" max="6" width="15.1640625" style="1" customWidth="1"/>
    <col min="7" max="7" width="16.6640625" style="1" customWidth="1"/>
    <col min="8" max="16384" width="15.83203125" style="1"/>
  </cols>
  <sheetData>
    <row r="1" spans="1:7" ht="6.95" customHeight="1">
      <c r="A1" s="6"/>
    </row>
    <row r="2" spans="1:7" ht="15.95" customHeight="1">
      <c r="A2" s="152"/>
      <c r="B2" s="759" t="str">
        <f>"CAPITAL FUND "&amp;FALLYR&amp;"/"&amp;SPRINGYR&amp;" ACTUAL"</f>
        <v>CAPITAL FUND 2012/2013 ACTUAL</v>
      </c>
      <c r="C2" s="759"/>
      <c r="D2" s="759"/>
      <c r="E2" s="759"/>
      <c r="F2" s="759"/>
      <c r="G2" s="264" t="s">
        <v>482</v>
      </c>
    </row>
    <row r="3" spans="1:7" ht="15.95" customHeight="1">
      <c r="A3" s="154"/>
      <c r="B3" s="758" t="s">
        <v>4</v>
      </c>
      <c r="C3" s="758"/>
      <c r="D3" s="758"/>
      <c r="E3" s="758"/>
      <c r="F3" s="758"/>
      <c r="G3" s="258"/>
    </row>
    <row r="4" spans="1:7" ht="15.95" customHeight="1">
      <c r="B4" s="7"/>
      <c r="C4" s="259"/>
      <c r="D4" s="7"/>
      <c r="E4" s="7"/>
    </row>
    <row r="5" spans="1:7" ht="15.95" customHeight="1">
      <c r="B5" s="7"/>
      <c r="C5" s="7"/>
      <c r="D5" s="7"/>
      <c r="E5" s="7"/>
    </row>
    <row r="6" spans="1:7" ht="15.95" customHeight="1">
      <c r="B6" s="765" t="s">
        <v>528</v>
      </c>
      <c r="C6" s="766"/>
      <c r="D6" s="766"/>
      <c r="E6" s="766"/>
      <c r="F6" s="766"/>
      <c r="G6" s="767"/>
    </row>
    <row r="7" spans="1:7" ht="15.95" customHeight="1">
      <c r="B7" s="569"/>
      <c r="C7" s="610"/>
      <c r="D7" s="590" t="s">
        <v>523</v>
      </c>
      <c r="E7" s="590" t="s">
        <v>524</v>
      </c>
      <c r="F7" s="569"/>
      <c r="G7" s="547"/>
    </row>
    <row r="8" spans="1:7" ht="15.95" customHeight="1">
      <c r="A8" s="538"/>
      <c r="B8" s="763" t="s">
        <v>509</v>
      </c>
      <c r="C8" s="591"/>
      <c r="D8" s="591" t="s">
        <v>525</v>
      </c>
      <c r="E8" s="591" t="s">
        <v>526</v>
      </c>
      <c r="F8" s="570"/>
      <c r="G8" s="548"/>
    </row>
    <row r="9" spans="1:7" ht="15.95" customHeight="1">
      <c r="A9" s="539" t="s">
        <v>94</v>
      </c>
      <c r="B9" s="764"/>
      <c r="C9" s="571" t="s">
        <v>543</v>
      </c>
      <c r="D9" s="543" t="s">
        <v>158</v>
      </c>
      <c r="E9" s="592" t="s">
        <v>674</v>
      </c>
      <c r="F9" s="571" t="s">
        <v>675</v>
      </c>
      <c r="G9" s="346" t="s">
        <v>68</v>
      </c>
    </row>
    <row r="10" spans="1:7" ht="5.0999999999999996" customHeight="1">
      <c r="A10" s="5"/>
      <c r="B10" s="236"/>
      <c r="C10" s="236"/>
      <c r="D10" s="236"/>
      <c r="E10" s="236"/>
      <c r="F10" s="236"/>
      <c r="G10" s="236"/>
    </row>
    <row r="11" spans="1:7" ht="14.1" customHeight="1">
      <c r="A11" s="330" t="s">
        <v>236</v>
      </c>
      <c r="B11" s="331">
        <v>0</v>
      </c>
      <c r="C11" s="331">
        <v>1461526</v>
      </c>
      <c r="D11" s="331">
        <v>23375</v>
      </c>
      <c r="E11" s="331">
        <v>195022</v>
      </c>
      <c r="F11" s="331">
        <v>178027</v>
      </c>
      <c r="G11" s="331">
        <f>SUM(B11:F11)</f>
        <v>1857950</v>
      </c>
    </row>
    <row r="12" spans="1:7" ht="14.1" customHeight="1">
      <c r="A12" s="26" t="s">
        <v>237</v>
      </c>
      <c r="B12" s="27">
        <v>68778</v>
      </c>
      <c r="C12" s="27">
        <v>665042</v>
      </c>
      <c r="D12" s="27">
        <v>225585</v>
      </c>
      <c r="E12" s="27">
        <v>49074</v>
      </c>
      <c r="F12" s="27">
        <v>315247</v>
      </c>
      <c r="G12" s="27">
        <f>SUM(B12:F12)</f>
        <v>1323726</v>
      </c>
    </row>
    <row r="13" spans="1:7" ht="14.1" customHeight="1">
      <c r="A13" s="330" t="s">
        <v>238</v>
      </c>
      <c r="B13" s="331">
        <v>216383</v>
      </c>
      <c r="C13" s="331">
        <v>4284161</v>
      </c>
      <c r="D13" s="331">
        <v>0</v>
      </c>
      <c r="E13" s="331">
        <v>1117547</v>
      </c>
      <c r="F13" s="331">
        <v>327209</v>
      </c>
      <c r="G13" s="331">
        <f t="shared" ref="G13:G46" si="0">SUM(B13:F13)</f>
        <v>5945300</v>
      </c>
    </row>
    <row r="14" spans="1:7" ht="14.1" customHeight="1">
      <c r="A14" s="26" t="s">
        <v>656</v>
      </c>
      <c r="B14" s="27">
        <v>209562</v>
      </c>
      <c r="C14" s="27">
        <v>6402507</v>
      </c>
      <c r="D14" s="27">
        <v>149312</v>
      </c>
      <c r="E14" s="27">
        <v>180329</v>
      </c>
      <c r="F14" s="27">
        <v>0</v>
      </c>
      <c r="G14" s="27">
        <f t="shared" si="0"/>
        <v>6941710</v>
      </c>
    </row>
    <row r="15" spans="1:7" ht="14.1" customHeight="1">
      <c r="A15" s="330" t="s">
        <v>239</v>
      </c>
      <c r="B15" s="331">
        <v>0</v>
      </c>
      <c r="C15" s="331">
        <v>548868</v>
      </c>
      <c r="D15" s="331">
        <v>135625</v>
      </c>
      <c r="E15" s="331">
        <v>125923</v>
      </c>
      <c r="F15" s="331">
        <v>305390</v>
      </c>
      <c r="G15" s="331">
        <f t="shared" si="0"/>
        <v>1115806</v>
      </c>
    </row>
    <row r="16" spans="1:7" ht="14.1" customHeight="1">
      <c r="A16" s="26" t="s">
        <v>240</v>
      </c>
      <c r="B16" s="27">
        <v>0</v>
      </c>
      <c r="C16" s="27">
        <v>317382</v>
      </c>
      <c r="D16" s="27">
        <v>0</v>
      </c>
      <c r="E16" s="27">
        <v>0</v>
      </c>
      <c r="F16" s="27">
        <v>20887</v>
      </c>
      <c r="G16" s="27">
        <f t="shared" si="0"/>
        <v>338269</v>
      </c>
    </row>
    <row r="17" spans="1:7" ht="14.1" customHeight="1">
      <c r="A17" s="330" t="s">
        <v>241</v>
      </c>
      <c r="B17" s="331">
        <v>0</v>
      </c>
      <c r="C17" s="331">
        <v>1032108</v>
      </c>
      <c r="D17" s="331">
        <v>94500</v>
      </c>
      <c r="E17" s="331">
        <v>14462</v>
      </c>
      <c r="F17" s="331">
        <v>416675</v>
      </c>
      <c r="G17" s="331">
        <f t="shared" si="0"/>
        <v>1557745</v>
      </c>
    </row>
    <row r="18" spans="1:7" ht="14.1" customHeight="1">
      <c r="A18" s="26" t="s">
        <v>242</v>
      </c>
      <c r="B18" s="27">
        <v>0</v>
      </c>
      <c r="C18" s="27">
        <v>1034050</v>
      </c>
      <c r="D18" s="27">
        <v>63019</v>
      </c>
      <c r="E18" s="27">
        <v>0</v>
      </c>
      <c r="F18" s="27">
        <v>1020892</v>
      </c>
      <c r="G18" s="27">
        <f t="shared" si="0"/>
        <v>2117961</v>
      </c>
    </row>
    <row r="19" spans="1:7" ht="14.1" customHeight="1">
      <c r="A19" s="330" t="s">
        <v>243</v>
      </c>
      <c r="B19" s="331">
        <v>0</v>
      </c>
      <c r="C19" s="331">
        <v>18272555</v>
      </c>
      <c r="D19" s="331">
        <v>203610</v>
      </c>
      <c r="E19" s="331">
        <v>142311</v>
      </c>
      <c r="F19" s="331">
        <v>644035</v>
      </c>
      <c r="G19" s="331">
        <f t="shared" si="0"/>
        <v>19262511</v>
      </c>
    </row>
    <row r="20" spans="1:7" ht="14.1" customHeight="1">
      <c r="A20" s="26" t="s">
        <v>244</v>
      </c>
      <c r="B20" s="27">
        <v>1983719</v>
      </c>
      <c r="C20" s="27">
        <v>15776102</v>
      </c>
      <c r="D20" s="27">
        <v>231044</v>
      </c>
      <c r="E20" s="27">
        <v>256720</v>
      </c>
      <c r="F20" s="27">
        <v>746570</v>
      </c>
      <c r="G20" s="27">
        <f t="shared" si="0"/>
        <v>18994155</v>
      </c>
    </row>
    <row r="21" spans="1:7" ht="14.1" customHeight="1">
      <c r="A21" s="330" t="s">
        <v>245</v>
      </c>
      <c r="B21" s="331">
        <v>0</v>
      </c>
      <c r="C21" s="331">
        <v>0</v>
      </c>
      <c r="D21" s="331">
        <v>11389</v>
      </c>
      <c r="E21" s="331">
        <v>0</v>
      </c>
      <c r="F21" s="331">
        <v>62524</v>
      </c>
      <c r="G21" s="331">
        <f t="shared" si="0"/>
        <v>73913</v>
      </c>
    </row>
    <row r="22" spans="1:7" ht="14.1" customHeight="1">
      <c r="A22" s="26" t="s">
        <v>246</v>
      </c>
      <c r="B22" s="27">
        <v>0</v>
      </c>
      <c r="C22" s="27">
        <v>4932541</v>
      </c>
      <c r="D22" s="27">
        <v>66442</v>
      </c>
      <c r="E22" s="27">
        <v>0</v>
      </c>
      <c r="F22" s="27">
        <v>20601</v>
      </c>
      <c r="G22" s="27">
        <f t="shared" si="0"/>
        <v>5019584</v>
      </c>
    </row>
    <row r="23" spans="1:7" ht="14.1" customHeight="1">
      <c r="A23" s="330" t="s">
        <v>247</v>
      </c>
      <c r="B23" s="331">
        <v>13850</v>
      </c>
      <c r="C23" s="331">
        <v>323945</v>
      </c>
      <c r="D23" s="331">
        <v>308357</v>
      </c>
      <c r="E23" s="331">
        <v>0</v>
      </c>
      <c r="F23" s="331">
        <v>457774</v>
      </c>
      <c r="G23" s="331">
        <f t="shared" si="0"/>
        <v>1103926</v>
      </c>
    </row>
    <row r="24" spans="1:7" ht="14.1" customHeight="1">
      <c r="A24" s="26" t="s">
        <v>248</v>
      </c>
      <c r="B24" s="27">
        <v>150927</v>
      </c>
      <c r="C24" s="27">
        <v>1032161</v>
      </c>
      <c r="D24" s="27">
        <v>155757</v>
      </c>
      <c r="E24" s="27">
        <v>36249</v>
      </c>
      <c r="F24" s="27">
        <v>499349</v>
      </c>
      <c r="G24" s="27">
        <f t="shared" si="0"/>
        <v>1874443</v>
      </c>
    </row>
    <row r="25" spans="1:7" ht="14.1" customHeight="1">
      <c r="A25" s="330" t="s">
        <v>249</v>
      </c>
      <c r="B25" s="331">
        <v>0</v>
      </c>
      <c r="C25" s="331">
        <v>1711441</v>
      </c>
      <c r="D25" s="331">
        <v>545423</v>
      </c>
      <c r="E25" s="331">
        <v>265737</v>
      </c>
      <c r="F25" s="331">
        <v>292227</v>
      </c>
      <c r="G25" s="331">
        <f t="shared" si="0"/>
        <v>2814828</v>
      </c>
    </row>
    <row r="26" spans="1:7" ht="14.1" customHeight="1">
      <c r="A26" s="26" t="s">
        <v>250</v>
      </c>
      <c r="B26" s="27">
        <v>0</v>
      </c>
      <c r="C26" s="27">
        <v>1948611</v>
      </c>
      <c r="D26" s="27">
        <v>0</v>
      </c>
      <c r="E26" s="27">
        <v>0</v>
      </c>
      <c r="F26" s="27">
        <v>430276</v>
      </c>
      <c r="G26" s="27">
        <f t="shared" si="0"/>
        <v>2378887</v>
      </c>
    </row>
    <row r="27" spans="1:7" ht="14.1" customHeight="1">
      <c r="A27" s="330" t="s">
        <v>251</v>
      </c>
      <c r="B27" s="331">
        <v>90637</v>
      </c>
      <c r="C27" s="331">
        <v>1197875</v>
      </c>
      <c r="D27" s="331">
        <v>152019</v>
      </c>
      <c r="E27" s="331">
        <v>90192</v>
      </c>
      <c r="F27" s="331">
        <v>12000</v>
      </c>
      <c r="G27" s="331">
        <f t="shared" si="0"/>
        <v>1542723</v>
      </c>
    </row>
    <row r="28" spans="1:7" ht="14.1" customHeight="1">
      <c r="A28" s="26" t="s">
        <v>252</v>
      </c>
      <c r="B28" s="27">
        <v>0</v>
      </c>
      <c r="C28" s="27">
        <v>295064</v>
      </c>
      <c r="D28" s="27">
        <v>39311</v>
      </c>
      <c r="E28" s="27">
        <v>85661</v>
      </c>
      <c r="F28" s="27">
        <v>287054</v>
      </c>
      <c r="G28" s="27">
        <f t="shared" si="0"/>
        <v>707090</v>
      </c>
    </row>
    <row r="29" spans="1:7" ht="14.1" customHeight="1">
      <c r="A29" s="330" t="s">
        <v>253</v>
      </c>
      <c r="B29" s="331">
        <v>262179</v>
      </c>
      <c r="C29" s="331">
        <v>6037918</v>
      </c>
      <c r="D29" s="331">
        <v>527461</v>
      </c>
      <c r="E29" s="331">
        <v>92470</v>
      </c>
      <c r="F29" s="331">
        <v>281724</v>
      </c>
      <c r="G29" s="331">
        <f t="shared" si="0"/>
        <v>7201752</v>
      </c>
    </row>
    <row r="30" spans="1:7" ht="14.1" customHeight="1">
      <c r="A30" s="26" t="s">
        <v>254</v>
      </c>
      <c r="B30" s="27">
        <v>0</v>
      </c>
      <c r="C30" s="27">
        <v>666436</v>
      </c>
      <c r="D30" s="27">
        <v>0</v>
      </c>
      <c r="E30" s="27">
        <v>0</v>
      </c>
      <c r="F30" s="27">
        <v>227556</v>
      </c>
      <c r="G30" s="27">
        <f t="shared" si="0"/>
        <v>893992</v>
      </c>
    </row>
    <row r="31" spans="1:7" ht="14.1" customHeight="1">
      <c r="A31" s="330" t="s">
        <v>255</v>
      </c>
      <c r="B31" s="331">
        <v>0</v>
      </c>
      <c r="C31" s="331">
        <v>417467</v>
      </c>
      <c r="D31" s="331">
        <v>11289</v>
      </c>
      <c r="E31" s="331">
        <v>873408</v>
      </c>
      <c r="F31" s="331">
        <v>103902</v>
      </c>
      <c r="G31" s="331">
        <f t="shared" si="0"/>
        <v>1406066</v>
      </c>
    </row>
    <row r="32" spans="1:7" ht="14.1" customHeight="1">
      <c r="A32" s="26" t="s">
        <v>256</v>
      </c>
      <c r="B32" s="27">
        <v>0</v>
      </c>
      <c r="C32" s="27">
        <v>987428</v>
      </c>
      <c r="D32" s="27">
        <v>0</v>
      </c>
      <c r="E32" s="27">
        <v>0</v>
      </c>
      <c r="F32" s="27">
        <v>282488</v>
      </c>
      <c r="G32" s="27">
        <f t="shared" si="0"/>
        <v>1269916</v>
      </c>
    </row>
    <row r="33" spans="1:7" ht="14.1" customHeight="1">
      <c r="A33" s="330" t="s">
        <v>257</v>
      </c>
      <c r="B33" s="331">
        <v>5669</v>
      </c>
      <c r="C33" s="331">
        <v>189753</v>
      </c>
      <c r="D33" s="331">
        <v>0</v>
      </c>
      <c r="E33" s="331">
        <v>0</v>
      </c>
      <c r="F33" s="331">
        <v>390189</v>
      </c>
      <c r="G33" s="331">
        <f t="shared" si="0"/>
        <v>585611</v>
      </c>
    </row>
    <row r="34" spans="1:7" ht="14.1" customHeight="1">
      <c r="A34" s="26" t="s">
        <v>258</v>
      </c>
      <c r="B34" s="27">
        <v>39268</v>
      </c>
      <c r="C34" s="27">
        <v>3870407</v>
      </c>
      <c r="D34" s="27">
        <v>140908</v>
      </c>
      <c r="E34" s="27">
        <v>38340</v>
      </c>
      <c r="F34" s="27">
        <v>396835</v>
      </c>
      <c r="G34" s="27">
        <f t="shared" si="0"/>
        <v>4485758</v>
      </c>
    </row>
    <row r="35" spans="1:7" ht="14.1" customHeight="1">
      <c r="A35" s="330" t="s">
        <v>259</v>
      </c>
      <c r="B35" s="331">
        <v>422241</v>
      </c>
      <c r="C35" s="331">
        <v>2817171</v>
      </c>
      <c r="D35" s="331">
        <v>315975</v>
      </c>
      <c r="E35" s="331">
        <v>2368316</v>
      </c>
      <c r="F35" s="331">
        <v>697215</v>
      </c>
      <c r="G35" s="331">
        <f t="shared" si="0"/>
        <v>6620918</v>
      </c>
    </row>
    <row r="36" spans="1:7" ht="14.1" customHeight="1">
      <c r="A36" s="26" t="s">
        <v>260</v>
      </c>
      <c r="B36" s="27">
        <v>0</v>
      </c>
      <c r="C36" s="27">
        <v>482036</v>
      </c>
      <c r="D36" s="27">
        <v>50436</v>
      </c>
      <c r="E36" s="27">
        <v>0</v>
      </c>
      <c r="F36" s="27">
        <v>397640</v>
      </c>
      <c r="G36" s="27">
        <f t="shared" si="0"/>
        <v>930112</v>
      </c>
    </row>
    <row r="37" spans="1:7" ht="14.1" customHeight="1">
      <c r="A37" s="330" t="s">
        <v>261</v>
      </c>
      <c r="B37" s="331">
        <v>0</v>
      </c>
      <c r="C37" s="331">
        <v>4645283</v>
      </c>
      <c r="D37" s="331">
        <v>112570</v>
      </c>
      <c r="E37" s="331">
        <v>0</v>
      </c>
      <c r="F37" s="331">
        <v>493702</v>
      </c>
      <c r="G37" s="331">
        <f t="shared" si="0"/>
        <v>5251555</v>
      </c>
    </row>
    <row r="38" spans="1:7" ht="14.1" customHeight="1">
      <c r="A38" s="26" t="s">
        <v>262</v>
      </c>
      <c r="B38" s="27">
        <v>852484</v>
      </c>
      <c r="C38" s="27">
        <v>9136724</v>
      </c>
      <c r="D38" s="27">
        <v>202516</v>
      </c>
      <c r="E38" s="27">
        <v>69082</v>
      </c>
      <c r="F38" s="27">
        <v>427165</v>
      </c>
      <c r="G38" s="27">
        <f t="shared" si="0"/>
        <v>10687971</v>
      </c>
    </row>
    <row r="39" spans="1:7" ht="14.1" customHeight="1">
      <c r="A39" s="330" t="s">
        <v>263</v>
      </c>
      <c r="B39" s="331">
        <v>22010</v>
      </c>
      <c r="C39" s="331">
        <v>270429</v>
      </c>
      <c r="D39" s="331">
        <v>49682</v>
      </c>
      <c r="E39" s="331">
        <v>0</v>
      </c>
      <c r="F39" s="331">
        <v>305448</v>
      </c>
      <c r="G39" s="331">
        <f t="shared" si="0"/>
        <v>647569</v>
      </c>
    </row>
    <row r="40" spans="1:7" ht="14.1" customHeight="1">
      <c r="A40" s="26" t="s">
        <v>264</v>
      </c>
      <c r="B40" s="27">
        <v>224607</v>
      </c>
      <c r="C40" s="27">
        <v>2919899</v>
      </c>
      <c r="D40" s="27">
        <v>191830</v>
      </c>
      <c r="E40" s="27">
        <v>135859</v>
      </c>
      <c r="F40" s="27">
        <v>0</v>
      </c>
      <c r="G40" s="27">
        <f t="shared" si="0"/>
        <v>3472195</v>
      </c>
    </row>
    <row r="41" spans="1:7" ht="14.1" customHeight="1">
      <c r="A41" s="330" t="s">
        <v>265</v>
      </c>
      <c r="B41" s="331">
        <v>62020</v>
      </c>
      <c r="C41" s="331">
        <v>3304776</v>
      </c>
      <c r="D41" s="331">
        <v>270254</v>
      </c>
      <c r="E41" s="331">
        <v>229675</v>
      </c>
      <c r="F41" s="331">
        <v>760161</v>
      </c>
      <c r="G41" s="331">
        <f t="shared" si="0"/>
        <v>4626886</v>
      </c>
    </row>
    <row r="42" spans="1:7" ht="14.1" customHeight="1">
      <c r="A42" s="26" t="s">
        <v>266</v>
      </c>
      <c r="B42" s="27">
        <v>0</v>
      </c>
      <c r="C42" s="27">
        <v>2645573</v>
      </c>
      <c r="D42" s="27">
        <v>96620</v>
      </c>
      <c r="E42" s="27">
        <v>111734</v>
      </c>
      <c r="F42" s="27">
        <v>286488</v>
      </c>
      <c r="G42" s="27">
        <f t="shared" si="0"/>
        <v>3140415</v>
      </c>
    </row>
    <row r="43" spans="1:7" ht="14.1" customHeight="1">
      <c r="A43" s="330" t="s">
        <v>267</v>
      </c>
      <c r="B43" s="331">
        <v>0</v>
      </c>
      <c r="C43" s="331">
        <v>74372</v>
      </c>
      <c r="D43" s="331">
        <v>23388</v>
      </c>
      <c r="E43" s="331">
        <v>0</v>
      </c>
      <c r="F43" s="331">
        <v>176053</v>
      </c>
      <c r="G43" s="331">
        <f t="shared" si="0"/>
        <v>273813</v>
      </c>
    </row>
    <row r="44" spans="1:7" ht="14.1" customHeight="1">
      <c r="A44" s="26" t="s">
        <v>268</v>
      </c>
      <c r="B44" s="27">
        <v>0</v>
      </c>
      <c r="C44" s="27">
        <v>21529</v>
      </c>
      <c r="D44" s="27">
        <v>27229</v>
      </c>
      <c r="E44" s="27">
        <v>0</v>
      </c>
      <c r="F44" s="27">
        <v>40724</v>
      </c>
      <c r="G44" s="27">
        <f t="shared" si="0"/>
        <v>89482</v>
      </c>
    </row>
    <row r="45" spans="1:7" ht="14.1" customHeight="1">
      <c r="A45" s="330" t="s">
        <v>269</v>
      </c>
      <c r="B45" s="331">
        <v>0</v>
      </c>
      <c r="C45" s="331">
        <v>700811</v>
      </c>
      <c r="D45" s="331">
        <v>0</v>
      </c>
      <c r="E45" s="331">
        <v>0</v>
      </c>
      <c r="F45" s="331">
        <v>0</v>
      </c>
      <c r="G45" s="331">
        <f t="shared" si="0"/>
        <v>700811</v>
      </c>
    </row>
    <row r="46" spans="1:7" ht="14.1" customHeight="1">
      <c r="A46" s="26" t="s">
        <v>270</v>
      </c>
      <c r="B46" s="27">
        <v>1489315</v>
      </c>
      <c r="C46" s="27">
        <v>9686789</v>
      </c>
      <c r="D46" s="27">
        <v>379106</v>
      </c>
      <c r="E46" s="27">
        <v>264545</v>
      </c>
      <c r="F46" s="27">
        <v>108266</v>
      </c>
      <c r="G46" s="27">
        <f t="shared" si="0"/>
        <v>11928021</v>
      </c>
    </row>
    <row r="47" spans="1:7" ht="5.0999999999999996" customHeight="1">
      <c r="A47" s="28"/>
      <c r="B47" s="29"/>
      <c r="C47" s="29"/>
      <c r="D47" s="29"/>
      <c r="E47" s="29"/>
      <c r="F47" s="29"/>
      <c r="G47" s="29"/>
    </row>
    <row r="48" spans="1:7" ht="14.1" customHeight="1">
      <c r="A48" s="332" t="s">
        <v>271</v>
      </c>
      <c r="B48" s="333">
        <f t="shared" ref="B48:G48" si="1">SUM(B11:B46)</f>
        <v>6113649</v>
      </c>
      <c r="C48" s="333">
        <f t="shared" si="1"/>
        <v>110110740</v>
      </c>
      <c r="D48" s="333">
        <f t="shared" si="1"/>
        <v>4804032</v>
      </c>
      <c r="E48" s="333">
        <f t="shared" si="1"/>
        <v>6742656</v>
      </c>
      <c r="F48" s="333">
        <f t="shared" si="1"/>
        <v>11412293</v>
      </c>
      <c r="G48" s="333">
        <f t="shared" si="1"/>
        <v>139183370</v>
      </c>
    </row>
    <row r="49" spans="1:7" ht="5.0999999999999996" customHeight="1">
      <c r="A49" s="28" t="s">
        <v>17</v>
      </c>
      <c r="B49" s="29"/>
      <c r="C49" s="29"/>
      <c r="D49" s="29"/>
      <c r="E49" s="29"/>
      <c r="F49" s="29"/>
      <c r="G49" s="29"/>
    </row>
    <row r="50" spans="1:7" ht="14.1" customHeight="1">
      <c r="A50" s="26" t="s">
        <v>272</v>
      </c>
      <c r="B50" s="27">
        <v>0</v>
      </c>
      <c r="C50" s="27">
        <v>0</v>
      </c>
      <c r="D50" s="27">
        <v>0</v>
      </c>
      <c r="E50" s="27">
        <v>0</v>
      </c>
      <c r="F50" s="27">
        <v>0</v>
      </c>
      <c r="G50" s="27">
        <f>SUM(B50:F50)</f>
        <v>0</v>
      </c>
    </row>
    <row r="51" spans="1:7" ht="14.1" customHeight="1">
      <c r="A51" s="330" t="s">
        <v>273</v>
      </c>
      <c r="B51" s="331">
        <v>0</v>
      </c>
      <c r="C51" s="331">
        <v>1375597</v>
      </c>
      <c r="D51" s="331">
        <v>10860</v>
      </c>
      <c r="E51" s="331">
        <v>101104</v>
      </c>
      <c r="F51" s="331">
        <v>0</v>
      </c>
      <c r="G51" s="331">
        <f>SUM(B51:F51)</f>
        <v>1487561</v>
      </c>
    </row>
    <row r="52" spans="1:7" ht="50.1" customHeight="1">
      <c r="A52" s="30"/>
      <c r="B52" s="30"/>
      <c r="C52" s="30"/>
      <c r="D52" s="30"/>
      <c r="E52" s="30"/>
      <c r="F52" s="30"/>
      <c r="G52" s="30"/>
    </row>
    <row r="53" spans="1:7" ht="15" customHeight="1">
      <c r="A53" s="555" t="s">
        <v>647</v>
      </c>
    </row>
    <row r="54" spans="1:7">
      <c r="A54" s="587" t="s">
        <v>655</v>
      </c>
    </row>
    <row r="55" spans="1:7">
      <c r="A55" s="587" t="s">
        <v>541</v>
      </c>
    </row>
    <row r="56" spans="1:7">
      <c r="A56" s="587" t="s">
        <v>648</v>
      </c>
    </row>
    <row r="57" spans="1:7">
      <c r="A57" s="682" t="s">
        <v>649</v>
      </c>
    </row>
  </sheetData>
  <mergeCells count="4">
    <mergeCell ref="B8:B9"/>
    <mergeCell ref="B2:F2"/>
    <mergeCell ref="B3:F3"/>
    <mergeCell ref="B6:G6"/>
  </mergeCells>
  <phoneticPr fontId="6" type="noConversion"/>
  <pageMargins left="0.51181102362204722" right="0.51181102362204722" top="0.59055118110236227" bottom="0.19685039370078741" header="0.31496062992125984" footer="0.51181102362204722"/>
  <pageSetup scale="90" orientation="portrait" r:id="rId1"/>
  <headerFooter alignWithMargins="0">
    <oddHeader>&amp;C&amp;"Arial,Regular"&amp;11&amp;A</oddHeader>
  </headerFooter>
</worksheet>
</file>

<file path=xl/worksheets/sheet46.xml><?xml version="1.0" encoding="utf-8"?>
<worksheet xmlns="http://schemas.openxmlformats.org/spreadsheetml/2006/main" xmlns:r="http://schemas.openxmlformats.org/officeDocument/2006/relationships">
  <sheetPr codeName="Sheet57">
    <pageSetUpPr fitToPage="1"/>
  </sheetPr>
  <dimension ref="A1:H55"/>
  <sheetViews>
    <sheetView showGridLines="0" showZeros="0" workbookViewId="0"/>
  </sheetViews>
  <sheetFormatPr defaultColWidth="19.83203125" defaultRowHeight="12"/>
  <cols>
    <col min="1" max="1" width="30.83203125" style="1" customWidth="1"/>
    <col min="2" max="3" width="16.83203125" style="1" customWidth="1"/>
    <col min="4" max="4" width="3.83203125" style="1" customWidth="1"/>
    <col min="5" max="5" width="18.83203125" style="1" customWidth="1"/>
    <col min="6" max="7" width="16.83203125" style="1" customWidth="1"/>
    <col min="8" max="8" width="14.33203125" style="1" customWidth="1"/>
    <col min="9" max="16384" width="19.83203125" style="1"/>
  </cols>
  <sheetData>
    <row r="1" spans="1:8" ht="6.95" customHeight="1">
      <c r="A1" s="6"/>
      <c r="B1" s="6"/>
      <c r="C1" s="6"/>
      <c r="D1" s="6"/>
    </row>
    <row r="2" spans="1:8" ht="15.95" customHeight="1">
      <c r="A2" s="768" t="str">
        <f>"SPECIAL PURPOSE FUND "&amp;VALUE('- 67 -'!F9+1)&amp;"/"&amp;VALUE('- 67 -'!F9+2)&amp;" ACTUAL"</f>
        <v>SPECIAL PURPOSE FUND 2012/2013 ACTUAL</v>
      </c>
      <c r="B2" s="768"/>
      <c r="C2" s="768"/>
      <c r="D2" s="768"/>
      <c r="E2" s="768"/>
      <c r="F2" s="608" t="s">
        <v>199</v>
      </c>
      <c r="G2" s="604"/>
      <c r="H2" s="604"/>
    </row>
    <row r="3" spans="1:8" ht="15.95" customHeight="1">
      <c r="A3" s="758" t="s">
        <v>3</v>
      </c>
      <c r="B3" s="758"/>
      <c r="C3" s="758"/>
      <c r="D3" s="758"/>
      <c r="E3" s="758"/>
      <c r="F3" s="758"/>
      <c r="G3" s="758"/>
      <c r="H3" s="758"/>
    </row>
    <row r="4" spans="1:8" ht="15.95" customHeight="1">
      <c r="E4" s="7"/>
      <c r="F4" s="7"/>
      <c r="G4" s="7"/>
    </row>
    <row r="5" spans="1:8" ht="15.95" customHeight="1">
      <c r="B5"/>
      <c r="C5"/>
      <c r="D5"/>
      <c r="E5"/>
      <c r="F5"/>
      <c r="G5"/>
      <c r="H5"/>
    </row>
    <row r="6" spans="1:8" ht="15.95" customHeight="1">
      <c r="B6" s="584"/>
      <c r="C6" s="584"/>
      <c r="D6"/>
      <c r="E6" s="560" t="s">
        <v>476</v>
      </c>
      <c r="F6" s="761" t="s">
        <v>498</v>
      </c>
      <c r="G6" s="762"/>
    </row>
    <row r="7" spans="1:8" ht="15.95" customHeight="1">
      <c r="B7" s="544"/>
      <c r="C7" s="544"/>
      <c r="D7"/>
      <c r="E7" s="561" t="s">
        <v>475</v>
      </c>
      <c r="F7" s="544" t="s">
        <v>141</v>
      </c>
      <c r="G7" s="544"/>
    </row>
    <row r="8" spans="1:8" ht="15.95" customHeight="1">
      <c r="A8" s="538"/>
      <c r="B8" s="581" t="s">
        <v>68</v>
      </c>
      <c r="C8" s="581" t="s">
        <v>68</v>
      </c>
      <c r="D8"/>
      <c r="E8" s="561" t="s">
        <v>477</v>
      </c>
      <c r="F8" s="544" t="s">
        <v>501</v>
      </c>
      <c r="G8" s="544" t="s">
        <v>58</v>
      </c>
    </row>
    <row r="9" spans="1:8" ht="15.95" customHeight="1">
      <c r="A9" s="539" t="s">
        <v>94</v>
      </c>
      <c r="B9" s="583" t="s">
        <v>277</v>
      </c>
      <c r="C9" s="582" t="s">
        <v>140</v>
      </c>
      <c r="D9"/>
      <c r="E9" s="562" t="s">
        <v>478</v>
      </c>
      <c r="F9" s="545" t="s">
        <v>502</v>
      </c>
      <c r="G9" s="558" t="s">
        <v>502</v>
      </c>
    </row>
    <row r="10" spans="1:8" ht="5.0999999999999996" customHeight="1">
      <c r="A10" s="5"/>
      <c r="B10" s="236"/>
      <c r="C10" s="236"/>
      <c r="D10"/>
      <c r="E10" s="6"/>
      <c r="F10" s="236"/>
    </row>
    <row r="11" spans="1:8" ht="14.1" customHeight="1">
      <c r="A11" s="330" t="s">
        <v>236</v>
      </c>
      <c r="B11" s="331">
        <v>277147</v>
      </c>
      <c r="C11" s="331">
        <v>302233</v>
      </c>
      <c r="D11"/>
      <c r="E11" s="565">
        <v>247011</v>
      </c>
      <c r="F11" s="563">
        <v>247011</v>
      </c>
      <c r="G11" s="331">
        <v>0</v>
      </c>
    </row>
    <row r="12" spans="1:8" ht="14.1" customHeight="1">
      <c r="A12" s="26" t="s">
        <v>237</v>
      </c>
      <c r="B12" s="27">
        <v>470198</v>
      </c>
      <c r="C12" s="27">
        <v>477831</v>
      </c>
      <c r="D12"/>
      <c r="E12" s="566">
        <v>279463</v>
      </c>
      <c r="F12" s="564">
        <v>279463</v>
      </c>
      <c r="G12" s="27">
        <v>0</v>
      </c>
    </row>
    <row r="13" spans="1:8" ht="14.1" customHeight="1">
      <c r="A13" s="330" t="s">
        <v>238</v>
      </c>
      <c r="B13" s="331">
        <v>2874264</v>
      </c>
      <c r="C13" s="331">
        <v>2758453</v>
      </c>
      <c r="D13"/>
      <c r="E13" s="565">
        <v>1422942</v>
      </c>
      <c r="F13" s="563">
        <v>543716</v>
      </c>
      <c r="G13" s="331">
        <v>879226</v>
      </c>
    </row>
    <row r="14" spans="1:8" ht="14.1" customHeight="1">
      <c r="A14" s="26" t="s">
        <v>656</v>
      </c>
      <c r="B14" s="27">
        <v>1595893</v>
      </c>
      <c r="C14" s="27">
        <v>1688047</v>
      </c>
      <c r="D14"/>
      <c r="E14" s="566">
        <v>684558</v>
      </c>
      <c r="F14" s="564">
        <v>624907</v>
      </c>
      <c r="G14" s="27">
        <v>59651</v>
      </c>
    </row>
    <row r="15" spans="1:8" ht="14.1" customHeight="1">
      <c r="A15" s="330" t="s">
        <v>239</v>
      </c>
      <c r="B15" s="331">
        <v>458619</v>
      </c>
      <c r="C15" s="331">
        <v>482310</v>
      </c>
      <c r="D15"/>
      <c r="E15" s="565">
        <v>321476</v>
      </c>
      <c r="F15" s="563">
        <v>142988</v>
      </c>
      <c r="G15" s="331">
        <v>178488</v>
      </c>
    </row>
    <row r="16" spans="1:8" ht="14.1" customHeight="1">
      <c r="A16" s="26" t="s">
        <v>240</v>
      </c>
      <c r="B16" s="27">
        <v>335469</v>
      </c>
      <c r="C16" s="27">
        <v>351241</v>
      </c>
      <c r="D16"/>
      <c r="E16" s="566">
        <v>13050</v>
      </c>
      <c r="F16" s="564">
        <v>13050</v>
      </c>
      <c r="G16" s="27">
        <v>0</v>
      </c>
    </row>
    <row r="17" spans="1:7" ht="14.1" customHeight="1">
      <c r="A17" s="330" t="s">
        <v>241</v>
      </c>
      <c r="B17" s="331">
        <v>587001</v>
      </c>
      <c r="C17" s="331">
        <v>604168</v>
      </c>
      <c r="D17"/>
      <c r="E17" s="565">
        <v>408204</v>
      </c>
      <c r="F17" s="563">
        <v>313837</v>
      </c>
      <c r="G17" s="331">
        <v>94367</v>
      </c>
    </row>
    <row r="18" spans="1:7" ht="14.1" customHeight="1">
      <c r="A18" s="26" t="s">
        <v>242</v>
      </c>
      <c r="B18" s="27">
        <v>781056</v>
      </c>
      <c r="C18" s="27">
        <v>845422</v>
      </c>
      <c r="D18"/>
      <c r="E18" s="566">
        <v>112522</v>
      </c>
      <c r="F18" s="564">
        <v>112522</v>
      </c>
      <c r="G18" s="27">
        <v>0</v>
      </c>
    </row>
    <row r="19" spans="1:7" ht="14.1" customHeight="1">
      <c r="A19" s="330" t="s">
        <v>243</v>
      </c>
      <c r="B19" s="331">
        <v>133799</v>
      </c>
      <c r="C19" s="331">
        <v>175800</v>
      </c>
      <c r="D19"/>
      <c r="E19" s="565">
        <v>146886</v>
      </c>
      <c r="F19" s="563">
        <v>146886</v>
      </c>
      <c r="G19" s="331">
        <v>0</v>
      </c>
    </row>
    <row r="20" spans="1:7" ht="14.1" customHeight="1">
      <c r="A20" s="26" t="s">
        <v>244</v>
      </c>
      <c r="B20" s="27">
        <v>1716001</v>
      </c>
      <c r="C20" s="27">
        <v>1673296</v>
      </c>
      <c r="D20"/>
      <c r="E20" s="566">
        <v>367729</v>
      </c>
      <c r="F20" s="564">
        <v>367729</v>
      </c>
      <c r="G20" s="27">
        <v>0</v>
      </c>
    </row>
    <row r="21" spans="1:7" ht="14.1" customHeight="1">
      <c r="A21" s="330" t="s">
        <v>245</v>
      </c>
      <c r="B21" s="331">
        <v>466171</v>
      </c>
      <c r="C21" s="331">
        <v>474609</v>
      </c>
      <c r="D21"/>
      <c r="E21" s="565">
        <v>83822</v>
      </c>
      <c r="F21" s="563">
        <v>83822</v>
      </c>
      <c r="G21" s="331">
        <v>0</v>
      </c>
    </row>
    <row r="22" spans="1:7" ht="14.1" customHeight="1">
      <c r="A22" s="26" t="s">
        <v>246</v>
      </c>
      <c r="B22" s="27">
        <v>459817</v>
      </c>
      <c r="C22" s="27">
        <v>485064</v>
      </c>
      <c r="D22"/>
      <c r="E22" s="566">
        <v>250802</v>
      </c>
      <c r="F22" s="564">
        <v>250802</v>
      </c>
      <c r="G22" s="27">
        <v>0</v>
      </c>
    </row>
    <row r="23" spans="1:7" ht="14.1" customHeight="1">
      <c r="A23" s="330" t="s">
        <v>247</v>
      </c>
      <c r="B23" s="331">
        <v>386906</v>
      </c>
      <c r="C23" s="331">
        <v>408748</v>
      </c>
      <c r="D23"/>
      <c r="E23" s="565">
        <v>192036</v>
      </c>
      <c r="F23" s="563">
        <v>176104</v>
      </c>
      <c r="G23" s="331">
        <v>15932</v>
      </c>
    </row>
    <row r="24" spans="1:7" ht="14.1" customHeight="1">
      <c r="A24" s="26" t="s">
        <v>248</v>
      </c>
      <c r="B24" s="27">
        <v>1048448</v>
      </c>
      <c r="C24" s="27">
        <v>1062123</v>
      </c>
      <c r="D24"/>
      <c r="E24" s="566">
        <v>374435</v>
      </c>
      <c r="F24" s="564">
        <v>374435</v>
      </c>
      <c r="G24" s="27">
        <v>0</v>
      </c>
    </row>
    <row r="25" spans="1:7" ht="14.1" customHeight="1">
      <c r="A25" s="330" t="s">
        <v>249</v>
      </c>
      <c r="B25" s="331">
        <v>2085297</v>
      </c>
      <c r="C25" s="331">
        <v>1997806</v>
      </c>
      <c r="D25"/>
      <c r="E25" s="565">
        <v>1003945</v>
      </c>
      <c r="F25" s="563">
        <v>1003945</v>
      </c>
      <c r="G25" s="331">
        <v>0</v>
      </c>
    </row>
    <row r="26" spans="1:7" ht="14.1" customHeight="1">
      <c r="A26" s="26" t="s">
        <v>250</v>
      </c>
      <c r="B26" s="27">
        <v>662550</v>
      </c>
      <c r="C26" s="27">
        <v>740554</v>
      </c>
      <c r="D26"/>
      <c r="E26" s="566">
        <v>371887</v>
      </c>
      <c r="F26" s="564">
        <v>371887</v>
      </c>
      <c r="G26" s="27">
        <v>0</v>
      </c>
    </row>
    <row r="27" spans="1:7" ht="14.1" customHeight="1">
      <c r="A27" s="330" t="s">
        <v>251</v>
      </c>
      <c r="B27" s="331">
        <v>249944</v>
      </c>
      <c r="C27" s="331">
        <v>269849</v>
      </c>
      <c r="D27"/>
      <c r="E27" s="565">
        <v>105186</v>
      </c>
      <c r="F27" s="563">
        <v>105186</v>
      </c>
      <c r="G27" s="331">
        <v>0</v>
      </c>
    </row>
    <row r="28" spans="1:7" ht="14.1" customHeight="1">
      <c r="A28" s="26" t="s">
        <v>252</v>
      </c>
      <c r="B28" s="27">
        <v>1122574</v>
      </c>
      <c r="C28" s="27">
        <v>1193939</v>
      </c>
      <c r="D28"/>
      <c r="E28" s="566">
        <v>268673</v>
      </c>
      <c r="F28" s="564">
        <v>268673</v>
      </c>
      <c r="G28" s="27">
        <v>0</v>
      </c>
    </row>
    <row r="29" spans="1:7" ht="14.1" customHeight="1">
      <c r="A29" s="330" t="s">
        <v>253</v>
      </c>
      <c r="B29" s="331">
        <v>1167923</v>
      </c>
      <c r="C29" s="331">
        <v>1264115</v>
      </c>
      <c r="D29"/>
      <c r="E29" s="565">
        <v>618616</v>
      </c>
      <c r="F29" s="563">
        <v>618616</v>
      </c>
      <c r="G29" s="331">
        <v>0</v>
      </c>
    </row>
    <row r="30" spans="1:7" ht="14.1" customHeight="1">
      <c r="A30" s="26" t="s">
        <v>254</v>
      </c>
      <c r="B30" s="27">
        <v>289957</v>
      </c>
      <c r="C30" s="27">
        <v>300773</v>
      </c>
      <c r="D30"/>
      <c r="E30" s="566">
        <v>111100</v>
      </c>
      <c r="F30" s="564">
        <v>111100</v>
      </c>
      <c r="G30" s="27">
        <v>0</v>
      </c>
    </row>
    <row r="31" spans="1:7" ht="14.1" customHeight="1">
      <c r="A31" s="330" t="s">
        <v>255</v>
      </c>
      <c r="B31" s="331">
        <v>1731607</v>
      </c>
      <c r="C31" s="331">
        <v>1734750</v>
      </c>
      <c r="D31"/>
      <c r="E31" s="565">
        <v>294483</v>
      </c>
      <c r="F31" s="563">
        <v>294483</v>
      </c>
      <c r="G31" s="331">
        <v>0</v>
      </c>
    </row>
    <row r="32" spans="1:7" ht="14.1" customHeight="1">
      <c r="A32" s="26" t="s">
        <v>256</v>
      </c>
      <c r="B32" s="27">
        <v>567212</v>
      </c>
      <c r="C32" s="27">
        <v>794021</v>
      </c>
      <c r="D32"/>
      <c r="E32" s="566">
        <v>343928</v>
      </c>
      <c r="F32" s="564">
        <v>115128</v>
      </c>
      <c r="G32" s="27">
        <v>228800</v>
      </c>
    </row>
    <row r="33" spans="1:7" ht="14.1" customHeight="1">
      <c r="A33" s="330" t="s">
        <v>257</v>
      </c>
      <c r="B33" s="331">
        <v>646833</v>
      </c>
      <c r="C33" s="331">
        <v>648374</v>
      </c>
      <c r="D33"/>
      <c r="E33" s="565">
        <v>170476</v>
      </c>
      <c r="F33" s="563">
        <v>170476</v>
      </c>
      <c r="G33" s="331">
        <v>0</v>
      </c>
    </row>
    <row r="34" spans="1:7" ht="14.1" customHeight="1">
      <c r="A34" s="26" t="s">
        <v>258</v>
      </c>
      <c r="B34" s="27">
        <v>672880</v>
      </c>
      <c r="C34" s="27">
        <v>683125</v>
      </c>
      <c r="D34"/>
      <c r="E34" s="566">
        <v>158858</v>
      </c>
      <c r="F34" s="564">
        <v>158858</v>
      </c>
      <c r="G34" s="27">
        <v>0</v>
      </c>
    </row>
    <row r="35" spans="1:7" ht="14.1" customHeight="1">
      <c r="A35" s="330" t="s">
        <v>259</v>
      </c>
      <c r="B35" s="331">
        <v>767111</v>
      </c>
      <c r="C35" s="331">
        <v>882375</v>
      </c>
      <c r="D35"/>
      <c r="E35" s="565">
        <v>395866</v>
      </c>
      <c r="F35" s="563">
        <v>395866</v>
      </c>
      <c r="G35" s="331">
        <v>0</v>
      </c>
    </row>
    <row r="36" spans="1:7" ht="14.1" customHeight="1">
      <c r="A36" s="26" t="s">
        <v>260</v>
      </c>
      <c r="B36" s="27">
        <v>620451</v>
      </c>
      <c r="C36" s="27">
        <v>608472</v>
      </c>
      <c r="D36"/>
      <c r="E36" s="566">
        <v>164912</v>
      </c>
      <c r="F36" s="564">
        <v>164912</v>
      </c>
      <c r="G36" s="27">
        <v>0</v>
      </c>
    </row>
    <row r="37" spans="1:7" ht="14.1" customHeight="1">
      <c r="A37" s="330" t="s">
        <v>261</v>
      </c>
      <c r="B37" s="331">
        <v>970586</v>
      </c>
      <c r="C37" s="331">
        <v>1005133</v>
      </c>
      <c r="D37"/>
      <c r="E37" s="565">
        <v>289060</v>
      </c>
      <c r="F37" s="563">
        <v>289060</v>
      </c>
      <c r="G37" s="331">
        <v>0</v>
      </c>
    </row>
    <row r="38" spans="1:7" ht="14.1" customHeight="1">
      <c r="A38" s="26" t="s">
        <v>262</v>
      </c>
      <c r="B38" s="27">
        <v>128723</v>
      </c>
      <c r="C38" s="27">
        <v>171398</v>
      </c>
      <c r="D38"/>
      <c r="E38" s="566">
        <v>168685</v>
      </c>
      <c r="F38" s="564">
        <v>168685</v>
      </c>
      <c r="G38" s="27">
        <v>0</v>
      </c>
    </row>
    <row r="39" spans="1:7" ht="14.1" customHeight="1">
      <c r="A39" s="330" t="s">
        <v>263</v>
      </c>
      <c r="B39" s="331">
        <v>470918</v>
      </c>
      <c r="C39" s="331">
        <v>481069</v>
      </c>
      <c r="D39"/>
      <c r="E39" s="565">
        <v>186102</v>
      </c>
      <c r="F39" s="563">
        <v>186102</v>
      </c>
      <c r="G39" s="331">
        <v>0</v>
      </c>
    </row>
    <row r="40" spans="1:7" ht="14.1" customHeight="1">
      <c r="A40" s="26" t="s">
        <v>264</v>
      </c>
      <c r="B40" s="27">
        <v>901669</v>
      </c>
      <c r="C40" s="27">
        <v>896776</v>
      </c>
      <c r="D40"/>
      <c r="E40" s="566">
        <v>275229</v>
      </c>
      <c r="F40" s="564">
        <v>275229</v>
      </c>
      <c r="G40" s="27">
        <v>0</v>
      </c>
    </row>
    <row r="41" spans="1:7" ht="14.1" customHeight="1">
      <c r="A41" s="330" t="s">
        <v>265</v>
      </c>
      <c r="B41" s="331">
        <v>1101790</v>
      </c>
      <c r="C41" s="331">
        <v>1221947</v>
      </c>
      <c r="D41"/>
      <c r="E41" s="565">
        <v>395647</v>
      </c>
      <c r="F41" s="563">
        <v>360846</v>
      </c>
      <c r="G41" s="331">
        <v>34801</v>
      </c>
    </row>
    <row r="42" spans="1:7" ht="14.1" customHeight="1">
      <c r="A42" s="26" t="s">
        <v>266</v>
      </c>
      <c r="B42" s="27">
        <v>613549</v>
      </c>
      <c r="C42" s="27">
        <v>586557</v>
      </c>
      <c r="D42"/>
      <c r="E42" s="566">
        <v>108204</v>
      </c>
      <c r="F42" s="564">
        <v>108204</v>
      </c>
      <c r="G42" s="27">
        <v>0</v>
      </c>
    </row>
    <row r="43" spans="1:7" ht="14.1" customHeight="1">
      <c r="A43" s="330" t="s">
        <v>267</v>
      </c>
      <c r="B43" s="331">
        <v>378104</v>
      </c>
      <c r="C43" s="331">
        <v>375857</v>
      </c>
      <c r="D43"/>
      <c r="E43" s="565">
        <v>117842</v>
      </c>
      <c r="F43" s="563">
        <v>117842</v>
      </c>
      <c r="G43" s="331">
        <v>0</v>
      </c>
    </row>
    <row r="44" spans="1:7" ht="14.1" customHeight="1">
      <c r="A44" s="26" t="s">
        <v>268</v>
      </c>
      <c r="B44" s="27">
        <v>312541</v>
      </c>
      <c r="C44" s="27">
        <v>331710</v>
      </c>
      <c r="D44"/>
      <c r="E44" s="566">
        <v>107670</v>
      </c>
      <c r="F44" s="564">
        <v>107670</v>
      </c>
      <c r="G44" s="27">
        <v>0</v>
      </c>
    </row>
    <row r="45" spans="1:7" ht="14.1" customHeight="1">
      <c r="A45" s="330" t="s">
        <v>269</v>
      </c>
      <c r="B45" s="331">
        <v>35084</v>
      </c>
      <c r="C45" s="331">
        <v>33377</v>
      </c>
      <c r="D45"/>
      <c r="E45" s="565">
        <v>10603</v>
      </c>
      <c r="F45" s="563">
        <v>10603</v>
      </c>
      <c r="G45" s="331">
        <v>0</v>
      </c>
    </row>
    <row r="46" spans="1:7" ht="14.1" customHeight="1">
      <c r="A46" s="26" t="s">
        <v>270</v>
      </c>
      <c r="B46" s="27">
        <v>1230851</v>
      </c>
      <c r="C46" s="27">
        <v>989869</v>
      </c>
      <c r="D46"/>
      <c r="E46" s="566">
        <v>3041300</v>
      </c>
      <c r="F46" s="564">
        <v>217549</v>
      </c>
      <c r="G46" s="27">
        <v>2823751</v>
      </c>
    </row>
    <row r="47" spans="1:7" ht="5.0999999999999996" customHeight="1">
      <c r="A47" s="28"/>
      <c r="B47" s="29"/>
      <c r="C47" s="29"/>
      <c r="D47"/>
      <c r="E47" s="29"/>
      <c r="F47" s="29"/>
      <c r="G47" s="29"/>
    </row>
    <row r="48" spans="1:7" ht="14.1" customHeight="1">
      <c r="A48" s="332" t="s">
        <v>271</v>
      </c>
      <c r="B48" s="333">
        <f t="shared" ref="B48:G48" si="0">SUM(B11:B46)</f>
        <v>28318943</v>
      </c>
      <c r="C48" s="333">
        <f t="shared" si="0"/>
        <v>29001191</v>
      </c>
      <c r="D48"/>
      <c r="E48" s="568">
        <f t="shared" si="0"/>
        <v>13613208</v>
      </c>
      <c r="F48" s="567">
        <f t="shared" si="0"/>
        <v>9298192</v>
      </c>
      <c r="G48" s="333">
        <f t="shared" si="0"/>
        <v>4315016</v>
      </c>
    </row>
    <row r="49" spans="1:8" ht="5.0999999999999996" customHeight="1">
      <c r="A49" s="28" t="s">
        <v>17</v>
      </c>
      <c r="B49" s="29"/>
      <c r="C49" s="29"/>
      <c r="D49"/>
      <c r="E49" s="29"/>
      <c r="F49" s="29"/>
      <c r="G49" s="29"/>
    </row>
    <row r="50" spans="1:8" ht="14.1" customHeight="1">
      <c r="A50" s="26" t="s">
        <v>272</v>
      </c>
      <c r="B50" s="27">
        <v>59068</v>
      </c>
      <c r="C50" s="27">
        <v>74280</v>
      </c>
      <c r="D50"/>
      <c r="E50" s="566">
        <v>31364</v>
      </c>
      <c r="F50" s="564">
        <v>31364</v>
      </c>
      <c r="G50" s="27">
        <v>0</v>
      </c>
    </row>
    <row r="51" spans="1:8" ht="14.1" customHeight="1">
      <c r="A51" s="330" t="s">
        <v>273</v>
      </c>
      <c r="B51" s="331">
        <v>7714</v>
      </c>
      <c r="C51" s="331">
        <v>6129</v>
      </c>
      <c r="D51"/>
      <c r="E51" s="565">
        <v>5302</v>
      </c>
      <c r="F51" s="563">
        <v>0</v>
      </c>
      <c r="G51" s="331">
        <v>5302</v>
      </c>
    </row>
    <row r="52" spans="1:8" ht="50.1" customHeight="1">
      <c r="A52" s="30"/>
      <c r="B52" s="30"/>
      <c r="C52" s="30"/>
      <c r="D52" s="683"/>
      <c r="E52" s="30"/>
      <c r="F52" s="683"/>
      <c r="G52" s="30"/>
      <c r="H52" s="30"/>
    </row>
    <row r="53" spans="1:8" ht="15" customHeight="1">
      <c r="A53" s="586" t="s">
        <v>690</v>
      </c>
      <c r="B53" s="206"/>
      <c r="C53" s="206"/>
      <c r="D53" s="206"/>
      <c r="E53" s="206"/>
      <c r="F53" s="206"/>
      <c r="G53" s="206"/>
    </row>
    <row r="54" spans="1:8">
      <c r="A54" s="586" t="s">
        <v>689</v>
      </c>
    </row>
    <row r="55" spans="1:8">
      <c r="A55" s="586" t="s">
        <v>691</v>
      </c>
    </row>
  </sheetData>
  <mergeCells count="3">
    <mergeCell ref="F6:G6"/>
    <mergeCell ref="A3:H3"/>
    <mergeCell ref="A2:E2"/>
  </mergeCells>
  <phoneticPr fontId="6" type="noConversion"/>
  <pageMargins left="0.5" right="0.5" top="0.6" bottom="0.2" header="0.3" footer="0.5"/>
  <pageSetup scale="87" orientation="portrait" r:id="rId1"/>
  <headerFooter alignWithMargins="0">
    <oddHeader>&amp;C&amp;"Arial,Regular"&amp;11&amp;A</oddHeader>
  </headerFooter>
</worksheet>
</file>

<file path=xl/worksheets/sheet47.xml><?xml version="1.0" encoding="utf-8"?>
<worksheet xmlns="http://schemas.openxmlformats.org/spreadsheetml/2006/main" xmlns:r="http://schemas.openxmlformats.org/officeDocument/2006/relationships">
  <sheetPr codeName="Sheet58">
    <pageSetUpPr fitToPage="1"/>
  </sheetPr>
  <dimension ref="A1:E56"/>
  <sheetViews>
    <sheetView showGridLines="0" showZeros="0" workbookViewId="0"/>
  </sheetViews>
  <sheetFormatPr defaultColWidth="19.83203125" defaultRowHeight="12"/>
  <cols>
    <col min="1" max="1" width="31.33203125" style="1" customWidth="1"/>
    <col min="2" max="2" width="22.1640625" style="1" customWidth="1"/>
    <col min="3" max="3" width="32.1640625" style="1" customWidth="1"/>
    <col min="4" max="4" width="24.6640625" style="1" customWidth="1"/>
    <col min="5" max="5" width="22.83203125" style="1" customWidth="1"/>
    <col min="6" max="16384" width="19.83203125" style="1"/>
  </cols>
  <sheetData>
    <row r="1" spans="1:5" ht="6.95" customHeight="1">
      <c r="A1" s="6"/>
      <c r="B1" s="6"/>
    </row>
    <row r="2" spans="1:5" ht="15.95" customHeight="1">
      <c r="A2" s="759" t="str">
        <f>+'- 50 -'!A2:E2</f>
        <v>SPECIAL PURPOSE FUND 2012/2013 ACTUAL</v>
      </c>
      <c r="B2" s="759"/>
      <c r="C2" s="759"/>
      <c r="D2" s="759"/>
      <c r="E2" s="759"/>
    </row>
    <row r="3" spans="1:5" ht="15.95" customHeight="1">
      <c r="A3" s="760" t="s">
        <v>692</v>
      </c>
      <c r="B3" s="760"/>
      <c r="C3" s="760"/>
      <c r="D3" s="760"/>
      <c r="E3" s="760"/>
    </row>
    <row r="4" spans="1:5" ht="15.95" customHeight="1">
      <c r="B4" s="7"/>
      <c r="C4" s="7"/>
      <c r="D4" s="7"/>
      <c r="E4" s="206"/>
    </row>
    <row r="5" spans="1:5" ht="15.95" customHeight="1">
      <c r="B5"/>
      <c r="C5"/>
      <c r="D5"/>
      <c r="E5"/>
    </row>
    <row r="6" spans="1:5" ht="15.95" customHeight="1">
      <c r="B6"/>
      <c r="C6"/>
      <c r="D6"/>
    </row>
    <row r="7" spans="1:5" ht="15.95" customHeight="1">
      <c r="B7" s="687"/>
      <c r="C7" s="761" t="s">
        <v>498</v>
      </c>
      <c r="D7" s="762"/>
    </row>
    <row r="8" spans="1:5" ht="15.95" customHeight="1">
      <c r="A8" s="538"/>
      <c r="B8" s="688" t="s">
        <v>693</v>
      </c>
      <c r="C8" s="689" t="s">
        <v>692</v>
      </c>
      <c r="D8" s="690" t="s">
        <v>694</v>
      </c>
    </row>
    <row r="9" spans="1:5" ht="15.95" customHeight="1">
      <c r="A9" s="539" t="s">
        <v>94</v>
      </c>
      <c r="B9" s="691" t="s">
        <v>695</v>
      </c>
      <c r="C9" s="692" t="s">
        <v>696</v>
      </c>
      <c r="D9" s="693" t="s">
        <v>697</v>
      </c>
    </row>
    <row r="10" spans="1:5" ht="5.0999999999999996" customHeight="1">
      <c r="A10" s="5"/>
      <c r="C10" s="6"/>
      <c r="D10" s="236"/>
    </row>
    <row r="11" spans="1:5" ht="14.1" customHeight="1">
      <c r="A11" s="330" t="s">
        <v>236</v>
      </c>
      <c r="B11" s="565">
        <f t="shared" ref="B11:B46" si="0">C11+D11</f>
        <v>314783</v>
      </c>
      <c r="C11" s="563">
        <f>+'- 50 -'!F11</f>
        <v>247011</v>
      </c>
      <c r="D11" s="563">
        <v>67772</v>
      </c>
    </row>
    <row r="12" spans="1:5" ht="14.1" customHeight="1">
      <c r="A12" s="26" t="s">
        <v>237</v>
      </c>
      <c r="B12" s="566">
        <f t="shared" si="0"/>
        <v>279463</v>
      </c>
      <c r="C12" s="564">
        <f>+'- 50 -'!F12</f>
        <v>279463</v>
      </c>
      <c r="D12" s="564">
        <v>0</v>
      </c>
    </row>
    <row r="13" spans="1:5" ht="14.1" customHeight="1">
      <c r="A13" s="330" t="s">
        <v>238</v>
      </c>
      <c r="B13" s="565">
        <f t="shared" si="0"/>
        <v>839893</v>
      </c>
      <c r="C13" s="563">
        <f>+'- 50 -'!F13</f>
        <v>543716</v>
      </c>
      <c r="D13" s="563">
        <v>296177</v>
      </c>
    </row>
    <row r="14" spans="1:5" ht="14.1" customHeight="1">
      <c r="A14" s="26" t="s">
        <v>274</v>
      </c>
      <c r="B14" s="566">
        <f t="shared" si="0"/>
        <v>867212</v>
      </c>
      <c r="C14" s="564">
        <f>+'- 50 -'!F14</f>
        <v>624907</v>
      </c>
      <c r="D14" s="564">
        <v>242305</v>
      </c>
    </row>
    <row r="15" spans="1:5" ht="14.1" customHeight="1">
      <c r="A15" s="330" t="s">
        <v>239</v>
      </c>
      <c r="B15" s="565">
        <f t="shared" si="0"/>
        <v>156771</v>
      </c>
      <c r="C15" s="563">
        <f>+'- 50 -'!F15</f>
        <v>142988</v>
      </c>
      <c r="D15" s="563">
        <v>13783</v>
      </c>
    </row>
    <row r="16" spans="1:5" ht="14.1" customHeight="1">
      <c r="A16" s="26" t="s">
        <v>240</v>
      </c>
      <c r="B16" s="566">
        <f t="shared" si="0"/>
        <v>153368</v>
      </c>
      <c r="C16" s="564">
        <f>+'- 50 -'!F16</f>
        <v>13050</v>
      </c>
      <c r="D16" s="564">
        <v>140318</v>
      </c>
    </row>
    <row r="17" spans="1:4" ht="14.1" customHeight="1">
      <c r="A17" s="330" t="s">
        <v>241</v>
      </c>
      <c r="B17" s="565">
        <f t="shared" si="0"/>
        <v>323511</v>
      </c>
      <c r="C17" s="563">
        <f>+'- 50 -'!F17</f>
        <v>313837</v>
      </c>
      <c r="D17" s="563">
        <v>9674</v>
      </c>
    </row>
    <row r="18" spans="1:4" ht="14.1" customHeight="1">
      <c r="A18" s="26" t="s">
        <v>242</v>
      </c>
      <c r="B18" s="566">
        <f t="shared" si="0"/>
        <v>392950</v>
      </c>
      <c r="C18" s="564">
        <f>+'- 50 -'!F18</f>
        <v>112522</v>
      </c>
      <c r="D18" s="564">
        <v>280428</v>
      </c>
    </row>
    <row r="19" spans="1:4" ht="14.1" customHeight="1">
      <c r="A19" s="330" t="s">
        <v>243</v>
      </c>
      <c r="B19" s="565">
        <f t="shared" si="0"/>
        <v>146886</v>
      </c>
      <c r="C19" s="563">
        <f>+'- 50 -'!F19</f>
        <v>146886</v>
      </c>
      <c r="D19" s="563">
        <v>0</v>
      </c>
    </row>
    <row r="20" spans="1:4" ht="14.1" customHeight="1">
      <c r="A20" s="26" t="s">
        <v>244</v>
      </c>
      <c r="B20" s="566">
        <f t="shared" si="0"/>
        <v>501688</v>
      </c>
      <c r="C20" s="564">
        <f>+'- 50 -'!F20</f>
        <v>367729</v>
      </c>
      <c r="D20" s="564">
        <v>133959</v>
      </c>
    </row>
    <row r="21" spans="1:4" ht="14.1" customHeight="1">
      <c r="A21" s="330" t="s">
        <v>245</v>
      </c>
      <c r="B21" s="565">
        <f t="shared" si="0"/>
        <v>274292</v>
      </c>
      <c r="C21" s="563">
        <f>+'- 50 -'!F21</f>
        <v>83822</v>
      </c>
      <c r="D21" s="563">
        <v>190470</v>
      </c>
    </row>
    <row r="22" spans="1:4" ht="14.1" customHeight="1">
      <c r="A22" s="26" t="s">
        <v>246</v>
      </c>
      <c r="B22" s="566">
        <f t="shared" si="0"/>
        <v>297704</v>
      </c>
      <c r="C22" s="564">
        <f>+'- 50 -'!F22</f>
        <v>250802</v>
      </c>
      <c r="D22" s="564">
        <v>46902</v>
      </c>
    </row>
    <row r="23" spans="1:4" ht="14.1" customHeight="1">
      <c r="A23" s="330" t="s">
        <v>247</v>
      </c>
      <c r="B23" s="565">
        <f t="shared" si="0"/>
        <v>176104</v>
      </c>
      <c r="C23" s="563">
        <f>+'- 50 -'!F23</f>
        <v>176104</v>
      </c>
      <c r="D23" s="563">
        <v>0</v>
      </c>
    </row>
    <row r="24" spans="1:4" ht="14.1" customHeight="1">
      <c r="A24" s="26" t="s">
        <v>248</v>
      </c>
      <c r="B24" s="566">
        <f t="shared" si="0"/>
        <v>449967</v>
      </c>
      <c r="C24" s="564">
        <f>+'- 50 -'!F24</f>
        <v>374435</v>
      </c>
      <c r="D24" s="564">
        <v>75532</v>
      </c>
    </row>
    <row r="25" spans="1:4" ht="14.1" customHeight="1">
      <c r="A25" s="330" t="s">
        <v>249</v>
      </c>
      <c r="B25" s="565">
        <f t="shared" si="0"/>
        <v>1742941</v>
      </c>
      <c r="C25" s="563">
        <f>+'- 50 -'!F25</f>
        <v>1003945</v>
      </c>
      <c r="D25" s="563">
        <v>738996</v>
      </c>
    </row>
    <row r="26" spans="1:4" ht="14.1" customHeight="1">
      <c r="A26" s="26" t="s">
        <v>250</v>
      </c>
      <c r="B26" s="566">
        <f t="shared" si="0"/>
        <v>385600</v>
      </c>
      <c r="C26" s="564">
        <f>+'- 50 -'!F26</f>
        <v>371887</v>
      </c>
      <c r="D26" s="564">
        <v>13713</v>
      </c>
    </row>
    <row r="27" spans="1:4" ht="14.1" customHeight="1">
      <c r="A27" s="330" t="s">
        <v>251</v>
      </c>
      <c r="B27" s="565">
        <f t="shared" si="0"/>
        <v>325420</v>
      </c>
      <c r="C27" s="563">
        <f>+'- 50 -'!F27</f>
        <v>105186</v>
      </c>
      <c r="D27" s="563">
        <v>220234</v>
      </c>
    </row>
    <row r="28" spans="1:4" ht="14.1" customHeight="1">
      <c r="A28" s="26" t="s">
        <v>252</v>
      </c>
      <c r="B28" s="566">
        <f t="shared" si="0"/>
        <v>268673</v>
      </c>
      <c r="C28" s="564">
        <f>+'- 50 -'!F28</f>
        <v>268673</v>
      </c>
      <c r="D28" s="564">
        <v>0</v>
      </c>
    </row>
    <row r="29" spans="1:4" ht="14.1" customHeight="1">
      <c r="A29" s="330" t="s">
        <v>253</v>
      </c>
      <c r="B29" s="565">
        <f t="shared" si="0"/>
        <v>1434377</v>
      </c>
      <c r="C29" s="563">
        <f>+'- 50 -'!F29</f>
        <v>618616</v>
      </c>
      <c r="D29" s="563">
        <v>815761</v>
      </c>
    </row>
    <row r="30" spans="1:4" ht="14.1" customHeight="1">
      <c r="A30" s="26" t="s">
        <v>254</v>
      </c>
      <c r="B30" s="566">
        <f t="shared" si="0"/>
        <v>111100</v>
      </c>
      <c r="C30" s="564">
        <f>+'- 50 -'!F30</f>
        <v>111100</v>
      </c>
      <c r="D30" s="564">
        <v>0</v>
      </c>
    </row>
    <row r="31" spans="1:4" ht="14.1" customHeight="1">
      <c r="A31" s="330" t="s">
        <v>255</v>
      </c>
      <c r="B31" s="565">
        <f t="shared" si="0"/>
        <v>438738</v>
      </c>
      <c r="C31" s="563">
        <f>+'- 50 -'!F31</f>
        <v>294483</v>
      </c>
      <c r="D31" s="563">
        <v>144255</v>
      </c>
    </row>
    <row r="32" spans="1:4" ht="14.1" customHeight="1">
      <c r="A32" s="26" t="s">
        <v>256</v>
      </c>
      <c r="B32" s="566">
        <f t="shared" si="0"/>
        <v>142367</v>
      </c>
      <c r="C32" s="564">
        <f>+'- 50 -'!F32</f>
        <v>115128</v>
      </c>
      <c r="D32" s="564">
        <v>27239</v>
      </c>
    </row>
    <row r="33" spans="1:4" ht="14.1" customHeight="1">
      <c r="A33" s="330" t="s">
        <v>257</v>
      </c>
      <c r="B33" s="565">
        <f t="shared" si="0"/>
        <v>236569</v>
      </c>
      <c r="C33" s="563">
        <f>+'- 50 -'!F33</f>
        <v>170476</v>
      </c>
      <c r="D33" s="563">
        <v>66093</v>
      </c>
    </row>
    <row r="34" spans="1:4" ht="14.1" customHeight="1">
      <c r="A34" s="26" t="s">
        <v>258</v>
      </c>
      <c r="B34" s="566">
        <f t="shared" si="0"/>
        <v>198496</v>
      </c>
      <c r="C34" s="564">
        <f>+'- 50 -'!F34</f>
        <v>158858</v>
      </c>
      <c r="D34" s="564">
        <v>39638</v>
      </c>
    </row>
    <row r="35" spans="1:4" ht="14.1" customHeight="1">
      <c r="A35" s="330" t="s">
        <v>259</v>
      </c>
      <c r="B35" s="565">
        <f t="shared" si="0"/>
        <v>1713307</v>
      </c>
      <c r="C35" s="563">
        <f>+'- 50 -'!F35</f>
        <v>395866</v>
      </c>
      <c r="D35" s="563">
        <v>1317441</v>
      </c>
    </row>
    <row r="36" spans="1:4" ht="14.1" customHeight="1">
      <c r="A36" s="26" t="s">
        <v>260</v>
      </c>
      <c r="B36" s="566">
        <f t="shared" si="0"/>
        <v>164912</v>
      </c>
      <c r="C36" s="564">
        <f>+'- 50 -'!F36</f>
        <v>164912</v>
      </c>
      <c r="D36" s="564">
        <v>0</v>
      </c>
    </row>
    <row r="37" spans="1:4" ht="14.1" customHeight="1">
      <c r="A37" s="330" t="s">
        <v>261</v>
      </c>
      <c r="B37" s="565">
        <f t="shared" si="0"/>
        <v>304619</v>
      </c>
      <c r="C37" s="563">
        <f>+'- 50 -'!F37</f>
        <v>289060</v>
      </c>
      <c r="D37" s="563">
        <v>15559</v>
      </c>
    </row>
    <row r="38" spans="1:4" ht="14.1" customHeight="1">
      <c r="A38" s="26" t="s">
        <v>262</v>
      </c>
      <c r="B38" s="566">
        <f t="shared" si="0"/>
        <v>625986</v>
      </c>
      <c r="C38" s="564">
        <f>+'- 50 -'!F38</f>
        <v>168685</v>
      </c>
      <c r="D38" s="564">
        <v>457301</v>
      </c>
    </row>
    <row r="39" spans="1:4" ht="14.1" customHeight="1">
      <c r="A39" s="330" t="s">
        <v>263</v>
      </c>
      <c r="B39" s="565">
        <f t="shared" si="0"/>
        <v>186102</v>
      </c>
      <c r="C39" s="563">
        <f>+'- 50 -'!F39</f>
        <v>186102</v>
      </c>
      <c r="D39" s="563">
        <v>0</v>
      </c>
    </row>
    <row r="40" spans="1:4" ht="14.1" customHeight="1">
      <c r="A40" s="26" t="s">
        <v>264</v>
      </c>
      <c r="B40" s="566">
        <f t="shared" si="0"/>
        <v>459441</v>
      </c>
      <c r="C40" s="564">
        <f>+'- 50 -'!F40</f>
        <v>275229</v>
      </c>
      <c r="D40" s="564">
        <v>184212</v>
      </c>
    </row>
    <row r="41" spans="1:4" ht="14.1" customHeight="1">
      <c r="A41" s="330" t="s">
        <v>265</v>
      </c>
      <c r="B41" s="565">
        <f t="shared" si="0"/>
        <v>415367</v>
      </c>
      <c r="C41" s="563">
        <f>+'- 50 -'!F41</f>
        <v>360846</v>
      </c>
      <c r="D41" s="563">
        <v>54521</v>
      </c>
    </row>
    <row r="42" spans="1:4" ht="14.1" customHeight="1">
      <c r="A42" s="26" t="s">
        <v>266</v>
      </c>
      <c r="B42" s="566">
        <f t="shared" si="0"/>
        <v>110612</v>
      </c>
      <c r="C42" s="564">
        <f>+'- 50 -'!F42</f>
        <v>108204</v>
      </c>
      <c r="D42" s="564">
        <v>2408</v>
      </c>
    </row>
    <row r="43" spans="1:4" ht="14.1" customHeight="1">
      <c r="A43" s="330" t="s">
        <v>267</v>
      </c>
      <c r="B43" s="565">
        <f t="shared" si="0"/>
        <v>231205</v>
      </c>
      <c r="C43" s="563">
        <f>+'- 50 -'!F43</f>
        <v>117842</v>
      </c>
      <c r="D43" s="563">
        <v>113363</v>
      </c>
    </row>
    <row r="44" spans="1:4" ht="14.1" customHeight="1">
      <c r="A44" s="26" t="s">
        <v>268</v>
      </c>
      <c r="B44" s="566">
        <f t="shared" si="0"/>
        <v>107670</v>
      </c>
      <c r="C44" s="564">
        <f>+'- 50 -'!F44</f>
        <v>107670</v>
      </c>
      <c r="D44" s="564">
        <v>0</v>
      </c>
    </row>
    <row r="45" spans="1:4" ht="14.1" customHeight="1">
      <c r="A45" s="330" t="s">
        <v>269</v>
      </c>
      <c r="B45" s="565">
        <f t="shared" si="0"/>
        <v>112648</v>
      </c>
      <c r="C45" s="563">
        <f>+'- 50 -'!F45</f>
        <v>10603</v>
      </c>
      <c r="D45" s="563">
        <v>102045</v>
      </c>
    </row>
    <row r="46" spans="1:4" ht="14.1" customHeight="1">
      <c r="A46" s="26" t="s">
        <v>270</v>
      </c>
      <c r="B46" s="566">
        <f t="shared" si="0"/>
        <v>2666456</v>
      </c>
      <c r="C46" s="564">
        <f>+'- 50 -'!F46</f>
        <v>217549</v>
      </c>
      <c r="D46" s="564">
        <v>2448907</v>
      </c>
    </row>
    <row r="47" spans="1:4" ht="5.0999999999999996" customHeight="1">
      <c r="A47" s="28"/>
      <c r="B47" s="29"/>
      <c r="C47" s="29"/>
      <c r="D47" s="29"/>
    </row>
    <row r="48" spans="1:4" ht="14.1" customHeight="1">
      <c r="A48" s="332" t="s">
        <v>271</v>
      </c>
      <c r="B48" s="568">
        <f>SUM(B11:B46)</f>
        <v>17557198</v>
      </c>
      <c r="C48" s="567">
        <f>SUM(C11:C46)</f>
        <v>9298192</v>
      </c>
      <c r="D48" s="567">
        <f>SUM(D11:D46)</f>
        <v>8259006</v>
      </c>
    </row>
    <row r="49" spans="1:5" ht="5.0999999999999996" customHeight="1">
      <c r="A49" s="28" t="s">
        <v>17</v>
      </c>
      <c r="B49" s="29"/>
      <c r="C49" s="29"/>
      <c r="D49" s="29"/>
    </row>
    <row r="50" spans="1:5" ht="14.1" customHeight="1">
      <c r="A50" s="26" t="s">
        <v>272</v>
      </c>
      <c r="B50" s="566">
        <f>C50+D50</f>
        <v>31364</v>
      </c>
      <c r="C50" s="564">
        <f>+'- 50 -'!F50</f>
        <v>31364</v>
      </c>
      <c r="D50" s="564">
        <v>0</v>
      </c>
    </row>
    <row r="51" spans="1:5" ht="14.1" customHeight="1">
      <c r="A51" s="330" t="s">
        <v>273</v>
      </c>
      <c r="B51" s="565">
        <f>C51+D51</f>
        <v>0</v>
      </c>
      <c r="C51" s="563">
        <f>+'- 50 -'!F51</f>
        <v>0</v>
      </c>
      <c r="D51" s="563">
        <v>0</v>
      </c>
    </row>
    <row r="52" spans="1:5" ht="50.1" customHeight="1">
      <c r="A52" s="30"/>
      <c r="B52" s="30"/>
      <c r="C52" s="585"/>
      <c r="D52" s="30"/>
      <c r="E52" s="30"/>
    </row>
    <row r="53" spans="1:5" ht="15.75" customHeight="1">
      <c r="A53" s="586" t="s">
        <v>772</v>
      </c>
      <c r="B53" s="586"/>
      <c r="C53" s="586"/>
      <c r="D53" s="586"/>
      <c r="E53" s="586"/>
    </row>
    <row r="54" spans="1:5">
      <c r="A54" s="1" t="s">
        <v>700</v>
      </c>
      <c r="B54" s="586"/>
      <c r="C54" s="586"/>
      <c r="D54" s="586"/>
      <c r="E54" s="586"/>
    </row>
    <row r="55" spans="1:5">
      <c r="A55" s="586" t="s">
        <v>698</v>
      </c>
    </row>
    <row r="56" spans="1:5">
      <c r="A56" s="151" t="s">
        <v>773</v>
      </c>
    </row>
  </sheetData>
  <mergeCells count="3">
    <mergeCell ref="A2:E2"/>
    <mergeCell ref="A3:E3"/>
    <mergeCell ref="C7:D7"/>
  </mergeCells>
  <pageMargins left="0.5" right="0.5" top="0.6" bottom="0.2" header="0.3" footer="0.5"/>
  <pageSetup scale="88" orientation="portrait" r:id="rId1"/>
  <headerFooter alignWithMargins="0">
    <oddHeader>&amp;C&amp;"Arial,Regular"&amp;11&amp;A</oddHeader>
  </headerFooter>
</worksheet>
</file>

<file path=xl/worksheets/sheet48.xml><?xml version="1.0" encoding="utf-8"?>
<worksheet xmlns="http://schemas.openxmlformats.org/spreadsheetml/2006/main" xmlns:r="http://schemas.openxmlformats.org/officeDocument/2006/relationships">
  <sheetPr codeName="Sheet42">
    <pageSetUpPr fitToPage="1"/>
  </sheetPr>
  <dimension ref="A1:D59"/>
  <sheetViews>
    <sheetView showGridLines="0" showZeros="0" workbookViewId="0"/>
  </sheetViews>
  <sheetFormatPr defaultColWidth="15.83203125" defaultRowHeight="12"/>
  <cols>
    <col min="1" max="1" width="35.83203125" style="1" customWidth="1"/>
    <col min="2" max="3" width="25.83203125" style="1" customWidth="1"/>
    <col min="4" max="4" width="45.83203125" style="1" customWidth="1"/>
    <col min="5" max="16384" width="15.83203125" style="1"/>
  </cols>
  <sheetData>
    <row r="1" spans="1:4" ht="6.95" customHeight="1">
      <c r="A1" s="6"/>
    </row>
    <row r="2" spans="1:4" ht="17.100000000000001" customHeight="1">
      <c r="A2" s="260"/>
      <c r="B2" s="261" t="s">
        <v>676</v>
      </c>
      <c r="C2" s="178"/>
      <c r="D2" s="173"/>
    </row>
    <row r="3" spans="1:4" ht="15" customHeight="1">
      <c r="A3" s="262"/>
      <c r="B3" s="266" t="s">
        <v>736</v>
      </c>
      <c r="C3" s="179"/>
      <c r="D3" s="263"/>
    </row>
    <row r="4" spans="1:4" ht="15.95" customHeight="1">
      <c r="A4" s="151"/>
      <c r="B4" s="7"/>
      <c r="C4" s="50"/>
    </row>
    <row r="5" spans="1:4" ht="15.95" customHeight="1">
      <c r="A5" s="1" t="str">
        <f>REPLACE(A4,5,5,"")</f>
        <v/>
      </c>
      <c r="B5" s="7"/>
      <c r="C5" s="7"/>
    </row>
    <row r="6" spans="1:4" ht="15.95" customHeight="1">
      <c r="B6"/>
      <c r="C6"/>
    </row>
    <row r="7" spans="1:4" ht="15.95" customHeight="1">
      <c r="B7" s="524" t="s">
        <v>470</v>
      </c>
      <c r="C7" s="524"/>
    </row>
    <row r="8" spans="1:4" ht="15.95" customHeight="1">
      <c r="A8" s="75"/>
      <c r="B8" s="525" t="s">
        <v>127</v>
      </c>
      <c r="C8" s="525" t="s">
        <v>90</v>
      </c>
    </row>
    <row r="9" spans="1:4" ht="15.95" customHeight="1">
      <c r="A9" s="42" t="s">
        <v>94</v>
      </c>
      <c r="B9" s="526" t="s">
        <v>160</v>
      </c>
      <c r="C9" s="526" t="s">
        <v>471</v>
      </c>
    </row>
    <row r="10" spans="1:4" ht="5.0999999999999996" customHeight="1">
      <c r="A10" s="5"/>
      <c r="B10" s="236"/>
      <c r="C10" s="254">
        <v>1.136E-2</v>
      </c>
    </row>
    <row r="11" spans="1:4" ht="14.1" customHeight="1">
      <c r="A11" s="330" t="s">
        <v>236</v>
      </c>
      <c r="B11" s="331">
        <f>'- 54 -'!D11</f>
        <v>119161690</v>
      </c>
      <c r="C11" s="331">
        <f t="shared" ref="C11:C46" si="0">B11*C$10</f>
        <v>1353676.7984</v>
      </c>
    </row>
    <row r="12" spans="1:4" ht="14.1" customHeight="1">
      <c r="A12" s="26" t="s">
        <v>237</v>
      </c>
      <c r="B12" s="27">
        <f>'- 54 -'!D12</f>
        <v>151718530</v>
      </c>
      <c r="C12" s="27">
        <f t="shared" si="0"/>
        <v>1723522.5008</v>
      </c>
    </row>
    <row r="13" spans="1:4" ht="14.1" customHeight="1">
      <c r="A13" s="330" t="s">
        <v>238</v>
      </c>
      <c r="B13" s="331">
        <f>'- 54 -'!D13</f>
        <v>725679430</v>
      </c>
      <c r="C13" s="331">
        <f t="shared" si="0"/>
        <v>8243718.3248000005</v>
      </c>
    </row>
    <row r="14" spans="1:4" ht="14.1" customHeight="1">
      <c r="A14" s="26" t="s">
        <v>656</v>
      </c>
      <c r="B14" s="27">
        <f>'- 54 -'!D14</f>
        <v>0</v>
      </c>
      <c r="C14" s="27">
        <f t="shared" si="0"/>
        <v>0</v>
      </c>
    </row>
    <row r="15" spans="1:4" ht="14.1" customHeight="1">
      <c r="A15" s="330" t="s">
        <v>239</v>
      </c>
      <c r="B15" s="331">
        <f>'- 54 -'!D15</f>
        <v>102797270</v>
      </c>
      <c r="C15" s="331">
        <f t="shared" si="0"/>
        <v>1167776.9872000001</v>
      </c>
    </row>
    <row r="16" spans="1:4" ht="14.1" customHeight="1">
      <c r="A16" s="26" t="s">
        <v>240</v>
      </c>
      <c r="B16" s="27">
        <f>'- 54 -'!D16</f>
        <v>32255700</v>
      </c>
      <c r="C16" s="27">
        <f t="shared" si="0"/>
        <v>366424.75200000004</v>
      </c>
    </row>
    <row r="17" spans="1:3" ht="14.1" customHeight="1">
      <c r="A17" s="330" t="s">
        <v>241</v>
      </c>
      <c r="B17" s="331">
        <f>'- 54 -'!D17</f>
        <v>299186630</v>
      </c>
      <c r="C17" s="331">
        <f t="shared" si="0"/>
        <v>3398760.1168</v>
      </c>
    </row>
    <row r="18" spans="1:3" ht="14.1" customHeight="1">
      <c r="A18" s="26" t="s">
        <v>242</v>
      </c>
      <c r="B18" s="27">
        <f>'- 54 -'!D18</f>
        <v>59566410</v>
      </c>
      <c r="C18" s="27">
        <f t="shared" si="0"/>
        <v>676674.41760000004</v>
      </c>
    </row>
    <row r="19" spans="1:3" ht="14.1" customHeight="1">
      <c r="A19" s="330" t="s">
        <v>243</v>
      </c>
      <c r="B19" s="331">
        <f>'- 54 -'!D19</f>
        <v>205916530</v>
      </c>
      <c r="C19" s="331">
        <f t="shared" si="0"/>
        <v>2339211.7807999998</v>
      </c>
    </row>
    <row r="20" spans="1:3" ht="14.1" customHeight="1">
      <c r="A20" s="26" t="s">
        <v>244</v>
      </c>
      <c r="B20" s="27">
        <f>'- 54 -'!D20</f>
        <v>298689930</v>
      </c>
      <c r="C20" s="27">
        <f t="shared" si="0"/>
        <v>3393117.6048000003</v>
      </c>
    </row>
    <row r="21" spans="1:3" ht="14.1" customHeight="1">
      <c r="A21" s="330" t="s">
        <v>245</v>
      </c>
      <c r="B21" s="331">
        <f>'- 54 -'!D21</f>
        <v>190788230</v>
      </c>
      <c r="C21" s="331">
        <f t="shared" si="0"/>
        <v>2167354.2927999999</v>
      </c>
    </row>
    <row r="22" spans="1:3" ht="14.1" customHeight="1">
      <c r="A22" s="26" t="s">
        <v>246</v>
      </c>
      <c r="B22" s="27">
        <f>'- 54 -'!D22</f>
        <v>57484280</v>
      </c>
      <c r="C22" s="27">
        <f t="shared" si="0"/>
        <v>653021.42079999996</v>
      </c>
    </row>
    <row r="23" spans="1:3" ht="14.1" customHeight="1">
      <c r="A23" s="330" t="s">
        <v>247</v>
      </c>
      <c r="B23" s="331">
        <f>'- 54 -'!D23</f>
        <v>26026320</v>
      </c>
      <c r="C23" s="331">
        <f t="shared" si="0"/>
        <v>295658.9952</v>
      </c>
    </row>
    <row r="24" spans="1:3" ht="14.1" customHeight="1">
      <c r="A24" s="26" t="s">
        <v>248</v>
      </c>
      <c r="B24" s="27">
        <f>'- 54 -'!D24</f>
        <v>195060820</v>
      </c>
      <c r="C24" s="27">
        <f t="shared" si="0"/>
        <v>2215890.9152000002</v>
      </c>
    </row>
    <row r="25" spans="1:3" ht="14.1" customHeight="1">
      <c r="A25" s="330" t="s">
        <v>249</v>
      </c>
      <c r="B25" s="331">
        <f>'- 54 -'!D25</f>
        <v>971061450</v>
      </c>
      <c r="C25" s="331">
        <f t="shared" si="0"/>
        <v>11031258.072000001</v>
      </c>
    </row>
    <row r="26" spans="1:3" ht="14.1" customHeight="1">
      <c r="A26" s="26" t="s">
        <v>250</v>
      </c>
      <c r="B26" s="27">
        <f>'- 54 -'!D26</f>
        <v>115078110</v>
      </c>
      <c r="C26" s="27">
        <f t="shared" si="0"/>
        <v>1307287.3296000001</v>
      </c>
    </row>
    <row r="27" spans="1:3" ht="14.1" customHeight="1">
      <c r="A27" s="330" t="s">
        <v>251</v>
      </c>
      <c r="B27" s="331">
        <f>'- 54 -'!D27</f>
        <v>109588750</v>
      </c>
      <c r="C27" s="331">
        <f t="shared" si="0"/>
        <v>1244928.2</v>
      </c>
    </row>
    <row r="28" spans="1:3" ht="14.1" customHeight="1">
      <c r="A28" s="26" t="s">
        <v>252</v>
      </c>
      <c r="B28" s="27">
        <f>'- 54 -'!D28</f>
        <v>157289940</v>
      </c>
      <c r="C28" s="27">
        <f t="shared" si="0"/>
        <v>1786813.7184000001</v>
      </c>
    </row>
    <row r="29" spans="1:3" ht="14.1" customHeight="1">
      <c r="A29" s="330" t="s">
        <v>253</v>
      </c>
      <c r="B29" s="331">
        <f>'- 54 -'!D29</f>
        <v>1001454400</v>
      </c>
      <c r="C29" s="331">
        <f t="shared" si="0"/>
        <v>11376521.984000001</v>
      </c>
    </row>
    <row r="30" spans="1:3" ht="14.1" customHeight="1">
      <c r="A30" s="26" t="s">
        <v>254</v>
      </c>
      <c r="B30" s="27">
        <f>'- 54 -'!D30</f>
        <v>79441250</v>
      </c>
      <c r="C30" s="27">
        <f t="shared" si="0"/>
        <v>902452.6</v>
      </c>
    </row>
    <row r="31" spans="1:3" ht="14.1" customHeight="1">
      <c r="A31" s="330" t="s">
        <v>255</v>
      </c>
      <c r="B31" s="331">
        <f>'- 54 -'!D31</f>
        <v>283655730</v>
      </c>
      <c r="C31" s="331">
        <f t="shared" si="0"/>
        <v>3222329.0928000002</v>
      </c>
    </row>
    <row r="32" spans="1:3" ht="14.1" customHeight="1">
      <c r="A32" s="26" t="s">
        <v>256</v>
      </c>
      <c r="B32" s="27">
        <f>'- 54 -'!D32</f>
        <v>113824370</v>
      </c>
      <c r="C32" s="27">
        <f t="shared" si="0"/>
        <v>1293044.8432</v>
      </c>
    </row>
    <row r="33" spans="1:3" ht="14.1" customHeight="1">
      <c r="A33" s="330" t="s">
        <v>257</v>
      </c>
      <c r="B33" s="331">
        <f>'- 54 -'!D33</f>
        <v>142000080</v>
      </c>
      <c r="C33" s="331">
        <f t="shared" si="0"/>
        <v>1613120.9088000001</v>
      </c>
    </row>
    <row r="34" spans="1:3" ht="14.1" customHeight="1">
      <c r="A34" s="26" t="s">
        <v>258</v>
      </c>
      <c r="B34" s="27">
        <f>'- 54 -'!D34</f>
        <v>186098960</v>
      </c>
      <c r="C34" s="27">
        <f t="shared" si="0"/>
        <v>2114084.1856</v>
      </c>
    </row>
    <row r="35" spans="1:3" ht="14.1" customHeight="1">
      <c r="A35" s="330" t="s">
        <v>259</v>
      </c>
      <c r="B35" s="331">
        <f>'- 54 -'!D35</f>
        <v>763131970</v>
      </c>
      <c r="C35" s="331">
        <f t="shared" si="0"/>
        <v>8669179.1792000011</v>
      </c>
    </row>
    <row r="36" spans="1:3" ht="14.1" customHeight="1">
      <c r="A36" s="26" t="s">
        <v>260</v>
      </c>
      <c r="B36" s="27">
        <f>'- 54 -'!D36</f>
        <v>154905820</v>
      </c>
      <c r="C36" s="27">
        <f t="shared" si="0"/>
        <v>1759730.1152000001</v>
      </c>
    </row>
    <row r="37" spans="1:3" ht="14.1" customHeight="1">
      <c r="A37" s="330" t="s">
        <v>261</v>
      </c>
      <c r="B37" s="331">
        <f>'- 54 -'!D37</f>
        <v>145322670</v>
      </c>
      <c r="C37" s="331">
        <f t="shared" si="0"/>
        <v>1650865.5312000001</v>
      </c>
    </row>
    <row r="38" spans="1:3" ht="14.1" customHeight="1">
      <c r="A38" s="26" t="s">
        <v>262</v>
      </c>
      <c r="B38" s="27">
        <f>'- 54 -'!D38</f>
        <v>299119410</v>
      </c>
      <c r="C38" s="27">
        <f t="shared" si="0"/>
        <v>3397996.4975999999</v>
      </c>
    </row>
    <row r="39" spans="1:3" ht="14.1" customHeight="1">
      <c r="A39" s="330" t="s">
        <v>263</v>
      </c>
      <c r="B39" s="331">
        <f>'- 54 -'!D39</f>
        <v>194050660</v>
      </c>
      <c r="C39" s="331">
        <f t="shared" si="0"/>
        <v>2204415.4975999999</v>
      </c>
    </row>
    <row r="40" spans="1:3" ht="14.1" customHeight="1">
      <c r="A40" s="26" t="s">
        <v>264</v>
      </c>
      <c r="B40" s="27">
        <f>'- 54 -'!D40</f>
        <v>1266910780</v>
      </c>
      <c r="C40" s="27">
        <f t="shared" si="0"/>
        <v>14392106.4608</v>
      </c>
    </row>
    <row r="41" spans="1:3" ht="14.1" customHeight="1">
      <c r="A41" s="330" t="s">
        <v>265</v>
      </c>
      <c r="B41" s="331">
        <f>'- 54 -'!D41</f>
        <v>295627730</v>
      </c>
      <c r="C41" s="331">
        <f t="shared" si="0"/>
        <v>3358331.0128000001</v>
      </c>
    </row>
    <row r="42" spans="1:3" ht="14.1" customHeight="1">
      <c r="A42" s="26" t="s">
        <v>266</v>
      </c>
      <c r="B42" s="27">
        <f>'- 54 -'!D42</f>
        <v>65182710</v>
      </c>
      <c r="C42" s="27">
        <f t="shared" si="0"/>
        <v>740475.58559999999</v>
      </c>
    </row>
    <row r="43" spans="1:3" ht="14.1" customHeight="1">
      <c r="A43" s="330" t="s">
        <v>267</v>
      </c>
      <c r="B43" s="331">
        <f>'- 54 -'!D43</f>
        <v>50137650</v>
      </c>
      <c r="C43" s="331">
        <f t="shared" si="0"/>
        <v>569563.70400000003</v>
      </c>
    </row>
    <row r="44" spans="1:3" ht="14.1" customHeight="1">
      <c r="A44" s="26" t="s">
        <v>268</v>
      </c>
      <c r="B44" s="27">
        <f>'- 54 -'!D44</f>
        <v>12870380</v>
      </c>
      <c r="C44" s="27">
        <f t="shared" si="0"/>
        <v>146207.51680000001</v>
      </c>
    </row>
    <row r="45" spans="1:3" ht="14.1" customHeight="1">
      <c r="A45" s="330" t="s">
        <v>269</v>
      </c>
      <c r="B45" s="331">
        <f>'- 54 -'!D45</f>
        <v>81154880</v>
      </c>
      <c r="C45" s="331">
        <f t="shared" si="0"/>
        <v>921919.43680000002</v>
      </c>
    </row>
    <row r="46" spans="1:3" ht="14.1" customHeight="1">
      <c r="A46" s="26" t="s">
        <v>270</v>
      </c>
      <c r="B46" s="27">
        <f>'- 54 -'!D46</f>
        <v>3680545670</v>
      </c>
      <c r="C46" s="27">
        <f t="shared" si="0"/>
        <v>41810998.8112</v>
      </c>
    </row>
    <row r="47" spans="1:3" ht="6" customHeight="1">
      <c r="A47" s="28"/>
      <c r="B47" s="29"/>
      <c r="C47" s="29"/>
    </row>
    <row r="48" spans="1:3" ht="14.1" customHeight="1">
      <c r="A48" s="332" t="s">
        <v>359</v>
      </c>
      <c r="B48" s="333">
        <f>SUM(B11:B46)</f>
        <v>12632785140</v>
      </c>
      <c r="C48" s="333">
        <f>SUM(C11:C46)</f>
        <v>143508439.1904</v>
      </c>
    </row>
    <row r="49" spans="1:4" ht="6" customHeight="1">
      <c r="A49" s="28"/>
      <c r="B49" s="29"/>
      <c r="C49" s="29"/>
    </row>
    <row r="50" spans="1:4" ht="14.1" customHeight="1">
      <c r="A50" s="26" t="s">
        <v>360</v>
      </c>
      <c r="B50" s="27">
        <f>'- 54 -'!D50</f>
        <v>3421900</v>
      </c>
      <c r="C50" s="27">
        <v>0</v>
      </c>
    </row>
    <row r="51" spans="1:4" ht="14.1" customHeight="1">
      <c r="A51" s="330" t="s">
        <v>361</v>
      </c>
      <c r="B51" s="331">
        <f>'- 54 -'!D51</f>
        <v>44700560</v>
      </c>
      <c r="C51" s="331">
        <f>B51*C$10</f>
        <v>507798.3616</v>
      </c>
    </row>
    <row r="52" spans="1:4" ht="6" customHeight="1">
      <c r="A52" s="148"/>
      <c r="B52" s="172"/>
      <c r="C52" s="172"/>
    </row>
    <row r="53" spans="1:4" ht="14.45" customHeight="1">
      <c r="A53" s="527" t="s">
        <v>271</v>
      </c>
      <c r="B53" s="528">
        <f>SUM(B48,B50:B51)</f>
        <v>12680907600</v>
      </c>
      <c r="C53" s="528">
        <f>SUM(C48,C50:C51)</f>
        <v>144016237.55200002</v>
      </c>
      <c r="D53" s="206"/>
    </row>
    <row r="54" spans="1:4" ht="50.1" customHeight="1">
      <c r="A54" s="255"/>
      <c r="B54" s="255"/>
      <c r="C54" s="255"/>
      <c r="D54" s="30"/>
    </row>
    <row r="55" spans="1:4" ht="14.45" customHeight="1">
      <c r="A55" s="555" t="s">
        <v>761</v>
      </c>
      <c r="B55" s="45"/>
      <c r="C55" s="45"/>
      <c r="D55" s="45"/>
    </row>
    <row r="56" spans="1:4" ht="14.45" customHeight="1">
      <c r="A56" s="32"/>
      <c r="B56" s="45"/>
      <c r="C56" s="45"/>
      <c r="D56" s="45"/>
    </row>
    <row r="57" spans="1:4" ht="14.45" customHeight="1">
      <c r="A57" s="33"/>
      <c r="B57" s="45"/>
      <c r="C57" s="45"/>
      <c r="D57" s="45"/>
    </row>
    <row r="58" spans="1:4" ht="14.45" customHeight="1">
      <c r="B58" s="90"/>
      <c r="C58" s="90"/>
    </row>
    <row r="59" spans="1:4" ht="14.45" customHeight="1"/>
  </sheetData>
  <phoneticPr fontId="0" type="noConversion"/>
  <pageMargins left="0.5" right="0.5" top="0.6" bottom="0.2" header="0.3" footer="0.5"/>
  <pageSetup scale="88" orientation="portrait" r:id="rId1"/>
  <headerFooter alignWithMargins="0">
    <oddHeader>&amp;C&amp;"Arial,Regular"&amp;11&amp;A</oddHeader>
  </headerFooter>
</worksheet>
</file>

<file path=xl/worksheets/sheet49.xml><?xml version="1.0" encoding="utf-8"?>
<worksheet xmlns="http://schemas.openxmlformats.org/spreadsheetml/2006/main" xmlns:r="http://schemas.openxmlformats.org/officeDocument/2006/relationships">
  <sheetPr codeName="Sheet62">
    <pageSetUpPr fitToPage="1"/>
  </sheetPr>
  <dimension ref="A1:M57"/>
  <sheetViews>
    <sheetView showGridLines="0" showZeros="0" workbookViewId="0"/>
  </sheetViews>
  <sheetFormatPr defaultColWidth="15.83203125" defaultRowHeight="12"/>
  <cols>
    <col min="1" max="1" width="27.6640625" style="1" customWidth="1"/>
    <col min="2" max="2" width="16.1640625" style="1" bestFit="1" customWidth="1"/>
    <col min="3" max="3" width="15" style="1" bestFit="1" customWidth="1"/>
    <col min="4" max="5" width="16.1640625" style="1" bestFit="1" customWidth="1"/>
    <col min="6" max="6" width="14.5" style="1" customWidth="1"/>
    <col min="7" max="7" width="14.33203125" style="1" customWidth="1"/>
    <col min="8" max="8" width="15.83203125" style="1"/>
    <col min="9" max="9" width="21" style="1" customWidth="1"/>
    <col min="10" max="16384" width="15.83203125" style="1"/>
  </cols>
  <sheetData>
    <row r="1" spans="1:13" ht="6.95" customHeight="1">
      <c r="A1" s="6"/>
    </row>
    <row r="2" spans="1:13" ht="15.95" customHeight="1">
      <c r="A2" s="237" t="s">
        <v>109</v>
      </c>
      <c r="B2" s="256"/>
      <c r="C2" s="256"/>
      <c r="D2" s="256"/>
      <c r="E2" s="256"/>
      <c r="F2" s="256"/>
      <c r="G2" s="256"/>
    </row>
    <row r="3" spans="1:13" ht="15.95" customHeight="1">
      <c r="A3" s="266" t="str">
        <f>TAXYEAR</f>
        <v xml:space="preserve">FOR THE 2012 TAXATION YEAR </v>
      </c>
      <c r="B3" s="257"/>
      <c r="C3" s="257"/>
      <c r="D3" s="257"/>
      <c r="E3" s="268"/>
      <c r="F3" s="268"/>
      <c r="G3" s="257"/>
    </row>
    <row r="4" spans="1:13" ht="15.95" customHeight="1">
      <c r="B4" s="7"/>
      <c r="C4" s="7"/>
      <c r="D4" s="7"/>
      <c r="E4" s="50"/>
      <c r="F4" s="50"/>
      <c r="G4" s="50"/>
    </row>
    <row r="5" spans="1:13" ht="15.95" customHeight="1">
      <c r="B5" s="7"/>
      <c r="C5" s="7"/>
      <c r="D5" s="7"/>
      <c r="E5" s="7"/>
      <c r="F5" s="7"/>
      <c r="G5" s="7"/>
    </row>
    <row r="6" spans="1:13" ht="15.95" customHeight="1">
      <c r="B6" s="235" t="s">
        <v>116</v>
      </c>
      <c r="C6" s="193"/>
      <c r="D6" s="193"/>
      <c r="E6" s="191"/>
      <c r="F6" s="7"/>
      <c r="G6" s="7"/>
      <c r="H6" s="3" t="s">
        <v>149</v>
      </c>
    </row>
    <row r="7" spans="1:13" ht="15.95" customHeight="1">
      <c r="B7" s="402" t="s">
        <v>124</v>
      </c>
      <c r="C7" s="402" t="s">
        <v>125</v>
      </c>
      <c r="D7" s="403"/>
      <c r="E7" s="351"/>
      <c r="F7" s="404"/>
      <c r="G7" s="697" t="s">
        <v>126</v>
      </c>
      <c r="H7" s="3" t="s">
        <v>140</v>
      </c>
    </row>
    <row r="8" spans="1:13" ht="15.95" customHeight="1">
      <c r="A8" s="40"/>
      <c r="B8" s="405" t="s">
        <v>146</v>
      </c>
      <c r="C8" s="405" t="s">
        <v>147</v>
      </c>
      <c r="D8" s="406" t="s">
        <v>17</v>
      </c>
      <c r="E8" s="407"/>
      <c r="F8" s="408" t="s">
        <v>126</v>
      </c>
      <c r="G8" s="698" t="s">
        <v>148</v>
      </c>
      <c r="H8" s="3" t="s">
        <v>215</v>
      </c>
    </row>
    <row r="9" spans="1:13" ht="15.95" customHeight="1">
      <c r="A9" s="269" t="s">
        <v>94</v>
      </c>
      <c r="B9" s="409" t="s">
        <v>159</v>
      </c>
      <c r="C9" s="409" t="s">
        <v>157</v>
      </c>
      <c r="D9" s="409" t="s">
        <v>160</v>
      </c>
      <c r="E9" s="355" t="s">
        <v>68</v>
      </c>
      <c r="F9" s="355" t="s">
        <v>423</v>
      </c>
      <c r="G9" s="699" t="s">
        <v>424</v>
      </c>
      <c r="H9" s="3" t="s">
        <v>216</v>
      </c>
    </row>
    <row r="10" spans="1:13" ht="5.0999999999999996" customHeight="1">
      <c r="A10" s="25"/>
      <c r="B10" s="236"/>
      <c r="C10" s="6"/>
      <c r="D10" s="236"/>
      <c r="E10" s="236"/>
      <c r="F10" s="6"/>
      <c r="G10" s="6"/>
    </row>
    <row r="11" spans="1:13" ht="14.1" customHeight="1">
      <c r="A11" s="412" t="s">
        <v>236</v>
      </c>
      <c r="B11" s="410">
        <v>195759120</v>
      </c>
      <c r="C11" s="410">
        <v>168696280</v>
      </c>
      <c r="D11" s="410">
        <v>119161690</v>
      </c>
      <c r="E11" s="410">
        <f t="shared" ref="E11:E46" si="0">SUM(B11:D11)</f>
        <v>483617090</v>
      </c>
      <c r="F11" s="410">
        <f>'- 56 -'!C11</f>
        <v>7077000</v>
      </c>
      <c r="G11" s="411">
        <f>F11/E11*1000</f>
        <v>14.633477902941767</v>
      </c>
      <c r="I11" s="267" t="str">
        <f>A11</f>
        <v xml:space="preserve"> BEAUTIFUL PLAINS</v>
      </c>
      <c r="J11" s="4">
        <f>G11</f>
        <v>14.633477902941767</v>
      </c>
      <c r="M11" s="695"/>
    </row>
    <row r="12" spans="1:13" ht="14.1" customHeight="1">
      <c r="A12" s="270" t="s">
        <v>237</v>
      </c>
      <c r="B12" s="171">
        <v>250236790</v>
      </c>
      <c r="C12" s="171">
        <v>187729890</v>
      </c>
      <c r="D12" s="171">
        <v>151718530</v>
      </c>
      <c r="E12" s="171">
        <f t="shared" si="0"/>
        <v>589685210</v>
      </c>
      <c r="F12" s="171">
        <f>'- 56 -'!C12</f>
        <v>10525875</v>
      </c>
      <c r="G12" s="271">
        <f>F12/E12*1000</f>
        <v>17.849989827623453</v>
      </c>
      <c r="I12" s="267" t="str">
        <f>A12</f>
        <v xml:space="preserve"> BORDER LAND</v>
      </c>
      <c r="J12" s="4">
        <f>G12</f>
        <v>17.849989827623453</v>
      </c>
      <c r="M12" s="695"/>
    </row>
    <row r="13" spans="1:13" ht="14.1" customHeight="1">
      <c r="A13" s="412" t="s">
        <v>238</v>
      </c>
      <c r="B13" s="410">
        <v>1473952450</v>
      </c>
      <c r="C13" s="410">
        <v>49599740</v>
      </c>
      <c r="D13" s="410">
        <v>725679430</v>
      </c>
      <c r="E13" s="410">
        <f t="shared" si="0"/>
        <v>2249231620</v>
      </c>
      <c r="F13" s="410">
        <f>'- 56 -'!C13</f>
        <v>34590520</v>
      </c>
      <c r="G13" s="411">
        <f>F13/E13*1000</f>
        <v>15.378816344401205</v>
      </c>
      <c r="I13" s="267" t="str">
        <f>A13</f>
        <v xml:space="preserve"> BRANDON</v>
      </c>
      <c r="J13" s="4">
        <f>G13</f>
        <v>15.378816344401205</v>
      </c>
      <c r="M13" s="695"/>
    </row>
    <row r="14" spans="1:13" ht="14.1" customHeight="1">
      <c r="A14" s="270" t="s">
        <v>656</v>
      </c>
      <c r="B14" s="171"/>
      <c r="C14" s="171"/>
      <c r="D14" s="171"/>
      <c r="E14" s="171">
        <f t="shared" si="0"/>
        <v>0</v>
      </c>
      <c r="F14" s="171"/>
      <c r="G14" s="271"/>
      <c r="I14" s="267" t="str">
        <f>A15</f>
        <v xml:space="preserve"> EVERGREEN</v>
      </c>
      <c r="J14" s="4">
        <f>G15</f>
        <v>10.715970197555372</v>
      </c>
      <c r="M14" s="695"/>
    </row>
    <row r="15" spans="1:13" ht="14.1" customHeight="1">
      <c r="A15" s="412" t="s">
        <v>239</v>
      </c>
      <c r="B15" s="410">
        <v>610814600</v>
      </c>
      <c r="C15" s="410">
        <v>64180700</v>
      </c>
      <c r="D15" s="410">
        <v>102797270</v>
      </c>
      <c r="E15" s="410">
        <f t="shared" si="0"/>
        <v>777792570</v>
      </c>
      <c r="F15" s="410">
        <f>'- 56 -'!C15</f>
        <v>8334802</v>
      </c>
      <c r="G15" s="411">
        <f>F15/E15*1000</f>
        <v>10.715970197555372</v>
      </c>
      <c r="I15" s="267" t="str">
        <f t="shared" ref="I15:I44" si="1">A16</f>
        <v xml:space="preserve"> FLIN FLON</v>
      </c>
      <c r="J15" s="4">
        <f t="shared" ref="J15:J44" si="2">G16</f>
        <v>17.81814584473975</v>
      </c>
      <c r="M15" s="695"/>
    </row>
    <row r="16" spans="1:13" ht="14.1" customHeight="1">
      <c r="A16" s="270" t="s">
        <v>240</v>
      </c>
      <c r="B16" s="171">
        <v>80655880</v>
      </c>
      <c r="C16" s="171">
        <v>0</v>
      </c>
      <c r="D16" s="171">
        <v>32255700</v>
      </c>
      <c r="E16" s="171">
        <f t="shared" si="0"/>
        <v>112911580</v>
      </c>
      <c r="F16" s="171">
        <f>'- 56 -'!C16</f>
        <v>3658810</v>
      </c>
      <c r="G16" s="271">
        <f>(F16-H16)/E16*1000</f>
        <v>17.81814584473975</v>
      </c>
      <c r="H16" s="1">
        <v>1646935</v>
      </c>
      <c r="I16" s="267" t="str">
        <f t="shared" si="1"/>
        <v xml:space="preserve"> FORT LA BOSSE</v>
      </c>
      <c r="J16" s="4">
        <f t="shared" si="2"/>
        <v>12.171161460132527</v>
      </c>
      <c r="M16" s="695"/>
    </row>
    <row r="17" spans="1:13" ht="14.1" customHeight="1">
      <c r="A17" s="412" t="s">
        <v>241</v>
      </c>
      <c r="B17" s="410">
        <v>182058060</v>
      </c>
      <c r="C17" s="410">
        <v>119863760</v>
      </c>
      <c r="D17" s="410">
        <v>299186630</v>
      </c>
      <c r="E17" s="410">
        <f t="shared" si="0"/>
        <v>601108450</v>
      </c>
      <c r="F17" s="410">
        <f>'- 56 -'!C17</f>
        <v>7316188</v>
      </c>
      <c r="G17" s="411">
        <f>F17/E17*1000</f>
        <v>12.171161460132527</v>
      </c>
      <c r="H17" s="598"/>
      <c r="I17" s="267" t="str">
        <f t="shared" si="1"/>
        <v xml:space="preserve"> FRONTIER</v>
      </c>
      <c r="J17" s="4">
        <f t="shared" si="2"/>
        <v>16.50000118268143</v>
      </c>
      <c r="M17" s="695"/>
    </row>
    <row r="18" spans="1:13" ht="14.1" customHeight="1">
      <c r="A18" s="270" t="s">
        <v>242</v>
      </c>
      <c r="B18" s="171">
        <v>105200880</v>
      </c>
      <c r="C18" s="171">
        <v>17023000</v>
      </c>
      <c r="D18" s="171">
        <v>59566410</v>
      </c>
      <c r="E18" s="171">
        <f t="shared" si="0"/>
        <v>181790290</v>
      </c>
      <c r="F18" s="171">
        <f>'- 56 -'!C18</f>
        <v>2999540</v>
      </c>
      <c r="G18" s="271">
        <f>(F18-H18)/E18*1000</f>
        <v>16.50000118268143</v>
      </c>
      <c r="I18" s="267" t="str">
        <f t="shared" si="1"/>
        <v xml:space="preserve"> GARDEN VALLEY</v>
      </c>
      <c r="J18" s="4">
        <f t="shared" si="2"/>
        <v>19.124400503801382</v>
      </c>
      <c r="M18" s="695"/>
    </row>
    <row r="19" spans="1:13" ht="14.1" customHeight="1">
      <c r="A19" s="412" t="s">
        <v>243</v>
      </c>
      <c r="B19" s="410">
        <v>433976180</v>
      </c>
      <c r="C19" s="410">
        <v>129553370</v>
      </c>
      <c r="D19" s="410">
        <v>205916530</v>
      </c>
      <c r="E19" s="410">
        <f t="shared" si="0"/>
        <v>769446080</v>
      </c>
      <c r="F19" s="410">
        <f>'- 56 -'!C19</f>
        <v>14715195</v>
      </c>
      <c r="G19" s="411">
        <f t="shared" ref="G19:G26" si="3">F19/E19*1000</f>
        <v>19.124400503801382</v>
      </c>
      <c r="I19" s="267" t="str">
        <f t="shared" si="1"/>
        <v xml:space="preserve"> HANOVER</v>
      </c>
      <c r="J19" s="4">
        <f t="shared" si="2"/>
        <v>16.402942930568337</v>
      </c>
      <c r="M19" s="695"/>
    </row>
    <row r="20" spans="1:13" ht="14.1" customHeight="1">
      <c r="A20" s="270" t="s">
        <v>244</v>
      </c>
      <c r="B20" s="171">
        <v>1001327120</v>
      </c>
      <c r="C20" s="171">
        <v>169717930</v>
      </c>
      <c r="D20" s="171">
        <v>298689930</v>
      </c>
      <c r="E20" s="171">
        <f t="shared" si="0"/>
        <v>1469734980</v>
      </c>
      <c r="F20" s="171">
        <f>'- 56 -'!C20</f>
        <v>24107979</v>
      </c>
      <c r="G20" s="271">
        <f t="shared" si="3"/>
        <v>16.402942930568337</v>
      </c>
      <c r="I20" s="267" t="str">
        <f t="shared" si="1"/>
        <v xml:space="preserve"> INTERLAKE</v>
      </c>
      <c r="J20" s="4">
        <f t="shared" si="2"/>
        <v>14.362763623388398</v>
      </c>
      <c r="M20" s="695"/>
    </row>
    <row r="21" spans="1:13" ht="14.1" customHeight="1">
      <c r="A21" s="412" t="s">
        <v>245</v>
      </c>
      <c r="B21" s="410">
        <v>577732640</v>
      </c>
      <c r="C21" s="410">
        <v>145780120</v>
      </c>
      <c r="D21" s="410">
        <v>190788230</v>
      </c>
      <c r="E21" s="410">
        <f t="shared" si="0"/>
        <v>914300990</v>
      </c>
      <c r="F21" s="410">
        <f>'- 56 -'!C21</f>
        <v>13131889</v>
      </c>
      <c r="G21" s="411">
        <f t="shared" si="3"/>
        <v>14.362763623388398</v>
      </c>
      <c r="I21" s="267" t="str">
        <f t="shared" si="1"/>
        <v xml:space="preserve"> KELSEY</v>
      </c>
      <c r="J21" s="4">
        <f t="shared" si="2"/>
        <v>21.62422031121281</v>
      </c>
      <c r="M21" s="695"/>
    </row>
    <row r="22" spans="1:13" ht="14.1" customHeight="1">
      <c r="A22" s="270" t="s">
        <v>246</v>
      </c>
      <c r="B22" s="171">
        <v>114825270</v>
      </c>
      <c r="C22" s="171">
        <v>13293350</v>
      </c>
      <c r="D22" s="171">
        <v>57484280</v>
      </c>
      <c r="E22" s="171">
        <f t="shared" si="0"/>
        <v>185602900</v>
      </c>
      <c r="F22" s="171">
        <f>'- 56 -'!C22</f>
        <v>4013518</v>
      </c>
      <c r="G22" s="271">
        <f t="shared" si="3"/>
        <v>21.62422031121281</v>
      </c>
      <c r="I22" s="267" t="str">
        <f t="shared" si="1"/>
        <v xml:space="preserve"> LAKESHORE</v>
      </c>
      <c r="J22" s="4">
        <f t="shared" si="2"/>
        <v>19.710203785160186</v>
      </c>
      <c r="M22" s="695"/>
    </row>
    <row r="23" spans="1:13" ht="14.1" customHeight="1">
      <c r="A23" s="412" t="s">
        <v>247</v>
      </c>
      <c r="B23" s="410">
        <v>106056080</v>
      </c>
      <c r="C23" s="410">
        <v>73326080</v>
      </c>
      <c r="D23" s="410">
        <v>26026320</v>
      </c>
      <c r="E23" s="410">
        <f t="shared" si="0"/>
        <v>205408480</v>
      </c>
      <c r="F23" s="410">
        <f>'- 56 -'!C23</f>
        <v>4048643</v>
      </c>
      <c r="G23" s="411">
        <f t="shared" si="3"/>
        <v>19.710203785160186</v>
      </c>
      <c r="H23" s="272"/>
      <c r="I23" s="267" t="str">
        <f t="shared" si="1"/>
        <v xml:space="preserve"> LORD SELKIRK</v>
      </c>
      <c r="J23" s="4">
        <f t="shared" si="2"/>
        <v>13.560320069760674</v>
      </c>
      <c r="M23" s="695"/>
    </row>
    <row r="24" spans="1:13" ht="14.1" customHeight="1">
      <c r="A24" s="270" t="s">
        <v>248</v>
      </c>
      <c r="B24" s="171">
        <v>1339106890</v>
      </c>
      <c r="C24" s="171">
        <v>54257260</v>
      </c>
      <c r="D24" s="171">
        <v>195060820</v>
      </c>
      <c r="E24" s="171">
        <f t="shared" si="0"/>
        <v>1588424970</v>
      </c>
      <c r="F24" s="171">
        <f>'- 56 -'!C24</f>
        <v>21539551</v>
      </c>
      <c r="G24" s="271">
        <f t="shared" si="3"/>
        <v>13.560320069760674</v>
      </c>
      <c r="I24" s="267" t="str">
        <f t="shared" si="1"/>
        <v xml:space="preserve"> LOUIS RIEL</v>
      </c>
      <c r="J24" s="4">
        <f t="shared" si="2"/>
        <v>12.76324340447392</v>
      </c>
      <c r="M24" s="695"/>
    </row>
    <row r="25" spans="1:13" ht="14.1" customHeight="1">
      <c r="A25" s="412" t="s">
        <v>249</v>
      </c>
      <c r="B25" s="410">
        <v>4853047900</v>
      </c>
      <c r="C25" s="410">
        <v>11544930</v>
      </c>
      <c r="D25" s="410">
        <v>971061450</v>
      </c>
      <c r="E25" s="410">
        <f t="shared" si="0"/>
        <v>5835654280</v>
      </c>
      <c r="F25" s="410">
        <f>'- 56 -'!C25</f>
        <v>74481876</v>
      </c>
      <c r="G25" s="411">
        <f t="shared" si="3"/>
        <v>12.76324340447392</v>
      </c>
      <c r="I25" s="267" t="str">
        <f t="shared" si="1"/>
        <v xml:space="preserve"> MOUNTAIN VIEW</v>
      </c>
      <c r="J25" s="4">
        <f t="shared" si="2"/>
        <v>18.958390553674487</v>
      </c>
      <c r="M25" s="695"/>
    </row>
    <row r="26" spans="1:13" ht="14.1" customHeight="1">
      <c r="A26" s="270" t="s">
        <v>250</v>
      </c>
      <c r="B26" s="171">
        <v>374294370</v>
      </c>
      <c r="C26" s="171">
        <v>193732500</v>
      </c>
      <c r="D26" s="171">
        <v>115078110</v>
      </c>
      <c r="E26" s="171">
        <f t="shared" si="0"/>
        <v>683104980</v>
      </c>
      <c r="F26" s="171">
        <f>'- 56 -'!C26</f>
        <v>12950571</v>
      </c>
      <c r="G26" s="271">
        <f t="shared" si="3"/>
        <v>18.958390553674487</v>
      </c>
      <c r="I26" s="267" t="str">
        <f t="shared" si="1"/>
        <v xml:space="preserve"> MYSTERY LAKE</v>
      </c>
      <c r="J26" s="4">
        <f t="shared" si="2"/>
        <v>18.266735356602293</v>
      </c>
      <c r="M26" s="695"/>
    </row>
    <row r="27" spans="1:13" ht="14.1" customHeight="1">
      <c r="A27" s="412" t="s">
        <v>251</v>
      </c>
      <c r="B27" s="410">
        <v>303708090</v>
      </c>
      <c r="C27" s="410">
        <v>0</v>
      </c>
      <c r="D27" s="410">
        <v>109588750</v>
      </c>
      <c r="E27" s="410">
        <f t="shared" si="0"/>
        <v>413296840</v>
      </c>
      <c r="F27" s="410">
        <f>'- 56 -'!C27</f>
        <v>7549584</v>
      </c>
      <c r="G27" s="411">
        <f t="shared" ref="G27:G34" si="4">F27/E27*1000</f>
        <v>18.266735356602293</v>
      </c>
      <c r="I27" s="267" t="str">
        <f t="shared" si="1"/>
        <v xml:space="preserve"> PARK WEST</v>
      </c>
      <c r="J27" s="4">
        <f t="shared" si="2"/>
        <v>14.822389746303783</v>
      </c>
      <c r="M27" s="695"/>
    </row>
    <row r="28" spans="1:13" ht="14.1" customHeight="1">
      <c r="A28" s="270" t="s">
        <v>252</v>
      </c>
      <c r="B28" s="171">
        <v>167214110</v>
      </c>
      <c r="C28" s="171">
        <v>202971690</v>
      </c>
      <c r="D28" s="171">
        <v>157289940</v>
      </c>
      <c r="E28" s="171">
        <f t="shared" si="0"/>
        <v>527475740</v>
      </c>
      <c r="F28" s="171">
        <f>'- 56 -'!C28</f>
        <v>7818451</v>
      </c>
      <c r="G28" s="271">
        <f t="shared" si="4"/>
        <v>14.822389746303783</v>
      </c>
      <c r="I28" s="267" t="str">
        <f t="shared" si="1"/>
        <v xml:space="preserve"> PEMBINA TRAILS</v>
      </c>
      <c r="J28" s="4">
        <f t="shared" si="2"/>
        <v>12.877250662813736</v>
      </c>
      <c r="M28" s="695"/>
    </row>
    <row r="29" spans="1:13" ht="14.1" customHeight="1">
      <c r="A29" s="412" t="s">
        <v>253</v>
      </c>
      <c r="B29" s="410">
        <v>4695523700</v>
      </c>
      <c r="C29" s="410">
        <v>14498280</v>
      </c>
      <c r="D29" s="410">
        <v>1001454400</v>
      </c>
      <c r="E29" s="410">
        <f t="shared" si="0"/>
        <v>5711476380</v>
      </c>
      <c r="F29" s="410">
        <f>'- 56 -'!C29</f>
        <v>73548113</v>
      </c>
      <c r="G29" s="411">
        <f t="shared" si="4"/>
        <v>12.877250662813736</v>
      </c>
      <c r="I29" s="267" t="str">
        <f t="shared" si="1"/>
        <v xml:space="preserve"> PINE CREEK</v>
      </c>
      <c r="J29" s="4">
        <f t="shared" si="2"/>
        <v>16.943112729889908</v>
      </c>
      <c r="M29" s="695"/>
    </row>
    <row r="30" spans="1:13" ht="14.1" customHeight="1">
      <c r="A30" s="270" t="s">
        <v>254</v>
      </c>
      <c r="B30" s="171">
        <v>96257050</v>
      </c>
      <c r="C30" s="171">
        <v>129140550</v>
      </c>
      <c r="D30" s="171">
        <v>79441250</v>
      </c>
      <c r="E30" s="171">
        <f t="shared" si="0"/>
        <v>304838850</v>
      </c>
      <c r="F30" s="171">
        <f>'- 56 -'!C30</f>
        <v>5164919</v>
      </c>
      <c r="G30" s="271">
        <f t="shared" si="4"/>
        <v>16.943112729889908</v>
      </c>
      <c r="I30" s="267" t="str">
        <f t="shared" si="1"/>
        <v xml:space="preserve"> PORTAGE LA PRAIRIE</v>
      </c>
      <c r="J30" s="4">
        <f t="shared" si="2"/>
        <v>15.45326209450042</v>
      </c>
      <c r="M30" s="695"/>
    </row>
    <row r="31" spans="1:13" ht="14.1" customHeight="1">
      <c r="A31" s="412" t="s">
        <v>255</v>
      </c>
      <c r="B31" s="410">
        <v>415679960</v>
      </c>
      <c r="C31" s="410">
        <v>182121760</v>
      </c>
      <c r="D31" s="410">
        <v>283655730</v>
      </c>
      <c r="E31" s="410">
        <f t="shared" si="0"/>
        <v>881457450</v>
      </c>
      <c r="F31" s="410">
        <f>'- 56 -'!C31</f>
        <v>13621393</v>
      </c>
      <c r="G31" s="411">
        <f t="shared" si="4"/>
        <v>15.45326209450042</v>
      </c>
      <c r="I31" s="267" t="str">
        <f t="shared" si="1"/>
        <v xml:space="preserve"> PRAIRIE ROSE</v>
      </c>
      <c r="J31" s="4">
        <f t="shared" si="2"/>
        <v>13.705118650003305</v>
      </c>
      <c r="M31" s="695"/>
    </row>
    <row r="32" spans="1:13" ht="14.1" customHeight="1">
      <c r="A32" s="270" t="s">
        <v>256</v>
      </c>
      <c r="B32" s="171">
        <v>358795330</v>
      </c>
      <c r="C32" s="171">
        <v>320081500</v>
      </c>
      <c r="D32" s="171">
        <v>113824370</v>
      </c>
      <c r="E32" s="171">
        <f t="shared" si="0"/>
        <v>792701200</v>
      </c>
      <c r="F32" s="171">
        <f>'- 56 -'!C32</f>
        <v>10864064</v>
      </c>
      <c r="G32" s="271">
        <f t="shared" si="4"/>
        <v>13.705118650003305</v>
      </c>
      <c r="I32" s="267" t="str">
        <f t="shared" si="1"/>
        <v xml:space="preserve"> PRAIRIE SPIRIT</v>
      </c>
      <c r="J32" s="4">
        <f t="shared" si="2"/>
        <v>15.222615790973432</v>
      </c>
      <c r="M32" s="695"/>
    </row>
    <row r="33" spans="1:13" ht="14.1" customHeight="1">
      <c r="A33" s="412" t="s">
        <v>257</v>
      </c>
      <c r="B33" s="410">
        <v>211538240</v>
      </c>
      <c r="C33" s="410">
        <v>400798330</v>
      </c>
      <c r="D33" s="410">
        <v>142000080</v>
      </c>
      <c r="E33" s="410">
        <f t="shared" si="0"/>
        <v>754336650</v>
      </c>
      <c r="F33" s="410">
        <f>'- 56 -'!C33</f>
        <v>11482977</v>
      </c>
      <c r="G33" s="411">
        <f t="shared" si="4"/>
        <v>15.222615790973432</v>
      </c>
      <c r="I33" s="267" t="str">
        <f t="shared" si="1"/>
        <v xml:space="preserve"> RED RIVER VALLEY</v>
      </c>
      <c r="J33" s="4">
        <f t="shared" si="2"/>
        <v>16.252378172249536</v>
      </c>
      <c r="M33" s="695"/>
    </row>
    <row r="34" spans="1:13" ht="14.1" customHeight="1">
      <c r="A34" s="270" t="s">
        <v>258</v>
      </c>
      <c r="B34" s="171">
        <v>350923430</v>
      </c>
      <c r="C34" s="171">
        <v>257390210</v>
      </c>
      <c r="D34" s="171">
        <v>186098960</v>
      </c>
      <c r="E34" s="171">
        <f t="shared" si="0"/>
        <v>794412600</v>
      </c>
      <c r="F34" s="171">
        <f>'- 56 -'!C34</f>
        <v>12911094</v>
      </c>
      <c r="G34" s="271">
        <f t="shared" si="4"/>
        <v>16.252378172249536</v>
      </c>
      <c r="I34" s="267" t="str">
        <f t="shared" si="1"/>
        <v xml:space="preserve"> RIVER EAST TRANSCONA</v>
      </c>
      <c r="J34" s="4">
        <f t="shared" si="2"/>
        <v>14.229430792843869</v>
      </c>
      <c r="M34" s="695"/>
    </row>
    <row r="35" spans="1:13" ht="14.1" customHeight="1">
      <c r="A35" s="412" t="s">
        <v>259</v>
      </c>
      <c r="B35" s="410">
        <v>4182194470</v>
      </c>
      <c r="C35" s="410">
        <v>13166210</v>
      </c>
      <c r="D35" s="410">
        <v>763131970</v>
      </c>
      <c r="E35" s="410">
        <f t="shared" si="0"/>
        <v>4958492650</v>
      </c>
      <c r="F35" s="410">
        <f>'- 56 -'!C35</f>
        <v>70556528</v>
      </c>
      <c r="G35" s="411">
        <f t="shared" ref="G35:G46" si="5">F35/E35*1000</f>
        <v>14.229430792843869</v>
      </c>
      <c r="I35" s="267" t="str">
        <f t="shared" si="1"/>
        <v xml:space="preserve"> ROLLING RIVER</v>
      </c>
      <c r="J35" s="4">
        <f t="shared" si="2"/>
        <v>14.853946723177192</v>
      </c>
      <c r="M35" s="695"/>
    </row>
    <row r="36" spans="1:13" ht="14.1" customHeight="1">
      <c r="A36" s="270" t="s">
        <v>260</v>
      </c>
      <c r="B36" s="171">
        <v>323506790</v>
      </c>
      <c r="C36" s="171">
        <v>130394340</v>
      </c>
      <c r="D36" s="171">
        <v>154905820</v>
      </c>
      <c r="E36" s="171">
        <f t="shared" si="0"/>
        <v>608806950</v>
      </c>
      <c r="F36" s="171">
        <f>'- 56 -'!C36</f>
        <v>9043186</v>
      </c>
      <c r="G36" s="271">
        <f t="shared" si="5"/>
        <v>14.853946723177192</v>
      </c>
      <c r="I36" s="267" t="str">
        <f t="shared" si="1"/>
        <v xml:space="preserve"> SEINE RIVER</v>
      </c>
      <c r="J36" s="4">
        <f t="shared" si="2"/>
        <v>14.84616126729183</v>
      </c>
      <c r="M36" s="695"/>
    </row>
    <row r="37" spans="1:13" ht="14.1" customHeight="1">
      <c r="A37" s="412" t="s">
        <v>261</v>
      </c>
      <c r="B37" s="410">
        <v>957814380</v>
      </c>
      <c r="C37" s="410">
        <v>102670140</v>
      </c>
      <c r="D37" s="410">
        <v>145322670</v>
      </c>
      <c r="E37" s="410">
        <f t="shared" si="0"/>
        <v>1205807190</v>
      </c>
      <c r="F37" s="410">
        <f>'- 56 -'!C37</f>
        <v>17901608</v>
      </c>
      <c r="G37" s="411">
        <f t="shared" si="5"/>
        <v>14.84616126729183</v>
      </c>
      <c r="I37" s="267" t="str">
        <f t="shared" si="1"/>
        <v xml:space="preserve"> SEVEN OAKS</v>
      </c>
      <c r="J37" s="4">
        <f t="shared" si="2"/>
        <v>16.207341577020323</v>
      </c>
      <c r="M37" s="695"/>
    </row>
    <row r="38" spans="1:13" ht="14.1" customHeight="1">
      <c r="A38" s="270" t="s">
        <v>262</v>
      </c>
      <c r="B38" s="171">
        <v>2198137900</v>
      </c>
      <c r="C38" s="171">
        <v>10651270</v>
      </c>
      <c r="D38" s="171">
        <v>299119410</v>
      </c>
      <c r="E38" s="171">
        <f t="shared" si="0"/>
        <v>2507908580</v>
      </c>
      <c r="F38" s="171">
        <f>'- 56 -'!C38</f>
        <v>40646531</v>
      </c>
      <c r="G38" s="271">
        <f t="shared" si="5"/>
        <v>16.207341577020323</v>
      </c>
      <c r="I38" s="267" t="str">
        <f t="shared" si="1"/>
        <v xml:space="preserve"> SOUTHWEST HORIZON</v>
      </c>
      <c r="J38" s="4">
        <f t="shared" si="2"/>
        <v>14.584021483105188</v>
      </c>
      <c r="M38" s="695"/>
    </row>
    <row r="39" spans="1:13" ht="14.1" customHeight="1">
      <c r="A39" s="412" t="s">
        <v>263</v>
      </c>
      <c r="B39" s="410">
        <v>190702190</v>
      </c>
      <c r="C39" s="410">
        <v>261272940</v>
      </c>
      <c r="D39" s="410">
        <v>194050660</v>
      </c>
      <c r="E39" s="410">
        <f t="shared" si="0"/>
        <v>646025790</v>
      </c>
      <c r="F39" s="410">
        <f>'- 56 -'!C39</f>
        <v>9421654</v>
      </c>
      <c r="G39" s="411">
        <f t="shared" si="5"/>
        <v>14.584021483105188</v>
      </c>
      <c r="I39" s="267" t="str">
        <f t="shared" si="1"/>
        <v xml:space="preserve"> ST. JAMES-ASSINIBOIA</v>
      </c>
      <c r="J39" s="4">
        <f t="shared" si="2"/>
        <v>12.583316157433099</v>
      </c>
      <c r="M39" s="695"/>
    </row>
    <row r="40" spans="1:13" ht="14.1" customHeight="1">
      <c r="A40" s="270" t="s">
        <v>264</v>
      </c>
      <c r="B40" s="171">
        <v>2387727010</v>
      </c>
      <c r="C40" s="171">
        <v>13195190</v>
      </c>
      <c r="D40" s="171">
        <v>1266910780</v>
      </c>
      <c r="E40" s="171">
        <f t="shared" si="0"/>
        <v>3667832980</v>
      </c>
      <c r="F40" s="171">
        <f>'- 56 -'!C40</f>
        <v>46153502</v>
      </c>
      <c r="G40" s="271">
        <f t="shared" si="5"/>
        <v>12.583316157433099</v>
      </c>
      <c r="I40" s="267" t="str">
        <f t="shared" si="1"/>
        <v xml:space="preserve"> SUNRISE</v>
      </c>
      <c r="J40" s="4">
        <f t="shared" si="2"/>
        <v>14.833116448910015</v>
      </c>
      <c r="M40" s="695"/>
    </row>
    <row r="41" spans="1:13" ht="14.1" customHeight="1">
      <c r="A41" s="412" t="s">
        <v>265</v>
      </c>
      <c r="B41" s="410">
        <v>1385528170</v>
      </c>
      <c r="C41" s="410">
        <v>161253960</v>
      </c>
      <c r="D41" s="410">
        <v>295627730</v>
      </c>
      <c r="E41" s="410">
        <f t="shared" si="0"/>
        <v>1842409860</v>
      </c>
      <c r="F41" s="410">
        <f>'- 56 -'!C41</f>
        <v>27328680</v>
      </c>
      <c r="G41" s="411">
        <f t="shared" si="5"/>
        <v>14.833116448910015</v>
      </c>
      <c r="I41" s="267" t="str">
        <f t="shared" si="1"/>
        <v xml:space="preserve"> SWAN VALLEY</v>
      </c>
      <c r="J41" s="4">
        <f t="shared" si="2"/>
        <v>18.678140521394276</v>
      </c>
      <c r="M41" s="695"/>
    </row>
    <row r="42" spans="1:13" ht="14.1" customHeight="1">
      <c r="A42" s="270" t="s">
        <v>266</v>
      </c>
      <c r="B42" s="171">
        <v>166590880</v>
      </c>
      <c r="C42" s="171">
        <v>109000000</v>
      </c>
      <c r="D42" s="171">
        <v>65182710</v>
      </c>
      <c r="E42" s="171">
        <f t="shared" si="0"/>
        <v>340773590</v>
      </c>
      <c r="F42" s="171">
        <f>'- 56 -'!C42</f>
        <v>6365017</v>
      </c>
      <c r="G42" s="271">
        <f t="shared" si="5"/>
        <v>18.678140521394276</v>
      </c>
      <c r="I42" s="267" t="str">
        <f t="shared" si="1"/>
        <v xml:space="preserve"> TURTLE MOUNTAIN</v>
      </c>
      <c r="J42" s="4">
        <f t="shared" si="2"/>
        <v>15.797757219516564</v>
      </c>
      <c r="M42" s="695"/>
    </row>
    <row r="43" spans="1:13" ht="14.1" customHeight="1">
      <c r="A43" s="412" t="s">
        <v>267</v>
      </c>
      <c r="B43" s="410">
        <v>156826200</v>
      </c>
      <c r="C43" s="410">
        <v>131399180</v>
      </c>
      <c r="D43" s="410">
        <v>50137650</v>
      </c>
      <c r="E43" s="410">
        <f t="shared" si="0"/>
        <v>338363030</v>
      </c>
      <c r="F43" s="410">
        <f>'- 56 -'!C43</f>
        <v>5345377</v>
      </c>
      <c r="G43" s="411">
        <f t="shared" si="5"/>
        <v>15.797757219516564</v>
      </c>
      <c r="I43" s="267" t="str">
        <f t="shared" si="1"/>
        <v xml:space="preserve"> TURTLE RIVER</v>
      </c>
      <c r="J43" s="4">
        <f t="shared" si="2"/>
        <v>19.318488330085227</v>
      </c>
      <c r="M43" s="695"/>
    </row>
    <row r="44" spans="1:13" ht="14.1" customHeight="1">
      <c r="A44" s="270" t="s">
        <v>268</v>
      </c>
      <c r="B44" s="171">
        <v>67110420</v>
      </c>
      <c r="C44" s="171">
        <v>65534830</v>
      </c>
      <c r="D44" s="171">
        <v>12870380</v>
      </c>
      <c r="E44" s="171">
        <f t="shared" si="0"/>
        <v>145515630</v>
      </c>
      <c r="F44" s="171">
        <f>'- 56 -'!C44</f>
        <v>2811142</v>
      </c>
      <c r="G44" s="271">
        <f t="shared" si="5"/>
        <v>19.318488330085227</v>
      </c>
      <c r="I44" s="267" t="str">
        <f t="shared" si="1"/>
        <v xml:space="preserve"> WESTERN</v>
      </c>
      <c r="J44" s="4">
        <f t="shared" si="2"/>
        <v>17.976475772334258</v>
      </c>
      <c r="M44" s="695"/>
    </row>
    <row r="45" spans="1:13" ht="14.1" customHeight="1">
      <c r="A45" s="412" t="s">
        <v>269</v>
      </c>
      <c r="B45" s="410">
        <v>246554480</v>
      </c>
      <c r="C45" s="410">
        <v>51186820</v>
      </c>
      <c r="D45" s="410">
        <v>81154880</v>
      </c>
      <c r="E45" s="410">
        <f t="shared" si="0"/>
        <v>378896180</v>
      </c>
      <c r="F45" s="410">
        <f>'- 56 -'!C45</f>
        <v>6811218</v>
      </c>
      <c r="G45" s="411">
        <f t="shared" si="5"/>
        <v>17.976475772334258</v>
      </c>
      <c r="I45" s="267" t="str">
        <f>A46</f>
        <v xml:space="preserve"> WINNIPEG</v>
      </c>
      <c r="J45" s="4">
        <f>G46</f>
        <v>15.563316941711673</v>
      </c>
      <c r="M45" s="695"/>
    </row>
    <row r="46" spans="1:13" ht="14.1" customHeight="1">
      <c r="A46" s="270" t="s">
        <v>270</v>
      </c>
      <c r="B46" s="171">
        <v>5479171760</v>
      </c>
      <c r="C46" s="171">
        <v>2975750</v>
      </c>
      <c r="D46" s="171">
        <v>3680545670</v>
      </c>
      <c r="E46" s="171">
        <f t="shared" si="0"/>
        <v>9162693180</v>
      </c>
      <c r="F46" s="171">
        <f>'- 56 -'!C46</f>
        <v>142601898</v>
      </c>
      <c r="G46" s="271">
        <f t="shared" si="5"/>
        <v>15.563316941711673</v>
      </c>
      <c r="M46" s="695"/>
    </row>
    <row r="47" spans="1:13" ht="5.0999999999999996" customHeight="1">
      <c r="A47" s="148"/>
      <c r="B47" s="172"/>
      <c r="C47" s="172"/>
      <c r="D47" s="172"/>
      <c r="E47" s="172"/>
      <c r="F47" s="172"/>
      <c r="G47" s="273"/>
      <c r="M47" s="695"/>
    </row>
    <row r="48" spans="1:13" ht="14.1" customHeight="1">
      <c r="A48" s="413" t="s">
        <v>359</v>
      </c>
      <c r="B48" s="414">
        <f>SUM(B11:B46)</f>
        <v>36040548790</v>
      </c>
      <c r="C48" s="414">
        <f>SUM(C11:C46)</f>
        <v>3958001860</v>
      </c>
      <c r="D48" s="414">
        <f>SUM(D11:D46)</f>
        <v>12632785140</v>
      </c>
      <c r="E48" s="414">
        <f>SUM(E11:E46)</f>
        <v>52631335790</v>
      </c>
      <c r="F48" s="414">
        <f>SUM(F11:F46)</f>
        <v>771438893</v>
      </c>
      <c r="G48" s="415">
        <f>F48/E48*1000</f>
        <v>14.657406684072306</v>
      </c>
      <c r="M48" s="695"/>
    </row>
    <row r="49" spans="1:10" ht="5.0999999999999996" customHeight="1">
      <c r="A49" s="148"/>
      <c r="B49" s="172"/>
      <c r="C49" s="172"/>
      <c r="D49" s="172"/>
      <c r="E49" s="172"/>
      <c r="F49" s="172"/>
      <c r="G49" s="172"/>
    </row>
    <row r="50" spans="1:10" ht="14.1" customHeight="1">
      <c r="A50" s="270" t="s">
        <v>360</v>
      </c>
      <c r="B50" s="171">
        <v>58777400</v>
      </c>
      <c r="C50" s="171">
        <v>704860</v>
      </c>
      <c r="D50" s="171">
        <v>3421900</v>
      </c>
      <c r="E50" s="171">
        <f>SUM(B50:D50)</f>
        <v>62904160</v>
      </c>
      <c r="F50" s="172"/>
      <c r="G50" s="172"/>
    </row>
    <row r="51" spans="1:10" ht="14.1" customHeight="1">
      <c r="A51" s="412" t="s">
        <v>361</v>
      </c>
      <c r="B51" s="410">
        <v>15239140</v>
      </c>
      <c r="C51" s="410">
        <v>12598760</v>
      </c>
      <c r="D51" s="410">
        <v>44700560</v>
      </c>
      <c r="E51" s="410">
        <f>SUM(B51:D51)</f>
        <v>72538460</v>
      </c>
      <c r="F51" s="172"/>
      <c r="G51" s="274"/>
    </row>
    <row r="52" spans="1:10" ht="5.0999999999999996" customHeight="1">
      <c r="A52" s="148"/>
      <c r="B52" s="172"/>
      <c r="C52" s="172"/>
      <c r="D52" s="172"/>
      <c r="E52" s="172"/>
      <c r="F52" s="172"/>
      <c r="G52" s="172"/>
    </row>
    <row r="53" spans="1:10" ht="14.1" customHeight="1">
      <c r="A53" s="413" t="s">
        <v>271</v>
      </c>
      <c r="B53" s="414">
        <f>SUM(B48,B50:B51)</f>
        <v>36114565330</v>
      </c>
      <c r="C53" s="414">
        <f>SUM(C48,C50:C51)</f>
        <v>3971305480</v>
      </c>
      <c r="D53" s="414">
        <f>SUM(D48,D50:D51)</f>
        <v>12680907600</v>
      </c>
      <c r="E53" s="414">
        <f>SUM(E48,E50:E51)</f>
        <v>52766778410</v>
      </c>
      <c r="F53" s="172"/>
      <c r="G53" s="274"/>
    </row>
    <row r="54" spans="1:10" ht="50.1" customHeight="1">
      <c r="A54" s="30"/>
      <c r="B54" s="30"/>
      <c r="C54" s="30"/>
      <c r="D54" s="30"/>
      <c r="E54" s="30"/>
      <c r="F54" s="30"/>
      <c r="G54" s="30"/>
    </row>
    <row r="55" spans="1:10" ht="15" customHeight="1">
      <c r="A55" s="151" t="s">
        <v>748</v>
      </c>
      <c r="B55" s="45"/>
      <c r="C55" s="45"/>
      <c r="D55" s="45"/>
      <c r="E55" s="45"/>
      <c r="F55" s="45"/>
      <c r="G55" s="45"/>
      <c r="H55" s="45"/>
      <c r="I55" s="45"/>
      <c r="J55" s="45"/>
    </row>
    <row r="56" spans="1:10" ht="12" customHeight="1">
      <c r="A56" s="151" t="s">
        <v>774</v>
      </c>
      <c r="B56" s="45"/>
      <c r="C56" s="45"/>
      <c r="D56" s="45"/>
      <c r="E56" s="45"/>
      <c r="F56" s="45"/>
      <c r="G56" s="45"/>
      <c r="H56" s="45"/>
      <c r="I56" s="45"/>
      <c r="J56" s="45"/>
    </row>
    <row r="57" spans="1:10" ht="12" customHeight="1">
      <c r="A57" s="1" t="s">
        <v>650</v>
      </c>
      <c r="B57" s="45"/>
      <c r="C57" s="45"/>
      <c r="D57" s="45"/>
      <c r="E57" s="45"/>
      <c r="F57" s="45"/>
      <c r="G57" s="45"/>
      <c r="H57" s="45"/>
      <c r="I57" s="45"/>
      <c r="J57" s="45"/>
    </row>
  </sheetData>
  <phoneticPr fontId="0" type="noConversion"/>
  <pageMargins left="0.5" right="0.5" top="0.6" bottom="0.2" header="0.3" footer="0.5"/>
  <pageSetup scale="95" orientation="portrait" r:id="rId1"/>
  <headerFooter alignWithMargins="0">
    <oddHeader>&amp;C&amp;"Arial,Regular"&amp;11&amp;A</oddHeader>
  </headerFooter>
  <legacyDrawing r:id="rId2"/>
</worksheet>
</file>

<file path=xl/worksheets/sheet5.xml><?xml version="1.0" encoding="utf-8"?>
<worksheet xmlns="http://schemas.openxmlformats.org/spreadsheetml/2006/main" xmlns:r="http://schemas.openxmlformats.org/officeDocument/2006/relationships">
  <sheetPr codeName="Sheet3">
    <pageSetUpPr fitToPage="1"/>
  </sheetPr>
  <dimension ref="A1:H54"/>
  <sheetViews>
    <sheetView showGridLines="0" showZeros="0" workbookViewId="0"/>
  </sheetViews>
  <sheetFormatPr defaultColWidth="12.83203125" defaultRowHeight="12"/>
  <cols>
    <col min="1" max="1" width="29.83203125" style="1" customWidth="1"/>
    <col min="2" max="8" width="14.83203125" style="1" customWidth="1"/>
    <col min="9" max="16384" width="12.83203125" style="1"/>
  </cols>
  <sheetData>
    <row r="1" spans="1:8" ht="6.95" customHeight="1">
      <c r="A1" s="6"/>
      <c r="B1" s="100"/>
      <c r="C1" s="100"/>
      <c r="D1" s="100"/>
      <c r="E1" s="100"/>
      <c r="F1" s="100"/>
      <c r="G1" s="100"/>
      <c r="H1" s="100"/>
    </row>
    <row r="2" spans="1:8" ht="15.95" customHeight="1">
      <c r="A2" s="71"/>
      <c r="B2" s="101" t="s">
        <v>177</v>
      </c>
      <c r="C2" s="102"/>
      <c r="D2" s="102"/>
      <c r="E2" s="102"/>
      <c r="F2" s="102"/>
      <c r="G2" s="102"/>
      <c r="H2" s="103" t="s">
        <v>178</v>
      </c>
    </row>
    <row r="3" spans="1:8" ht="15.95" customHeight="1">
      <c r="A3" s="73"/>
      <c r="B3" s="104" t="str">
        <f>"ACTUAL SEPTEMBER 30, "&amp;FALLYR</f>
        <v>ACTUAL SEPTEMBER 30, 2012</v>
      </c>
      <c r="C3" s="105"/>
      <c r="D3" s="106"/>
      <c r="E3" s="105"/>
      <c r="F3" s="106"/>
      <c r="G3" s="105"/>
      <c r="H3" s="107"/>
    </row>
    <row r="4" spans="1:8" ht="15.95" customHeight="1">
      <c r="B4" s="100"/>
      <c r="C4" s="100"/>
      <c r="D4" s="100"/>
      <c r="E4" s="100"/>
      <c r="F4" s="100"/>
      <c r="G4" s="108"/>
      <c r="H4" s="100"/>
    </row>
    <row r="5" spans="1:8" ht="15.95" customHeight="1">
      <c r="B5" s="100"/>
      <c r="C5" s="100"/>
      <c r="D5" s="100"/>
      <c r="E5" s="100"/>
      <c r="F5" s="100"/>
      <c r="G5" s="100"/>
      <c r="H5" s="100"/>
    </row>
    <row r="6" spans="1:8" ht="15.95" customHeight="1">
      <c r="B6" s="334" t="s">
        <v>62</v>
      </c>
      <c r="C6" s="335"/>
      <c r="D6" s="335"/>
      <c r="E6" s="335"/>
      <c r="F6" s="335"/>
      <c r="G6" s="335"/>
      <c r="H6" s="336"/>
    </row>
    <row r="7" spans="1:8" ht="15.95" customHeight="1">
      <c r="B7" s="109" t="s">
        <v>394</v>
      </c>
      <c r="C7" s="110"/>
      <c r="D7" s="110"/>
      <c r="E7" s="111" t="s">
        <v>395</v>
      </c>
      <c r="F7" s="110"/>
      <c r="G7" s="110"/>
      <c r="H7" s="112"/>
    </row>
    <row r="8" spans="1:8" ht="15.95" customHeight="1">
      <c r="A8" s="113"/>
      <c r="B8" s="114" t="s">
        <v>82</v>
      </c>
      <c r="C8" s="115" t="s">
        <v>17</v>
      </c>
      <c r="D8" s="116" t="s">
        <v>83</v>
      </c>
      <c r="E8" s="117" t="s">
        <v>82</v>
      </c>
      <c r="F8" s="115" t="s">
        <v>17</v>
      </c>
      <c r="G8" s="116" t="s">
        <v>83</v>
      </c>
      <c r="H8" s="118" t="s">
        <v>58</v>
      </c>
    </row>
    <row r="9" spans="1:8" ht="15.95" customHeight="1">
      <c r="A9" s="119" t="s">
        <v>94</v>
      </c>
      <c r="B9" s="120" t="s">
        <v>98</v>
      </c>
      <c r="C9" s="121" t="s">
        <v>46</v>
      </c>
      <c r="D9" s="121" t="s">
        <v>99</v>
      </c>
      <c r="E9" s="122" t="s">
        <v>98</v>
      </c>
      <c r="F9" s="121" t="s">
        <v>46</v>
      </c>
      <c r="G9" s="121" t="s">
        <v>99</v>
      </c>
      <c r="H9" s="123" t="s">
        <v>100</v>
      </c>
    </row>
    <row r="10" spans="1:8" ht="5.0999999999999996" customHeight="1">
      <c r="A10" s="5"/>
      <c r="B10" s="96"/>
      <c r="C10" s="96"/>
      <c r="D10" s="96"/>
      <c r="E10" s="96"/>
      <c r="F10" s="96"/>
      <c r="G10" s="96"/>
      <c r="H10" s="96"/>
    </row>
    <row r="11" spans="1:8" ht="14.1" customHeight="1">
      <c r="A11" s="330" t="s">
        <v>236</v>
      </c>
      <c r="B11" s="337">
        <v>1501.5</v>
      </c>
      <c r="C11" s="337">
        <v>0</v>
      </c>
      <c r="D11" s="338">
        <v>0</v>
      </c>
      <c r="E11" s="339">
        <v>0</v>
      </c>
      <c r="F11" s="337">
        <v>0</v>
      </c>
      <c r="G11" s="337">
        <v>0</v>
      </c>
      <c r="H11" s="337">
        <v>0</v>
      </c>
    </row>
    <row r="12" spans="1:8" ht="14.1" customHeight="1">
      <c r="A12" s="26" t="s">
        <v>237</v>
      </c>
      <c r="B12" s="79">
        <v>2134</v>
      </c>
      <c r="C12" s="79">
        <v>0</v>
      </c>
      <c r="D12" s="124">
        <v>0</v>
      </c>
      <c r="E12" s="125">
        <v>0</v>
      </c>
      <c r="F12" s="79">
        <v>0</v>
      </c>
      <c r="G12" s="79">
        <v>0</v>
      </c>
      <c r="H12" s="79">
        <v>0</v>
      </c>
    </row>
    <row r="13" spans="1:8" ht="14.1" customHeight="1">
      <c r="A13" s="330" t="s">
        <v>238</v>
      </c>
      <c r="B13" s="337">
        <v>5638.8</v>
      </c>
      <c r="C13" s="337">
        <v>0</v>
      </c>
      <c r="D13" s="338">
        <v>322</v>
      </c>
      <c r="E13" s="339">
        <v>1146</v>
      </c>
      <c r="F13" s="337">
        <v>0</v>
      </c>
      <c r="G13" s="337">
        <v>362</v>
      </c>
      <c r="H13" s="337">
        <v>0</v>
      </c>
    </row>
    <row r="14" spans="1:8" ht="14.1" customHeight="1">
      <c r="A14" s="26" t="s">
        <v>656</v>
      </c>
      <c r="B14" s="79">
        <v>0</v>
      </c>
      <c r="C14" s="79">
        <v>5094</v>
      </c>
      <c r="D14" s="124">
        <v>0</v>
      </c>
      <c r="E14" s="125">
        <v>0</v>
      </c>
      <c r="F14" s="79">
        <v>0</v>
      </c>
      <c r="G14" s="79">
        <v>0</v>
      </c>
      <c r="H14" s="79">
        <v>0</v>
      </c>
    </row>
    <row r="15" spans="1:8" ht="14.1" customHeight="1">
      <c r="A15" s="330" t="s">
        <v>239</v>
      </c>
      <c r="B15" s="337">
        <v>1524</v>
      </c>
      <c r="C15" s="337">
        <v>0</v>
      </c>
      <c r="D15" s="338">
        <v>0</v>
      </c>
      <c r="E15" s="339">
        <v>0</v>
      </c>
      <c r="F15" s="337">
        <v>0</v>
      </c>
      <c r="G15" s="337">
        <v>0</v>
      </c>
      <c r="H15" s="337">
        <v>0</v>
      </c>
    </row>
    <row r="16" spans="1:8" ht="14.1" customHeight="1">
      <c r="A16" s="26" t="s">
        <v>240</v>
      </c>
      <c r="B16" s="79">
        <v>593</v>
      </c>
      <c r="C16" s="79">
        <v>0</v>
      </c>
      <c r="D16" s="124">
        <v>0</v>
      </c>
      <c r="E16" s="125">
        <v>301</v>
      </c>
      <c r="F16" s="79">
        <v>0</v>
      </c>
      <c r="G16" s="79">
        <v>92.5</v>
      </c>
      <c r="H16" s="79">
        <v>0</v>
      </c>
    </row>
    <row r="17" spans="1:8" ht="14.1" customHeight="1">
      <c r="A17" s="330" t="s">
        <v>241</v>
      </c>
      <c r="B17" s="337">
        <v>1263.9000000000001</v>
      </c>
      <c r="C17" s="337">
        <v>0</v>
      </c>
      <c r="D17" s="338">
        <v>0</v>
      </c>
      <c r="E17" s="339">
        <v>0</v>
      </c>
      <c r="F17" s="337">
        <v>0</v>
      </c>
      <c r="G17" s="337">
        <v>0</v>
      </c>
      <c r="H17" s="337">
        <v>0</v>
      </c>
    </row>
    <row r="18" spans="1:8" ht="14.1" customHeight="1">
      <c r="A18" s="26" t="s">
        <v>242</v>
      </c>
      <c r="B18" s="79">
        <v>5776</v>
      </c>
      <c r="C18" s="79">
        <v>0</v>
      </c>
      <c r="D18" s="124">
        <v>0</v>
      </c>
      <c r="E18" s="125">
        <v>0</v>
      </c>
      <c r="F18" s="79">
        <v>0</v>
      </c>
      <c r="G18" s="79">
        <v>0</v>
      </c>
      <c r="H18" s="79">
        <v>0</v>
      </c>
    </row>
    <row r="19" spans="1:8" ht="14.1" customHeight="1">
      <c r="A19" s="330" t="s">
        <v>243</v>
      </c>
      <c r="B19" s="337">
        <v>4090.6</v>
      </c>
      <c r="C19" s="337">
        <v>0</v>
      </c>
      <c r="D19" s="338">
        <v>0</v>
      </c>
      <c r="E19" s="339">
        <v>0</v>
      </c>
      <c r="F19" s="337">
        <v>0</v>
      </c>
      <c r="G19" s="337">
        <v>0</v>
      </c>
      <c r="H19" s="337">
        <v>0</v>
      </c>
    </row>
    <row r="20" spans="1:8" ht="14.1" customHeight="1">
      <c r="A20" s="26" t="s">
        <v>244</v>
      </c>
      <c r="B20" s="79">
        <v>6973.5</v>
      </c>
      <c r="C20" s="79">
        <v>0</v>
      </c>
      <c r="D20" s="124">
        <v>0</v>
      </c>
      <c r="E20" s="125">
        <v>0</v>
      </c>
      <c r="F20" s="79">
        <v>0</v>
      </c>
      <c r="G20" s="79">
        <v>0</v>
      </c>
      <c r="H20" s="79">
        <v>0</v>
      </c>
    </row>
    <row r="21" spans="1:8" ht="14.1" customHeight="1">
      <c r="A21" s="330" t="s">
        <v>245</v>
      </c>
      <c r="B21" s="337">
        <v>2431</v>
      </c>
      <c r="C21" s="337">
        <v>0</v>
      </c>
      <c r="D21" s="338">
        <v>0</v>
      </c>
      <c r="E21" s="339">
        <v>219</v>
      </c>
      <c r="F21" s="337">
        <v>0</v>
      </c>
      <c r="G21" s="337">
        <v>108.5</v>
      </c>
      <c r="H21" s="337">
        <v>0</v>
      </c>
    </row>
    <row r="22" spans="1:8" ht="14.1" customHeight="1">
      <c r="A22" s="26" t="s">
        <v>246</v>
      </c>
      <c r="B22" s="79">
        <v>898.5</v>
      </c>
      <c r="C22" s="79">
        <v>0</v>
      </c>
      <c r="D22" s="124">
        <v>0</v>
      </c>
      <c r="E22" s="125">
        <v>548</v>
      </c>
      <c r="F22" s="79">
        <v>0</v>
      </c>
      <c r="G22" s="79">
        <v>149</v>
      </c>
      <c r="H22" s="79">
        <v>0</v>
      </c>
    </row>
    <row r="23" spans="1:8" ht="14.1" customHeight="1">
      <c r="A23" s="330" t="s">
        <v>247</v>
      </c>
      <c r="B23" s="337">
        <v>1159.5</v>
      </c>
      <c r="C23" s="337">
        <v>0</v>
      </c>
      <c r="D23" s="338">
        <v>0</v>
      </c>
      <c r="E23" s="339">
        <v>0</v>
      </c>
      <c r="F23" s="337">
        <v>0</v>
      </c>
      <c r="G23" s="337">
        <v>0</v>
      </c>
      <c r="H23" s="337">
        <v>0</v>
      </c>
    </row>
    <row r="24" spans="1:8" ht="14.1" customHeight="1">
      <c r="A24" s="26" t="s">
        <v>248</v>
      </c>
      <c r="B24" s="79">
        <v>2966.7</v>
      </c>
      <c r="C24" s="79">
        <v>0</v>
      </c>
      <c r="D24" s="124">
        <v>268</v>
      </c>
      <c r="E24" s="125">
        <v>512.5</v>
      </c>
      <c r="F24" s="79">
        <v>0</v>
      </c>
      <c r="G24" s="79">
        <v>94</v>
      </c>
      <c r="H24" s="79">
        <v>59.5</v>
      </c>
    </row>
    <row r="25" spans="1:8" ht="14.1" customHeight="1">
      <c r="A25" s="330" t="s">
        <v>249</v>
      </c>
      <c r="B25" s="337">
        <v>9578.1</v>
      </c>
      <c r="C25" s="337">
        <v>0</v>
      </c>
      <c r="D25" s="338">
        <v>3830.7</v>
      </c>
      <c r="E25" s="339">
        <v>0</v>
      </c>
      <c r="F25" s="337">
        <v>25</v>
      </c>
      <c r="G25" s="337">
        <v>118</v>
      </c>
      <c r="H25" s="337">
        <v>0</v>
      </c>
    </row>
    <row r="26" spans="1:8" ht="14.1" customHeight="1">
      <c r="A26" s="26" t="s">
        <v>250</v>
      </c>
      <c r="B26" s="79">
        <v>2419.21</v>
      </c>
      <c r="C26" s="79">
        <v>0</v>
      </c>
      <c r="D26" s="124">
        <v>194</v>
      </c>
      <c r="E26" s="125">
        <v>238</v>
      </c>
      <c r="F26" s="79">
        <v>0</v>
      </c>
      <c r="G26" s="79">
        <v>35</v>
      </c>
      <c r="H26" s="79">
        <v>66</v>
      </c>
    </row>
    <row r="27" spans="1:8" ht="14.1" customHeight="1">
      <c r="A27" s="330" t="s">
        <v>251</v>
      </c>
      <c r="B27" s="337">
        <v>2204.9</v>
      </c>
      <c r="C27" s="337">
        <v>0</v>
      </c>
      <c r="D27" s="338">
        <v>0</v>
      </c>
      <c r="E27" s="339">
        <v>107</v>
      </c>
      <c r="F27" s="337">
        <v>0</v>
      </c>
      <c r="G27" s="337">
        <v>230</v>
      </c>
      <c r="H27" s="337">
        <v>0</v>
      </c>
    </row>
    <row r="28" spans="1:8" ht="14.1" customHeight="1">
      <c r="A28" s="26" t="s">
        <v>252</v>
      </c>
      <c r="B28" s="79">
        <v>1984.5</v>
      </c>
      <c r="C28" s="79">
        <v>0</v>
      </c>
      <c r="D28" s="124">
        <v>0</v>
      </c>
      <c r="E28" s="125">
        <v>0</v>
      </c>
      <c r="F28" s="79">
        <v>0</v>
      </c>
      <c r="G28" s="79">
        <v>0</v>
      </c>
      <c r="H28" s="79">
        <v>0</v>
      </c>
    </row>
    <row r="29" spans="1:8" ht="14.1" customHeight="1">
      <c r="A29" s="330" t="s">
        <v>253</v>
      </c>
      <c r="B29" s="337">
        <v>7405.7</v>
      </c>
      <c r="C29" s="337">
        <v>0</v>
      </c>
      <c r="D29" s="338">
        <v>1268</v>
      </c>
      <c r="E29" s="339">
        <v>2391.1999999999998</v>
      </c>
      <c r="F29" s="337">
        <v>0</v>
      </c>
      <c r="G29" s="337">
        <v>1107.5</v>
      </c>
      <c r="H29" s="337">
        <v>0</v>
      </c>
    </row>
    <row r="30" spans="1:8" ht="14.1" customHeight="1">
      <c r="A30" s="26" t="s">
        <v>254</v>
      </c>
      <c r="B30" s="79">
        <v>1077.8</v>
      </c>
      <c r="C30" s="79">
        <v>0</v>
      </c>
      <c r="D30" s="124">
        <v>0</v>
      </c>
      <c r="E30" s="125">
        <v>0</v>
      </c>
      <c r="F30" s="79">
        <v>0</v>
      </c>
      <c r="G30" s="79">
        <v>0</v>
      </c>
      <c r="H30" s="79">
        <v>0</v>
      </c>
    </row>
    <row r="31" spans="1:8" ht="14.1" customHeight="1">
      <c r="A31" s="330" t="s">
        <v>255</v>
      </c>
      <c r="B31" s="337">
        <v>2377</v>
      </c>
      <c r="C31" s="337">
        <v>0</v>
      </c>
      <c r="D31" s="338">
        <v>0</v>
      </c>
      <c r="E31" s="339">
        <v>461</v>
      </c>
      <c r="F31" s="337">
        <v>0</v>
      </c>
      <c r="G31" s="337">
        <v>245</v>
      </c>
      <c r="H31" s="337">
        <v>0</v>
      </c>
    </row>
    <row r="32" spans="1:8" ht="14.1" customHeight="1">
      <c r="A32" s="26" t="s">
        <v>256</v>
      </c>
      <c r="B32" s="79">
        <v>1737.3</v>
      </c>
      <c r="C32" s="79">
        <v>0</v>
      </c>
      <c r="D32" s="124">
        <v>96.5</v>
      </c>
      <c r="E32" s="125">
        <v>113</v>
      </c>
      <c r="F32" s="79">
        <v>0</v>
      </c>
      <c r="G32" s="79">
        <v>51</v>
      </c>
      <c r="H32" s="79">
        <v>0</v>
      </c>
    </row>
    <row r="33" spans="1:8" ht="14.1" customHeight="1">
      <c r="A33" s="330" t="s">
        <v>257</v>
      </c>
      <c r="B33" s="337">
        <v>1674.4</v>
      </c>
      <c r="C33" s="337">
        <v>0</v>
      </c>
      <c r="D33" s="338">
        <v>0</v>
      </c>
      <c r="E33" s="339">
        <v>95</v>
      </c>
      <c r="F33" s="337">
        <v>129</v>
      </c>
      <c r="G33" s="337">
        <v>65.5</v>
      </c>
      <c r="H33" s="337">
        <v>0</v>
      </c>
    </row>
    <row r="34" spans="1:8" ht="14.1" customHeight="1">
      <c r="A34" s="26" t="s">
        <v>258</v>
      </c>
      <c r="B34" s="79">
        <v>1681.06</v>
      </c>
      <c r="C34" s="79">
        <v>0</v>
      </c>
      <c r="D34" s="124">
        <v>191.48</v>
      </c>
      <c r="E34" s="125">
        <v>47.5</v>
      </c>
      <c r="F34" s="79">
        <v>97</v>
      </c>
      <c r="G34" s="79">
        <v>0</v>
      </c>
      <c r="H34" s="79">
        <v>0</v>
      </c>
    </row>
    <row r="35" spans="1:8" ht="14.1" customHeight="1">
      <c r="A35" s="330" t="s">
        <v>259</v>
      </c>
      <c r="B35" s="337">
        <v>9391</v>
      </c>
      <c r="C35" s="337">
        <v>0</v>
      </c>
      <c r="D35" s="338">
        <v>1121</v>
      </c>
      <c r="E35" s="339">
        <v>2742.5</v>
      </c>
      <c r="F35" s="337">
        <v>0</v>
      </c>
      <c r="G35" s="337">
        <v>1570</v>
      </c>
      <c r="H35" s="337">
        <v>443.5</v>
      </c>
    </row>
    <row r="36" spans="1:8" ht="14.1" customHeight="1">
      <c r="A36" s="26" t="s">
        <v>260</v>
      </c>
      <c r="B36" s="79">
        <v>1636.8</v>
      </c>
      <c r="C36" s="79">
        <v>0</v>
      </c>
      <c r="D36" s="124">
        <v>0</v>
      </c>
      <c r="E36" s="125">
        <v>0</v>
      </c>
      <c r="F36" s="79">
        <v>0</v>
      </c>
      <c r="G36" s="79">
        <v>0</v>
      </c>
      <c r="H36" s="79">
        <v>0</v>
      </c>
    </row>
    <row r="37" spans="1:8" ht="14.1" customHeight="1">
      <c r="A37" s="330" t="s">
        <v>261</v>
      </c>
      <c r="B37" s="337">
        <v>1896</v>
      </c>
      <c r="C37" s="337">
        <v>0</v>
      </c>
      <c r="D37" s="338">
        <v>662.5</v>
      </c>
      <c r="E37" s="339">
        <v>719.5</v>
      </c>
      <c r="F37" s="337">
        <v>0</v>
      </c>
      <c r="G37" s="337">
        <v>450.5</v>
      </c>
      <c r="H37" s="337">
        <v>0</v>
      </c>
    </row>
    <row r="38" spans="1:8" ht="14.1" customHeight="1">
      <c r="A38" s="26" t="s">
        <v>262</v>
      </c>
      <c r="B38" s="79">
        <v>5665.7</v>
      </c>
      <c r="C38" s="79">
        <v>0</v>
      </c>
      <c r="D38" s="124">
        <v>272.5</v>
      </c>
      <c r="E38" s="125">
        <v>3063.9</v>
      </c>
      <c r="F38" s="79">
        <v>0</v>
      </c>
      <c r="G38" s="79">
        <v>1109</v>
      </c>
      <c r="H38" s="79">
        <v>128.5</v>
      </c>
    </row>
    <row r="39" spans="1:8" ht="14.1" customHeight="1">
      <c r="A39" s="330" t="s">
        <v>263</v>
      </c>
      <c r="B39" s="337">
        <v>1540</v>
      </c>
      <c r="C39" s="337">
        <v>0</v>
      </c>
      <c r="D39" s="338">
        <v>0</v>
      </c>
      <c r="E39" s="339">
        <v>0</v>
      </c>
      <c r="F39" s="337">
        <v>0</v>
      </c>
      <c r="G39" s="337">
        <v>0</v>
      </c>
      <c r="H39" s="337">
        <v>0</v>
      </c>
    </row>
    <row r="40" spans="1:8" ht="14.1" customHeight="1">
      <c r="A40" s="26" t="s">
        <v>264</v>
      </c>
      <c r="B40" s="79">
        <v>5497.2</v>
      </c>
      <c r="C40" s="79">
        <v>0</v>
      </c>
      <c r="D40" s="124">
        <v>696.5</v>
      </c>
      <c r="E40" s="125">
        <v>1271.5</v>
      </c>
      <c r="F40" s="79">
        <v>0</v>
      </c>
      <c r="G40" s="79">
        <v>273</v>
      </c>
      <c r="H40" s="79">
        <v>0</v>
      </c>
    </row>
    <row r="41" spans="1:8" ht="14.1" customHeight="1">
      <c r="A41" s="330" t="s">
        <v>265</v>
      </c>
      <c r="B41" s="337">
        <v>2121</v>
      </c>
      <c r="C41" s="337">
        <v>0</v>
      </c>
      <c r="D41" s="338">
        <v>0</v>
      </c>
      <c r="E41" s="339">
        <v>1653.5</v>
      </c>
      <c r="F41" s="337">
        <v>0</v>
      </c>
      <c r="G41" s="337">
        <v>631</v>
      </c>
      <c r="H41" s="337">
        <v>68.5</v>
      </c>
    </row>
    <row r="42" spans="1:8" ht="14.1" customHeight="1">
      <c r="A42" s="26" t="s">
        <v>266</v>
      </c>
      <c r="B42" s="79">
        <v>1040.2</v>
      </c>
      <c r="C42" s="79">
        <v>0</v>
      </c>
      <c r="D42" s="124">
        <v>0</v>
      </c>
      <c r="E42" s="125">
        <v>158</v>
      </c>
      <c r="F42" s="79">
        <v>0</v>
      </c>
      <c r="G42" s="79">
        <v>70.5</v>
      </c>
      <c r="H42" s="79">
        <v>0</v>
      </c>
    </row>
    <row r="43" spans="1:8" ht="14.1" customHeight="1">
      <c r="A43" s="330" t="s">
        <v>267</v>
      </c>
      <c r="B43" s="337">
        <v>953.5</v>
      </c>
      <c r="C43" s="337">
        <v>0</v>
      </c>
      <c r="D43" s="338">
        <v>0</v>
      </c>
      <c r="E43" s="339">
        <v>0</v>
      </c>
      <c r="F43" s="337">
        <v>0</v>
      </c>
      <c r="G43" s="337">
        <v>0</v>
      </c>
      <c r="H43" s="337">
        <v>0</v>
      </c>
    </row>
    <row r="44" spans="1:8" ht="14.1" customHeight="1">
      <c r="A44" s="26" t="s">
        <v>268</v>
      </c>
      <c r="B44" s="79">
        <v>674.5</v>
      </c>
      <c r="C44" s="79">
        <v>41</v>
      </c>
      <c r="D44" s="124">
        <v>0</v>
      </c>
      <c r="E44" s="125">
        <v>0</v>
      </c>
      <c r="F44" s="79">
        <v>0</v>
      </c>
      <c r="G44" s="79">
        <v>0</v>
      </c>
      <c r="H44" s="79">
        <v>0</v>
      </c>
    </row>
    <row r="45" spans="1:8" ht="14.1" customHeight="1">
      <c r="A45" s="330" t="s">
        <v>269</v>
      </c>
      <c r="B45" s="337">
        <v>716</v>
      </c>
      <c r="C45" s="337">
        <v>0</v>
      </c>
      <c r="D45" s="338">
        <v>0</v>
      </c>
      <c r="E45" s="339">
        <v>671</v>
      </c>
      <c r="F45" s="337">
        <v>0</v>
      </c>
      <c r="G45" s="337">
        <v>192</v>
      </c>
      <c r="H45" s="337">
        <v>0</v>
      </c>
    </row>
    <row r="46" spans="1:8" ht="14.1" customHeight="1">
      <c r="A46" s="26" t="s">
        <v>270</v>
      </c>
      <c r="B46" s="79">
        <v>22724.9</v>
      </c>
      <c r="C46" s="79">
        <v>0</v>
      </c>
      <c r="D46" s="124">
        <v>1119.5</v>
      </c>
      <c r="E46" s="125">
        <v>3249</v>
      </c>
      <c r="F46" s="79">
        <v>0</v>
      </c>
      <c r="G46" s="79">
        <v>2245</v>
      </c>
      <c r="H46" s="79">
        <v>166</v>
      </c>
    </row>
    <row r="47" spans="1:8" ht="5.0999999999999996" customHeight="1">
      <c r="A47" s="26"/>
      <c r="B47" s="79"/>
      <c r="C47" s="79"/>
      <c r="D47" s="124"/>
      <c r="E47" s="125"/>
      <c r="F47" s="79"/>
      <c r="G47" s="79"/>
      <c r="H47" s="79"/>
    </row>
    <row r="48" spans="1:8" ht="14.1" customHeight="1">
      <c r="A48" s="332" t="s">
        <v>271</v>
      </c>
      <c r="B48" s="340">
        <f t="shared" ref="B48:H48" si="0">SUM(B11:B46)</f>
        <v>122947.76999999999</v>
      </c>
      <c r="C48" s="340">
        <f t="shared" si="0"/>
        <v>5135</v>
      </c>
      <c r="D48" s="341">
        <f t="shared" si="0"/>
        <v>10042.68</v>
      </c>
      <c r="E48" s="342">
        <f t="shared" si="0"/>
        <v>19708.099999999999</v>
      </c>
      <c r="F48" s="340">
        <f t="shared" si="0"/>
        <v>251</v>
      </c>
      <c r="G48" s="340">
        <f t="shared" si="0"/>
        <v>9199</v>
      </c>
      <c r="H48" s="340">
        <f t="shared" si="0"/>
        <v>932</v>
      </c>
    </row>
    <row r="49" spans="1:8" ht="5.0999999999999996" customHeight="1">
      <c r="A49" s="28" t="s">
        <v>17</v>
      </c>
      <c r="B49" s="80"/>
      <c r="C49" s="80"/>
      <c r="D49" s="80"/>
      <c r="E49" s="80"/>
      <c r="F49" s="80"/>
      <c r="G49" s="80"/>
      <c r="H49" s="80"/>
    </row>
    <row r="50" spans="1:8" ht="14.1" customHeight="1">
      <c r="A50" s="26" t="s">
        <v>272</v>
      </c>
      <c r="B50" s="79">
        <v>167</v>
      </c>
      <c r="C50" s="79">
        <v>0</v>
      </c>
      <c r="D50" s="124">
        <v>0</v>
      </c>
      <c r="E50" s="125">
        <v>0</v>
      </c>
      <c r="F50" s="79">
        <v>0</v>
      </c>
      <c r="G50" s="79">
        <v>0</v>
      </c>
      <c r="H50" s="79">
        <v>0</v>
      </c>
    </row>
    <row r="51" spans="1:8" ht="14.1" customHeight="1">
      <c r="A51" s="330" t="s">
        <v>273</v>
      </c>
      <c r="B51" s="337">
        <v>68.88</v>
      </c>
      <c r="C51" s="337">
        <v>0</v>
      </c>
      <c r="D51" s="338">
        <v>0</v>
      </c>
      <c r="E51" s="339">
        <v>0</v>
      </c>
      <c r="F51" s="337">
        <v>0</v>
      </c>
      <c r="G51" s="337">
        <v>0</v>
      </c>
      <c r="H51" s="337">
        <v>0</v>
      </c>
    </row>
    <row r="52" spans="1:8" ht="50.1" customHeight="1">
      <c r="A52" s="30"/>
      <c r="B52" s="126"/>
      <c r="C52" s="126"/>
      <c r="D52" s="126"/>
      <c r="E52" s="126"/>
      <c r="F52" s="126"/>
      <c r="G52" s="126"/>
      <c r="H52" s="126"/>
    </row>
    <row r="53" spans="1:8" ht="15" customHeight="1">
      <c r="A53" s="96" t="s">
        <v>621</v>
      </c>
      <c r="C53" s="96"/>
      <c r="D53" s="96"/>
      <c r="E53" s="96"/>
      <c r="F53" s="96"/>
      <c r="G53" s="96"/>
      <c r="H53" s="96"/>
    </row>
    <row r="54" spans="1:8" ht="12" customHeight="1">
      <c r="A54" s="96" t="s">
        <v>622</v>
      </c>
      <c r="C54" s="96"/>
      <c r="D54" s="96"/>
      <c r="E54" s="96"/>
      <c r="F54" s="96"/>
      <c r="G54" s="96"/>
      <c r="H54" s="96"/>
    </row>
  </sheetData>
  <phoneticPr fontId="6" type="noConversion"/>
  <pageMargins left="0.51181102362204722" right="0.51181102362204722" top="0.59055118110236227" bottom="0.19685039370078741" header="0.31496062992125984" footer="0.51181102362204722"/>
  <pageSetup scale="88" orientation="portrait" r:id="rId1"/>
  <headerFooter alignWithMargins="0">
    <oddHeader>&amp;C&amp;"Arial,Regular"&amp;11&amp;A</oddHeader>
  </headerFooter>
</worksheet>
</file>

<file path=xl/worksheets/sheet50.xml><?xml version="1.0" encoding="utf-8"?>
<worksheet xmlns="http://schemas.openxmlformats.org/spreadsheetml/2006/main" xmlns:r="http://schemas.openxmlformats.org/officeDocument/2006/relationships">
  <sheetPr codeName="Sheet56">
    <pageSetUpPr fitToPage="1"/>
  </sheetPr>
  <dimension ref="A1:F58"/>
  <sheetViews>
    <sheetView showGridLines="0" showZeros="0" workbookViewId="0"/>
  </sheetViews>
  <sheetFormatPr defaultColWidth="13.6640625" defaultRowHeight="12"/>
  <cols>
    <col min="1" max="1" width="37.5" style="1" customWidth="1"/>
    <col min="2" max="2" width="22" style="1" customWidth="1"/>
    <col min="3" max="4" width="22.5" style="1" customWidth="1"/>
    <col min="5" max="5" width="14.33203125" style="1" customWidth="1"/>
    <col min="6" max="6" width="19.6640625" style="1" customWidth="1"/>
    <col min="7" max="16384" width="13.6640625" style="1"/>
  </cols>
  <sheetData>
    <row r="1" spans="1:6" ht="6.95" customHeight="1">
      <c r="A1" s="694"/>
      <c r="B1" s="30"/>
      <c r="C1" s="30"/>
      <c r="D1" s="30"/>
      <c r="E1" s="30"/>
      <c r="F1" s="30"/>
    </row>
    <row r="2" spans="1:6" ht="15.95" customHeight="1">
      <c r="A2" s="757" t="s">
        <v>602</v>
      </c>
      <c r="B2" s="757"/>
      <c r="C2" s="757"/>
      <c r="D2" s="757"/>
      <c r="E2" s="757"/>
      <c r="F2" s="757"/>
    </row>
    <row r="3" spans="1:6" ht="21" customHeight="1">
      <c r="A3" s="266" t="str">
        <f>+'- 54 -'!A3</f>
        <v xml:space="preserve">FOR THE 2012 TAXATION YEAR </v>
      </c>
      <c r="B3" s="257"/>
      <c r="C3" s="257"/>
      <c r="D3" s="257"/>
      <c r="E3" s="268"/>
      <c r="F3" s="268"/>
    </row>
    <row r="4" spans="1:6" ht="14.25" customHeight="1">
      <c r="B4" s="7"/>
      <c r="C4" s="7"/>
      <c r="D4" s="7"/>
    </row>
    <row r="5" spans="1:6" ht="15.95" customHeight="1">
      <c r="B5" s="7"/>
      <c r="C5" s="7"/>
      <c r="D5" s="7"/>
    </row>
    <row r="6" spans="1:6" ht="15.95" customHeight="1">
      <c r="B6" s="655"/>
      <c r="C6" s="655"/>
      <c r="D6" s="655"/>
    </row>
    <row r="7" spans="1:6" ht="15.95" customHeight="1">
      <c r="B7" s="657"/>
      <c r="C7" s="658"/>
      <c r="D7" s="659"/>
    </row>
    <row r="8" spans="1:6" ht="15.95" customHeight="1">
      <c r="A8" s="20"/>
      <c r="B8" s="660" t="s">
        <v>603</v>
      </c>
      <c r="C8" s="661" t="s">
        <v>604</v>
      </c>
      <c r="D8" s="661" t="s">
        <v>605</v>
      </c>
    </row>
    <row r="9" spans="1:6" ht="15.95" customHeight="1">
      <c r="A9" s="22" t="s">
        <v>94</v>
      </c>
      <c r="B9" s="662" t="s">
        <v>148</v>
      </c>
      <c r="C9" s="663" t="s">
        <v>606</v>
      </c>
      <c r="D9" s="663" t="s">
        <v>148</v>
      </c>
    </row>
    <row r="10" spans="1:6" ht="5.0999999999999996" customHeight="1">
      <c r="A10" s="25"/>
      <c r="B10" s="236"/>
      <c r="C10" s="236"/>
      <c r="D10" s="236"/>
    </row>
    <row r="11" spans="1:6" ht="14.1" customHeight="1">
      <c r="A11" s="412" t="s">
        <v>236</v>
      </c>
      <c r="B11" s="410">
        <f>+Data!Q11</f>
        <v>7581331</v>
      </c>
      <c r="C11" s="410">
        <v>504331</v>
      </c>
      <c r="D11" s="410">
        <f>+Data!R11</f>
        <v>7077000</v>
      </c>
    </row>
    <row r="12" spans="1:6" ht="14.1" customHeight="1">
      <c r="A12" s="270" t="s">
        <v>237</v>
      </c>
      <c r="B12" s="171">
        <f>+Data!Q12</f>
        <v>13262830</v>
      </c>
      <c r="C12" s="171">
        <v>2736955</v>
      </c>
      <c r="D12" s="171">
        <f>+Data!R12</f>
        <v>10525875</v>
      </c>
    </row>
    <row r="13" spans="1:6" ht="14.1" customHeight="1">
      <c r="A13" s="412" t="s">
        <v>238</v>
      </c>
      <c r="B13" s="410">
        <f>+Data!Q13</f>
        <v>36438520</v>
      </c>
      <c r="C13" s="410">
        <v>1848000</v>
      </c>
      <c r="D13" s="410">
        <f>+Data!R13</f>
        <v>34590520</v>
      </c>
    </row>
    <row r="14" spans="1:6" ht="14.1" customHeight="1">
      <c r="A14" s="270" t="s">
        <v>656</v>
      </c>
      <c r="B14" s="171">
        <f>+Data!Q14</f>
        <v>0</v>
      </c>
      <c r="C14" s="171">
        <v>0</v>
      </c>
      <c r="D14" s="171">
        <f>+Data!R14</f>
        <v>0</v>
      </c>
    </row>
    <row r="15" spans="1:6" ht="14.1" customHeight="1">
      <c r="A15" s="412" t="s">
        <v>239</v>
      </c>
      <c r="B15" s="410">
        <f>+Data!Q15</f>
        <v>9930119</v>
      </c>
      <c r="C15" s="410">
        <v>1595317</v>
      </c>
      <c r="D15" s="410">
        <f>+Data!R15</f>
        <v>8334802</v>
      </c>
    </row>
    <row r="16" spans="1:6" ht="14.1" customHeight="1">
      <c r="A16" s="270" t="s">
        <v>240</v>
      </c>
      <c r="B16" s="171">
        <f>+Data!Q16</f>
        <v>4411523</v>
      </c>
      <c r="C16" s="171">
        <v>752713</v>
      </c>
      <c r="D16" s="171">
        <f>+Data!R16</f>
        <v>3658810</v>
      </c>
    </row>
    <row r="17" spans="1:4" ht="14.1" customHeight="1">
      <c r="A17" s="412" t="s">
        <v>241</v>
      </c>
      <c r="B17" s="410">
        <f>+Data!Q17</f>
        <v>7803973</v>
      </c>
      <c r="C17" s="410">
        <v>487785</v>
      </c>
      <c r="D17" s="410">
        <f>+Data!R17</f>
        <v>7316188</v>
      </c>
    </row>
    <row r="18" spans="1:4" ht="14.1" customHeight="1">
      <c r="A18" s="270" t="s">
        <v>242</v>
      </c>
      <c r="B18" s="171">
        <f>+Data!Q18</f>
        <v>3318014</v>
      </c>
      <c r="C18" s="171">
        <v>318474</v>
      </c>
      <c r="D18" s="171">
        <f>+Data!R18</f>
        <v>2999540</v>
      </c>
    </row>
    <row r="19" spans="1:4" ht="14.1" customHeight="1">
      <c r="A19" s="412" t="s">
        <v>243</v>
      </c>
      <c r="B19" s="410">
        <f>+Data!Q19</f>
        <v>15361368</v>
      </c>
      <c r="C19" s="410">
        <v>646173</v>
      </c>
      <c r="D19" s="410">
        <f>+Data!R19</f>
        <v>14715195</v>
      </c>
    </row>
    <row r="20" spans="1:4" ht="14.1" customHeight="1">
      <c r="A20" s="270" t="s">
        <v>244</v>
      </c>
      <c r="B20" s="171">
        <f>+Data!Q20</f>
        <v>25616105</v>
      </c>
      <c r="C20" s="171">
        <v>1508126</v>
      </c>
      <c r="D20" s="171">
        <f>+Data!R20</f>
        <v>24107979</v>
      </c>
    </row>
    <row r="21" spans="1:4" ht="14.1" customHeight="1">
      <c r="A21" s="412" t="s">
        <v>245</v>
      </c>
      <c r="B21" s="410">
        <f>+Data!Q21</f>
        <v>14421440</v>
      </c>
      <c r="C21" s="410">
        <v>1289551</v>
      </c>
      <c r="D21" s="410">
        <f>+Data!R21</f>
        <v>13131889</v>
      </c>
    </row>
    <row r="22" spans="1:4" ht="14.1" customHeight="1">
      <c r="A22" s="270" t="s">
        <v>246</v>
      </c>
      <c r="B22" s="171">
        <f>+Data!Q22</f>
        <v>4322925</v>
      </c>
      <c r="C22" s="171">
        <v>309407</v>
      </c>
      <c r="D22" s="171">
        <f>+Data!R22</f>
        <v>4013518</v>
      </c>
    </row>
    <row r="23" spans="1:4" ht="14.1" customHeight="1">
      <c r="A23" s="412" t="s">
        <v>247</v>
      </c>
      <c r="B23" s="410">
        <f>+Data!Q23</f>
        <v>4488716</v>
      </c>
      <c r="C23" s="410">
        <v>440073</v>
      </c>
      <c r="D23" s="410">
        <f>+Data!R23</f>
        <v>4048643</v>
      </c>
    </row>
    <row r="24" spans="1:4" ht="14.1" customHeight="1">
      <c r="A24" s="270" t="s">
        <v>248</v>
      </c>
      <c r="B24" s="171">
        <f>+Data!Q24</f>
        <v>24232454</v>
      </c>
      <c r="C24" s="171">
        <v>2692903</v>
      </c>
      <c r="D24" s="171">
        <f>+Data!R24</f>
        <v>21539551</v>
      </c>
    </row>
    <row r="25" spans="1:4" ht="14.1" customHeight="1">
      <c r="A25" s="412" t="s">
        <v>249</v>
      </c>
      <c r="B25" s="410">
        <f>+Data!Q25</f>
        <v>81022879</v>
      </c>
      <c r="C25" s="410">
        <v>6541003</v>
      </c>
      <c r="D25" s="410">
        <f>+Data!R25</f>
        <v>74481876</v>
      </c>
    </row>
    <row r="26" spans="1:4" ht="14.1" customHeight="1">
      <c r="A26" s="270" t="s">
        <v>250</v>
      </c>
      <c r="B26" s="171">
        <f>+Data!Q26</f>
        <v>13640931</v>
      </c>
      <c r="C26" s="171">
        <v>690360</v>
      </c>
      <c r="D26" s="171">
        <f>+Data!R26</f>
        <v>12950571</v>
      </c>
    </row>
    <row r="27" spans="1:4" ht="14.1" customHeight="1">
      <c r="A27" s="412" t="s">
        <v>251</v>
      </c>
      <c r="B27" s="410">
        <f>+Data!Q27</f>
        <v>8635634</v>
      </c>
      <c r="C27" s="410">
        <v>1086050</v>
      </c>
      <c r="D27" s="410">
        <f>+Data!R27</f>
        <v>7549584</v>
      </c>
    </row>
    <row r="28" spans="1:4" ht="14.1" customHeight="1">
      <c r="A28" s="270" t="s">
        <v>252</v>
      </c>
      <c r="B28" s="171">
        <f>+Data!Q28</f>
        <v>8635804</v>
      </c>
      <c r="C28" s="171">
        <v>817353</v>
      </c>
      <c r="D28" s="171">
        <f>+Data!R28</f>
        <v>7818451</v>
      </c>
    </row>
    <row r="29" spans="1:4" ht="14.1" customHeight="1">
      <c r="A29" s="412" t="s">
        <v>253</v>
      </c>
      <c r="B29" s="410">
        <f>+Data!Q29</f>
        <v>78407802</v>
      </c>
      <c r="C29" s="410">
        <v>4859689</v>
      </c>
      <c r="D29" s="410">
        <f>+Data!R29</f>
        <v>73548113</v>
      </c>
    </row>
    <row r="30" spans="1:4" ht="14.1" customHeight="1">
      <c r="A30" s="270" t="s">
        <v>254</v>
      </c>
      <c r="B30" s="171">
        <f>+Data!Q30</f>
        <v>5497134</v>
      </c>
      <c r="C30" s="171">
        <v>332215</v>
      </c>
      <c r="D30" s="171">
        <f>+Data!R30</f>
        <v>5164919</v>
      </c>
    </row>
    <row r="31" spans="1:4" ht="14.1" customHeight="1">
      <c r="A31" s="412" t="s">
        <v>255</v>
      </c>
      <c r="B31" s="410">
        <f>+Data!Q31</f>
        <v>14144429</v>
      </c>
      <c r="C31" s="410">
        <v>523036</v>
      </c>
      <c r="D31" s="410">
        <f>+Data!R31</f>
        <v>13621393</v>
      </c>
    </row>
    <row r="32" spans="1:4" ht="14.1" customHeight="1">
      <c r="A32" s="270" t="s">
        <v>256</v>
      </c>
      <c r="B32" s="171">
        <f>+Data!Q32</f>
        <v>12017173</v>
      </c>
      <c r="C32" s="171">
        <v>1153109</v>
      </c>
      <c r="D32" s="171">
        <f>+Data!R32</f>
        <v>10864064</v>
      </c>
    </row>
    <row r="33" spans="1:4" ht="14.1" customHeight="1">
      <c r="A33" s="412" t="s">
        <v>257</v>
      </c>
      <c r="B33" s="410">
        <f>+Data!Q33</f>
        <v>12376962</v>
      </c>
      <c r="C33" s="410">
        <v>893985</v>
      </c>
      <c r="D33" s="410">
        <f>+Data!R33</f>
        <v>11482977</v>
      </c>
    </row>
    <row r="34" spans="1:4" ht="14.1" customHeight="1">
      <c r="A34" s="270" t="s">
        <v>258</v>
      </c>
      <c r="B34" s="171">
        <f>+Data!Q34</f>
        <v>13780970</v>
      </c>
      <c r="C34" s="171">
        <v>869876</v>
      </c>
      <c r="D34" s="171">
        <f>+Data!R34</f>
        <v>12911094</v>
      </c>
    </row>
    <row r="35" spans="1:4" ht="14.1" customHeight="1">
      <c r="A35" s="412" t="s">
        <v>259</v>
      </c>
      <c r="B35" s="410">
        <f>+Data!Q35</f>
        <v>72047051</v>
      </c>
      <c r="C35" s="410">
        <v>1490523</v>
      </c>
      <c r="D35" s="410">
        <f>+Data!R35</f>
        <v>70556528</v>
      </c>
    </row>
    <row r="36" spans="1:4" ht="14.1" customHeight="1">
      <c r="A36" s="270" t="s">
        <v>260</v>
      </c>
      <c r="B36" s="171">
        <f>+Data!Q36</f>
        <v>9807077</v>
      </c>
      <c r="C36" s="171">
        <v>763891</v>
      </c>
      <c r="D36" s="171">
        <f>+Data!R36</f>
        <v>9043186</v>
      </c>
    </row>
    <row r="37" spans="1:4" ht="14.1" customHeight="1">
      <c r="A37" s="412" t="s">
        <v>261</v>
      </c>
      <c r="B37" s="410">
        <f>+Data!Q37</f>
        <v>20480702</v>
      </c>
      <c r="C37" s="410">
        <v>2579094</v>
      </c>
      <c r="D37" s="410">
        <f>+Data!R37</f>
        <v>17901608</v>
      </c>
    </row>
    <row r="38" spans="1:4" ht="14.1" customHeight="1">
      <c r="A38" s="270" t="s">
        <v>262</v>
      </c>
      <c r="B38" s="171">
        <f>+Data!Q38</f>
        <v>46010365</v>
      </c>
      <c r="C38" s="171">
        <v>5363834</v>
      </c>
      <c r="D38" s="171">
        <f>+Data!R38</f>
        <v>40646531</v>
      </c>
    </row>
    <row r="39" spans="1:4" ht="14.1" customHeight="1">
      <c r="A39" s="412" t="s">
        <v>263</v>
      </c>
      <c r="B39" s="410">
        <f>+Data!Q39</f>
        <v>10180110</v>
      </c>
      <c r="C39" s="410">
        <v>758456</v>
      </c>
      <c r="D39" s="410">
        <f>+Data!R39</f>
        <v>9421654</v>
      </c>
    </row>
    <row r="40" spans="1:4" ht="14.1" customHeight="1">
      <c r="A40" s="270" t="s">
        <v>264</v>
      </c>
      <c r="B40" s="171">
        <f>+Data!Q40</f>
        <v>49634025</v>
      </c>
      <c r="C40" s="171">
        <v>3480523</v>
      </c>
      <c r="D40" s="171">
        <f>+Data!R40</f>
        <v>46153502</v>
      </c>
    </row>
    <row r="41" spans="1:4" ht="14.1" customHeight="1">
      <c r="A41" s="412" t="s">
        <v>265</v>
      </c>
      <c r="B41" s="410">
        <f>+Data!Q41</f>
        <v>30308377</v>
      </c>
      <c r="C41" s="410">
        <v>2979697</v>
      </c>
      <c r="D41" s="410">
        <f>+Data!R41</f>
        <v>27328680</v>
      </c>
    </row>
    <row r="42" spans="1:4" ht="14.1" customHeight="1">
      <c r="A42" s="270" t="s">
        <v>266</v>
      </c>
      <c r="B42" s="171">
        <f>+Data!Q42</f>
        <v>7421514</v>
      </c>
      <c r="C42" s="171">
        <v>1056497</v>
      </c>
      <c r="D42" s="171">
        <f>+Data!R42</f>
        <v>6365017</v>
      </c>
    </row>
    <row r="43" spans="1:4" ht="14.1" customHeight="1">
      <c r="A43" s="412" t="s">
        <v>267</v>
      </c>
      <c r="B43" s="410">
        <f>+Data!Q43</f>
        <v>5345377</v>
      </c>
      <c r="C43" s="410">
        <v>0</v>
      </c>
      <c r="D43" s="410">
        <f>+Data!R43</f>
        <v>5345377</v>
      </c>
    </row>
    <row r="44" spans="1:4" ht="14.1" customHeight="1">
      <c r="A44" s="270" t="s">
        <v>268</v>
      </c>
      <c r="B44" s="171">
        <f>+Data!Q44</f>
        <v>3280061</v>
      </c>
      <c r="C44" s="171">
        <v>468919</v>
      </c>
      <c r="D44" s="171">
        <f>+Data!R44</f>
        <v>2811142</v>
      </c>
    </row>
    <row r="45" spans="1:4" ht="14.1" customHeight="1">
      <c r="A45" s="412" t="s">
        <v>269</v>
      </c>
      <c r="B45" s="410">
        <f>+Data!Q45</f>
        <v>6811218</v>
      </c>
      <c r="C45" s="410">
        <v>0</v>
      </c>
      <c r="D45" s="410">
        <f>+Data!R45</f>
        <v>6811218</v>
      </c>
    </row>
    <row r="46" spans="1:4" ht="14.1" customHeight="1">
      <c r="A46" s="270" t="s">
        <v>270</v>
      </c>
      <c r="B46" s="171">
        <f>+Data!Q46</f>
        <v>152182294</v>
      </c>
      <c r="C46" s="171">
        <v>9580396</v>
      </c>
      <c r="D46" s="171">
        <f>+Data!R46</f>
        <v>142601898</v>
      </c>
    </row>
    <row r="47" spans="1:4" ht="5.0999999999999996" customHeight="1">
      <c r="A47" s="148"/>
      <c r="B47" s="172"/>
      <c r="C47" s="172"/>
      <c r="D47" s="172"/>
    </row>
    <row r="48" spans="1:4" ht="14.1" customHeight="1">
      <c r="A48" s="413" t="s">
        <v>271</v>
      </c>
      <c r="B48" s="414">
        <f>SUM(B11:B47)</f>
        <v>832857207</v>
      </c>
      <c r="C48" s="414">
        <f>SUM(C11:C47)</f>
        <v>61418314</v>
      </c>
      <c r="D48" s="414">
        <f>SUM(D11:D47)</f>
        <v>771438893</v>
      </c>
    </row>
    <row r="49" spans="1:6" s="206" customFormat="1" ht="53.25" customHeight="1">
      <c r="A49" s="656"/>
      <c r="B49" s="656"/>
      <c r="C49" s="656"/>
      <c r="D49" s="656"/>
      <c r="E49" s="30"/>
      <c r="F49" s="30"/>
    </row>
    <row r="50" spans="1:6" s="206" customFormat="1" ht="15" customHeight="1">
      <c r="A50" s="31" t="s">
        <v>749</v>
      </c>
      <c r="B50" s="1"/>
      <c r="C50" s="1"/>
      <c r="D50" s="1"/>
      <c r="E50" s="1"/>
      <c r="F50" s="1"/>
    </row>
    <row r="51" spans="1:6" ht="12" customHeight="1">
      <c r="A51" s="31" t="s">
        <v>751</v>
      </c>
    </row>
    <row r="52" spans="1:6" ht="12" customHeight="1">
      <c r="A52" s="1" t="s">
        <v>750</v>
      </c>
    </row>
    <row r="53" spans="1:6" ht="14.45" customHeight="1"/>
    <row r="54" spans="1:6" ht="14.45" customHeight="1"/>
    <row r="55" spans="1:6" ht="14.45" customHeight="1"/>
    <row r="56" spans="1:6" ht="14.45" customHeight="1"/>
    <row r="57" spans="1:6" ht="14.45" customHeight="1"/>
    <row r="58" spans="1:6" ht="14.45" customHeight="1"/>
  </sheetData>
  <mergeCells count="1">
    <mergeCell ref="A2:F2"/>
  </mergeCells>
  <phoneticPr fontId="0" type="noConversion"/>
  <printOptions horizontalCentered="1"/>
  <pageMargins left="0.5" right="0.511811023622047" top="0.59055118110236204" bottom="0" header="0.31496062992126" footer="0"/>
  <pageSetup scale="85" orientation="portrait" r:id="rId1"/>
  <headerFooter alignWithMargins="0">
    <oddHeader>&amp;C&amp;"Arial,Regular"&amp;11 &amp;A</oddHeader>
  </headerFooter>
</worksheet>
</file>

<file path=xl/worksheets/sheet51.xml><?xml version="1.0" encoding="utf-8"?>
<worksheet xmlns="http://schemas.openxmlformats.org/spreadsheetml/2006/main" xmlns:r="http://schemas.openxmlformats.org/officeDocument/2006/relationships">
  <sheetPr codeName="Sheet64">
    <pageSetUpPr fitToPage="1"/>
  </sheetPr>
  <dimension ref="A1:F52"/>
  <sheetViews>
    <sheetView showGridLines="0" showZeros="0" workbookViewId="0"/>
  </sheetViews>
  <sheetFormatPr defaultColWidth="15.83203125" defaultRowHeight="12"/>
  <cols>
    <col min="1" max="1" width="35.83203125" style="1" customWidth="1"/>
    <col min="2" max="3" width="21.83203125" style="1" customWidth="1"/>
    <col min="4" max="4" width="23.83203125" style="1" customWidth="1"/>
    <col min="5" max="5" width="2.83203125" style="1" customWidth="1"/>
    <col min="6" max="6" width="27.83203125" style="1" customWidth="1"/>
    <col min="7" max="19" width="15.83203125" style="1"/>
    <col min="20" max="20" width="21" style="1" bestFit="1" customWidth="1"/>
    <col min="21" max="21" width="15" style="1" bestFit="1" customWidth="1"/>
    <col min="22" max="16384" width="15.83203125" style="1"/>
  </cols>
  <sheetData>
    <row r="1" spans="1:6" ht="6.95" customHeight="1">
      <c r="A1" s="6"/>
    </row>
    <row r="2" spans="1:6" ht="15.95" customHeight="1">
      <c r="A2" s="530"/>
      <c r="B2" s="237" t="s">
        <v>356</v>
      </c>
      <c r="C2" s="238"/>
      <c r="D2" s="238"/>
      <c r="E2" s="239"/>
      <c r="F2" s="239"/>
    </row>
    <row r="3" spans="1:6" ht="15.95" customHeight="1">
      <c r="A3" s="30"/>
      <c r="B3" s="477" t="str">
        <f>TAXYEAR</f>
        <v xml:space="preserve">FOR THE 2012 TAXATION YEAR </v>
      </c>
      <c r="C3" s="476"/>
      <c r="D3" s="476"/>
      <c r="E3" s="529"/>
      <c r="F3" s="529"/>
    </row>
    <row r="4" spans="1:6" ht="15.95" customHeight="1">
      <c r="B4"/>
      <c r="C4" s="7"/>
      <c r="D4" s="7"/>
      <c r="E4" s="7"/>
      <c r="F4" s="7"/>
    </row>
    <row r="5" spans="1:6" ht="15.95" customHeight="1">
      <c r="B5"/>
      <c r="C5" s="7"/>
      <c r="D5" s="7"/>
      <c r="E5" s="7"/>
      <c r="F5" s="7"/>
    </row>
    <row r="6" spans="1:6" ht="15.95" customHeight="1">
      <c r="B6"/>
      <c r="C6" s="7"/>
      <c r="D6" s="7"/>
      <c r="E6" s="7"/>
      <c r="F6" s="7"/>
    </row>
    <row r="7" spans="1:6" ht="15.95" customHeight="1">
      <c r="B7" s="351" t="s">
        <v>90</v>
      </c>
      <c r="C7" s="416"/>
      <c r="D7" s="416"/>
      <c r="E7" s="7"/>
      <c r="F7" s="416" t="s">
        <v>127</v>
      </c>
    </row>
    <row r="8" spans="1:6" ht="15.95" customHeight="1">
      <c r="A8" s="20"/>
      <c r="B8" s="394" t="s">
        <v>150</v>
      </c>
      <c r="C8" s="417"/>
      <c r="D8" s="417"/>
      <c r="E8" s="7"/>
      <c r="F8" s="408" t="s">
        <v>74</v>
      </c>
    </row>
    <row r="9" spans="1:6" ht="15.95" customHeight="1">
      <c r="A9" s="22" t="s">
        <v>94</v>
      </c>
      <c r="B9" s="346" t="s">
        <v>148</v>
      </c>
      <c r="C9" s="355" t="s">
        <v>161</v>
      </c>
      <c r="D9" s="355" t="s">
        <v>68</v>
      </c>
      <c r="E9" s="7"/>
      <c r="F9" s="355" t="s">
        <v>6</v>
      </c>
    </row>
    <row r="10" spans="1:6" ht="5.0999999999999996" customHeight="1">
      <c r="A10" s="25"/>
      <c r="B10" s="236">
        <v>38577</v>
      </c>
      <c r="C10" s="236"/>
      <c r="D10" s="236"/>
      <c r="E10" s="236"/>
      <c r="F10" s="236"/>
    </row>
    <row r="11" spans="1:6" ht="14.1" customHeight="1">
      <c r="A11" s="412" t="s">
        <v>236</v>
      </c>
      <c r="B11" s="410">
        <f>'- 52 -'!C11</f>
        <v>1353676.7984</v>
      </c>
      <c r="C11" s="410">
        <f>+Data!R11</f>
        <v>7077000</v>
      </c>
      <c r="D11" s="410">
        <f t="shared" ref="D11:D46" si="0">SUM(B11,C11)</f>
        <v>8430676.7983999997</v>
      </c>
      <c r="F11" s="410">
        <f>+Data!O11</f>
        <v>340743</v>
      </c>
    </row>
    <row r="12" spans="1:6" ht="14.1" customHeight="1">
      <c r="A12" s="270" t="s">
        <v>237</v>
      </c>
      <c r="B12" s="171">
        <f>'- 52 -'!C12</f>
        <v>1723522.5008</v>
      </c>
      <c r="C12" s="171">
        <f>+Data!R12</f>
        <v>10525875</v>
      </c>
      <c r="D12" s="171">
        <f t="shared" si="0"/>
        <v>12249397.500800001</v>
      </c>
      <c r="F12" s="171">
        <f>+Data!O12</f>
        <v>260717</v>
      </c>
    </row>
    <row r="13" spans="1:6" ht="14.1" customHeight="1">
      <c r="A13" s="412" t="s">
        <v>238</v>
      </c>
      <c r="B13" s="410">
        <f>'- 52 -'!C13</f>
        <v>8243718.3248000005</v>
      </c>
      <c r="C13" s="410">
        <f>+Data!R13</f>
        <v>34590520</v>
      </c>
      <c r="D13" s="410">
        <f t="shared" si="0"/>
        <v>42834238.3248</v>
      </c>
      <c r="F13" s="410">
        <f>+Data!O13</f>
        <v>297596</v>
      </c>
    </row>
    <row r="14" spans="1:6" ht="14.1" customHeight="1">
      <c r="A14" s="270" t="s">
        <v>656</v>
      </c>
      <c r="B14" s="171">
        <f>'- 52 -'!C14</f>
        <v>0</v>
      </c>
      <c r="C14" s="171">
        <f>+Data!R14</f>
        <v>0</v>
      </c>
      <c r="D14" s="171">
        <f t="shared" si="0"/>
        <v>0</v>
      </c>
      <c r="F14" s="171">
        <f>+Data!O14</f>
        <v>327836</v>
      </c>
    </row>
    <row r="15" spans="1:6" ht="14.1" customHeight="1">
      <c r="A15" s="412" t="s">
        <v>239</v>
      </c>
      <c r="B15" s="410">
        <f>'- 52 -'!C15</f>
        <v>1167776.9872000001</v>
      </c>
      <c r="C15" s="410">
        <f>+Data!R15</f>
        <v>8334802</v>
      </c>
      <c r="D15" s="410">
        <f t="shared" si="0"/>
        <v>9502578.9871999994</v>
      </c>
      <c r="F15" s="410">
        <f>+Data!O15</f>
        <v>507300</v>
      </c>
    </row>
    <row r="16" spans="1:6" ht="14.1" customHeight="1">
      <c r="A16" s="270" t="s">
        <v>240</v>
      </c>
      <c r="B16" s="171">
        <f>'- 52 -'!C16</f>
        <v>366424.75200000004</v>
      </c>
      <c r="C16" s="171">
        <f>+Data!R16</f>
        <v>3658810</v>
      </c>
      <c r="D16" s="171">
        <f t="shared" si="0"/>
        <v>4025234.7519999999</v>
      </c>
      <c r="F16" s="171">
        <f>+Data!O16</f>
        <v>156527</v>
      </c>
    </row>
    <row r="17" spans="1:6" ht="14.1" customHeight="1">
      <c r="A17" s="412" t="s">
        <v>241</v>
      </c>
      <c r="B17" s="410">
        <f>'- 52 -'!C17</f>
        <v>3398760.1168</v>
      </c>
      <c r="C17" s="410">
        <f>+Data!R17</f>
        <v>7316188</v>
      </c>
      <c r="D17" s="410">
        <f t="shared" si="0"/>
        <v>10714948.116799999</v>
      </c>
      <c r="F17" s="410">
        <f>+Data!O17</f>
        <v>466048</v>
      </c>
    </row>
    <row r="18" spans="1:6" ht="14.1" customHeight="1">
      <c r="A18" s="270" t="s">
        <v>242</v>
      </c>
      <c r="B18" s="171">
        <f>'- 52 -'!C18</f>
        <v>676674.41760000004</v>
      </c>
      <c r="C18" s="171">
        <f>+Data!R18</f>
        <v>2999540</v>
      </c>
      <c r="D18" s="171">
        <f t="shared" si="0"/>
        <v>3676214.4176000003</v>
      </c>
      <c r="F18" s="171">
        <f>+Data!O18</f>
        <v>72484</v>
      </c>
    </row>
    <row r="19" spans="1:6" ht="14.1" customHeight="1">
      <c r="A19" s="412" t="s">
        <v>243</v>
      </c>
      <c r="B19" s="410">
        <f>'- 52 -'!C19</f>
        <v>2339211.7807999998</v>
      </c>
      <c r="C19" s="410">
        <f>+Data!R19</f>
        <v>14715195</v>
      </c>
      <c r="D19" s="410">
        <f t="shared" si="0"/>
        <v>17054406.7808</v>
      </c>
      <c r="F19" s="410">
        <f>+Data!O19</f>
        <v>188101</v>
      </c>
    </row>
    <row r="20" spans="1:6" ht="14.1" customHeight="1">
      <c r="A20" s="270" t="s">
        <v>244</v>
      </c>
      <c r="B20" s="171">
        <f>'- 52 -'!C20</f>
        <v>3393117.6048000003</v>
      </c>
      <c r="C20" s="171">
        <f>+Data!R20</f>
        <v>24107979</v>
      </c>
      <c r="D20" s="171">
        <f t="shared" si="0"/>
        <v>27501096.604800001</v>
      </c>
      <c r="F20" s="171">
        <f>+Data!O20</f>
        <v>196027</v>
      </c>
    </row>
    <row r="21" spans="1:6" ht="14.1" customHeight="1">
      <c r="A21" s="412" t="s">
        <v>245</v>
      </c>
      <c r="B21" s="410">
        <f>'- 52 -'!C21</f>
        <v>2167354.2927999999</v>
      </c>
      <c r="C21" s="410">
        <f>+Data!R21</f>
        <v>13131889</v>
      </c>
      <c r="D21" s="410">
        <f t="shared" si="0"/>
        <v>15299243.2928</v>
      </c>
      <c r="F21" s="410">
        <f>+Data!O21</f>
        <v>307690</v>
      </c>
    </row>
    <row r="22" spans="1:6" ht="14.1" customHeight="1">
      <c r="A22" s="270" t="s">
        <v>246</v>
      </c>
      <c r="B22" s="171">
        <f>'- 52 -'!C22</f>
        <v>653021.42079999996</v>
      </c>
      <c r="C22" s="171">
        <f>+Data!R22</f>
        <v>4013518</v>
      </c>
      <c r="D22" s="171">
        <f t="shared" si="0"/>
        <v>4666539.4208000004</v>
      </c>
      <c r="F22" s="171">
        <f>+Data!O22</f>
        <v>117664</v>
      </c>
    </row>
    <row r="23" spans="1:6" ht="14.1" customHeight="1">
      <c r="A23" s="412" t="s">
        <v>247</v>
      </c>
      <c r="B23" s="410">
        <f>'- 52 -'!C23</f>
        <v>295658.9952</v>
      </c>
      <c r="C23" s="410">
        <f>+Data!R23</f>
        <v>4048643</v>
      </c>
      <c r="D23" s="410">
        <f t="shared" si="0"/>
        <v>4344301.9951999998</v>
      </c>
      <c r="F23" s="410">
        <f>+Data!O23</f>
        <v>186803</v>
      </c>
    </row>
    <row r="24" spans="1:6" ht="14.1" customHeight="1">
      <c r="A24" s="270" t="s">
        <v>248</v>
      </c>
      <c r="B24" s="171">
        <f>'- 52 -'!C24</f>
        <v>2215890.9152000002</v>
      </c>
      <c r="C24" s="171">
        <f>+Data!R24</f>
        <v>21539551</v>
      </c>
      <c r="D24" s="171">
        <f t="shared" si="0"/>
        <v>23755441.915199999</v>
      </c>
      <c r="F24" s="171">
        <f>+Data!O24</f>
        <v>367776</v>
      </c>
    </row>
    <row r="25" spans="1:6" ht="14.1" customHeight="1">
      <c r="A25" s="412" t="s">
        <v>249</v>
      </c>
      <c r="B25" s="410">
        <f>'- 52 -'!C25</f>
        <v>11031258.072000001</v>
      </c>
      <c r="C25" s="410">
        <f>+Data!R25</f>
        <v>74481876</v>
      </c>
      <c r="D25" s="410">
        <f t="shared" si="0"/>
        <v>85513134.071999997</v>
      </c>
      <c r="F25" s="410">
        <f>+Data!O25</f>
        <v>378173</v>
      </c>
    </row>
    <row r="26" spans="1:6" ht="14.1" customHeight="1">
      <c r="A26" s="270" t="s">
        <v>250</v>
      </c>
      <c r="B26" s="171">
        <f>'- 52 -'!C26</f>
        <v>1307287.3296000001</v>
      </c>
      <c r="C26" s="171">
        <f>+Data!R26</f>
        <v>12950571</v>
      </c>
      <c r="D26" s="171">
        <f t="shared" si="0"/>
        <v>14257858.329600001</v>
      </c>
      <c r="F26" s="171">
        <f>+Data!O26</f>
        <v>234526</v>
      </c>
    </row>
    <row r="27" spans="1:6" ht="14.1" customHeight="1">
      <c r="A27" s="412" t="s">
        <v>251</v>
      </c>
      <c r="B27" s="410">
        <f>'- 52 -'!C27</f>
        <v>1244928.2</v>
      </c>
      <c r="C27" s="410">
        <f>+Data!R27</f>
        <v>7549584</v>
      </c>
      <c r="D27" s="410">
        <f t="shared" si="0"/>
        <v>8794512.1999999993</v>
      </c>
      <c r="F27" s="410">
        <f>+Data!O27</f>
        <v>164673</v>
      </c>
    </row>
    <row r="28" spans="1:6" ht="14.1" customHeight="1">
      <c r="A28" s="270" t="s">
        <v>252</v>
      </c>
      <c r="B28" s="171">
        <f>'- 52 -'!C28</f>
        <v>1786813.7184000001</v>
      </c>
      <c r="C28" s="171">
        <f>+Data!R28</f>
        <v>7818451</v>
      </c>
      <c r="D28" s="171">
        <f t="shared" si="0"/>
        <v>9605264.7183999997</v>
      </c>
      <c r="F28" s="171">
        <f>+Data!O28</f>
        <v>317147</v>
      </c>
    </row>
    <row r="29" spans="1:6" ht="14.1" customHeight="1">
      <c r="A29" s="412" t="s">
        <v>253</v>
      </c>
      <c r="B29" s="410">
        <f>'- 52 -'!C29</f>
        <v>11376521.984000001</v>
      </c>
      <c r="C29" s="410">
        <f>+Data!R29</f>
        <v>73548113</v>
      </c>
      <c r="D29" s="410">
        <f t="shared" si="0"/>
        <v>84924634.983999997</v>
      </c>
      <c r="F29" s="410">
        <f>+Data!O29</f>
        <v>467686</v>
      </c>
    </row>
    <row r="30" spans="1:6" ht="14.1" customHeight="1">
      <c r="A30" s="270" t="s">
        <v>254</v>
      </c>
      <c r="B30" s="171">
        <f>'- 52 -'!C30</f>
        <v>902452.6</v>
      </c>
      <c r="C30" s="171">
        <f>+Data!R30</f>
        <v>5164919</v>
      </c>
      <c r="D30" s="171">
        <f t="shared" si="0"/>
        <v>6067371.5999999996</v>
      </c>
      <c r="F30" s="171">
        <f>+Data!O30</f>
        <v>273276</v>
      </c>
    </row>
    <row r="31" spans="1:6" ht="14.1" customHeight="1">
      <c r="A31" s="412" t="s">
        <v>255</v>
      </c>
      <c r="B31" s="410">
        <f>'- 52 -'!C31</f>
        <v>3222329.0928000002</v>
      </c>
      <c r="C31" s="410">
        <f>+Data!R31</f>
        <v>13621393</v>
      </c>
      <c r="D31" s="410">
        <f t="shared" si="0"/>
        <v>16843722.092799999</v>
      </c>
      <c r="F31" s="410">
        <f>+Data!O31</f>
        <v>284341</v>
      </c>
    </row>
    <row r="32" spans="1:6" ht="14.1" customHeight="1">
      <c r="A32" s="270" t="s">
        <v>256</v>
      </c>
      <c r="B32" s="171">
        <f>'- 52 -'!C32</f>
        <v>1293044.8432</v>
      </c>
      <c r="C32" s="171">
        <f>+Data!R32</f>
        <v>10864064</v>
      </c>
      <c r="D32" s="171">
        <f t="shared" si="0"/>
        <v>12157108.8432</v>
      </c>
      <c r="F32" s="171">
        <f>+Data!O32</f>
        <v>353238</v>
      </c>
    </row>
    <row r="33" spans="1:6" ht="14.1" customHeight="1">
      <c r="A33" s="412" t="s">
        <v>257</v>
      </c>
      <c r="B33" s="410">
        <f>'- 52 -'!C33</f>
        <v>1613120.9088000001</v>
      </c>
      <c r="C33" s="410">
        <f>+Data!R33</f>
        <v>11482977</v>
      </c>
      <c r="D33" s="410">
        <f t="shared" si="0"/>
        <v>13096097.9088</v>
      </c>
      <c r="F33" s="410">
        <f>+Data!O33</f>
        <v>327209</v>
      </c>
    </row>
    <row r="34" spans="1:6" ht="14.1" customHeight="1">
      <c r="A34" s="270" t="s">
        <v>258</v>
      </c>
      <c r="B34" s="171">
        <f>'- 52 -'!C34</f>
        <v>2114084.1856</v>
      </c>
      <c r="C34" s="171">
        <f>+Data!R34</f>
        <v>12911094</v>
      </c>
      <c r="D34" s="171">
        <f t="shared" si="0"/>
        <v>15025178.1856</v>
      </c>
      <c r="F34" s="171">
        <f>+Data!O34</f>
        <v>345374</v>
      </c>
    </row>
    <row r="35" spans="1:6" ht="14.1" customHeight="1">
      <c r="A35" s="412" t="s">
        <v>259</v>
      </c>
      <c r="B35" s="410">
        <f>'- 52 -'!C35</f>
        <v>8669179.1792000011</v>
      </c>
      <c r="C35" s="410">
        <f>+Data!R35</f>
        <v>70556528</v>
      </c>
      <c r="D35" s="410">
        <f t="shared" si="0"/>
        <v>79225707.179199994</v>
      </c>
      <c r="F35" s="410">
        <f>+Data!O35</f>
        <v>317084</v>
      </c>
    </row>
    <row r="36" spans="1:6" ht="14.1" customHeight="1">
      <c r="A36" s="270" t="s">
        <v>260</v>
      </c>
      <c r="B36" s="171">
        <f>'- 52 -'!C36</f>
        <v>1759730.1152000001</v>
      </c>
      <c r="C36" s="171">
        <f>+Data!R36</f>
        <v>9043186</v>
      </c>
      <c r="D36" s="171">
        <f t="shared" si="0"/>
        <v>10802916.1152</v>
      </c>
      <c r="F36" s="171">
        <f>+Data!O36</f>
        <v>368678</v>
      </c>
    </row>
    <row r="37" spans="1:6" ht="14.1" customHeight="1">
      <c r="A37" s="412" t="s">
        <v>261</v>
      </c>
      <c r="B37" s="410">
        <f>'- 52 -'!C37</f>
        <v>1650865.5312000001</v>
      </c>
      <c r="C37" s="410">
        <f>+Data!R37</f>
        <v>17901608</v>
      </c>
      <c r="D37" s="410">
        <f t="shared" si="0"/>
        <v>19552473.531199999</v>
      </c>
      <c r="F37" s="410">
        <f>+Data!O37</f>
        <v>241693</v>
      </c>
    </row>
    <row r="38" spans="1:6" ht="14.1" customHeight="1">
      <c r="A38" s="270" t="s">
        <v>262</v>
      </c>
      <c r="B38" s="171">
        <f>'- 52 -'!C38</f>
        <v>3397996.4975999999</v>
      </c>
      <c r="C38" s="171">
        <f>+Data!R38</f>
        <v>40646531</v>
      </c>
      <c r="D38" s="171">
        <f t="shared" si="0"/>
        <v>44044527.497599997</v>
      </c>
      <c r="F38" s="171">
        <f>+Data!O38</f>
        <v>253452</v>
      </c>
    </row>
    <row r="39" spans="1:6" ht="14.1" customHeight="1">
      <c r="A39" s="412" t="s">
        <v>263</v>
      </c>
      <c r="B39" s="410">
        <f>'- 52 -'!C39</f>
        <v>2204415.4975999999</v>
      </c>
      <c r="C39" s="410">
        <f>+Data!R39</f>
        <v>9421654</v>
      </c>
      <c r="D39" s="410">
        <f t="shared" si="0"/>
        <v>11626069.4976</v>
      </c>
      <c r="F39" s="410">
        <f>+Data!O39</f>
        <v>411560</v>
      </c>
    </row>
    <row r="40" spans="1:6" ht="14.1" customHeight="1">
      <c r="A40" s="270" t="s">
        <v>264</v>
      </c>
      <c r="B40" s="171">
        <f>'- 52 -'!C40</f>
        <v>14392106.4608</v>
      </c>
      <c r="C40" s="171">
        <f>+Data!R40</f>
        <v>46153502</v>
      </c>
      <c r="D40" s="171">
        <f t="shared" si="0"/>
        <v>60545608.4608</v>
      </c>
      <c r="F40" s="171">
        <f>+Data!O40</f>
        <v>460518</v>
      </c>
    </row>
    <row r="41" spans="1:6" ht="14.1" customHeight="1">
      <c r="A41" s="412" t="s">
        <v>265</v>
      </c>
      <c r="B41" s="410">
        <f>'- 52 -'!C41</f>
        <v>3358331.0128000001</v>
      </c>
      <c r="C41" s="410">
        <f>+Data!R41</f>
        <v>27328680</v>
      </c>
      <c r="D41" s="410">
        <f t="shared" si="0"/>
        <v>30687011.012800001</v>
      </c>
      <c r="F41" s="410">
        <f>+Data!O41</f>
        <v>380895</v>
      </c>
    </row>
    <row r="42" spans="1:6" ht="14.1" customHeight="1">
      <c r="A42" s="270" t="s">
        <v>266</v>
      </c>
      <c r="B42" s="171">
        <f>'- 52 -'!C42</f>
        <v>740475.58559999999</v>
      </c>
      <c r="C42" s="171">
        <f>+Data!R42</f>
        <v>6365017</v>
      </c>
      <c r="D42" s="171">
        <f t="shared" si="0"/>
        <v>7105492.5855999999</v>
      </c>
      <c r="F42" s="171">
        <f>+Data!O42</f>
        <v>232150</v>
      </c>
    </row>
    <row r="43" spans="1:6" ht="14.1" customHeight="1">
      <c r="A43" s="412" t="s">
        <v>267</v>
      </c>
      <c r="B43" s="410">
        <f>'- 52 -'!C43</f>
        <v>569563.70400000003</v>
      </c>
      <c r="C43" s="410">
        <f>+Data!R43</f>
        <v>5345377</v>
      </c>
      <c r="D43" s="410">
        <f t="shared" si="0"/>
        <v>5914940.7039999999</v>
      </c>
      <c r="F43" s="410">
        <f>+Data!O43</f>
        <v>348361</v>
      </c>
    </row>
    <row r="44" spans="1:6" ht="14.1" customHeight="1">
      <c r="A44" s="270" t="s">
        <v>268</v>
      </c>
      <c r="B44" s="171">
        <f>'- 52 -'!C44</f>
        <v>146207.51680000001</v>
      </c>
      <c r="C44" s="171">
        <f>+Data!R44</f>
        <v>2811142</v>
      </c>
      <c r="D44" s="171">
        <f t="shared" si="0"/>
        <v>2957349.5167999999</v>
      </c>
      <c r="F44" s="171">
        <f>+Data!O44</f>
        <v>182473</v>
      </c>
    </row>
    <row r="45" spans="1:6" ht="14.1" customHeight="1">
      <c r="A45" s="412" t="s">
        <v>269</v>
      </c>
      <c r="B45" s="410">
        <f>'- 52 -'!C45</f>
        <v>921919.43680000002</v>
      </c>
      <c r="C45" s="410">
        <f>+Data!R45</f>
        <v>6811218</v>
      </c>
      <c r="D45" s="410">
        <f t="shared" si="0"/>
        <v>7733137.4368000003</v>
      </c>
      <c r="F45" s="410">
        <f>+Data!O45</f>
        <v>237925</v>
      </c>
    </row>
    <row r="46" spans="1:6" ht="14.1" customHeight="1">
      <c r="A46" s="270" t="s">
        <v>270</v>
      </c>
      <c r="B46" s="171">
        <f>'- 52 -'!C46</f>
        <v>41810998.8112</v>
      </c>
      <c r="C46" s="171">
        <f>+Data!R46</f>
        <v>142601898</v>
      </c>
      <c r="D46" s="171">
        <f t="shared" si="0"/>
        <v>184412896.81119999</v>
      </c>
      <c r="F46" s="171">
        <f>+Data!O46</f>
        <v>312832</v>
      </c>
    </row>
    <row r="47" spans="1:6" ht="5.0999999999999996" customHeight="1">
      <c r="A47" s="148"/>
      <c r="B47" s="172"/>
      <c r="C47" s="172"/>
      <c r="D47" s="172"/>
      <c r="F47" s="172"/>
    </row>
    <row r="48" spans="1:6" ht="14.1" customHeight="1">
      <c r="A48" s="413" t="s">
        <v>271</v>
      </c>
      <c r="B48" s="414">
        <f>SUM(B11:B46)</f>
        <v>143508439.1904</v>
      </c>
      <c r="C48" s="414">
        <f>+Data!R48</f>
        <v>771438893</v>
      </c>
      <c r="D48" s="414">
        <f>SUM(D11:D46)</f>
        <v>914947332.19040012</v>
      </c>
      <c r="F48" s="414">
        <f>+Data!O48</f>
        <v>317648.67153662862</v>
      </c>
    </row>
    <row r="49" spans="1:6" ht="50.1" customHeight="1">
      <c r="A49" s="277" t="s">
        <v>17</v>
      </c>
      <c r="B49" s="30"/>
      <c r="C49" s="30"/>
      <c r="D49" s="30"/>
      <c r="E49" s="30"/>
      <c r="F49" s="30"/>
    </row>
    <row r="50" spans="1:6" ht="15" customHeight="1">
      <c r="A50" s="31" t="s">
        <v>657</v>
      </c>
    </row>
    <row r="51" spans="1:6" ht="12" customHeight="1">
      <c r="A51" s="31" t="s">
        <v>704</v>
      </c>
    </row>
    <row r="52" spans="1:6" ht="12" customHeight="1">
      <c r="A52" s="148" t="s">
        <v>658</v>
      </c>
    </row>
  </sheetData>
  <phoneticPr fontId="0" type="noConversion"/>
  <pageMargins left="0.5" right="0.5" top="0.6" bottom="0.2" header="0.3" footer="0.5"/>
  <pageSetup scale="88" orientation="portrait" r:id="rId1"/>
  <headerFooter alignWithMargins="0">
    <oddHeader>&amp;C&amp;"Arial,Regular"&amp;11&amp;A</oddHeader>
  </headerFooter>
</worksheet>
</file>

<file path=xl/worksheets/sheet52.xml><?xml version="1.0" encoding="utf-8"?>
<worksheet xmlns="http://schemas.openxmlformats.org/spreadsheetml/2006/main" xmlns:r="http://schemas.openxmlformats.org/officeDocument/2006/relationships">
  <sheetPr codeName="Sheet45">
    <pageSetUpPr fitToPage="1"/>
  </sheetPr>
  <dimension ref="A1:G54"/>
  <sheetViews>
    <sheetView showGridLines="0" showZeros="0" workbookViewId="0"/>
  </sheetViews>
  <sheetFormatPr defaultColWidth="19.83203125" defaultRowHeight="12"/>
  <cols>
    <col min="1" max="1" width="32.83203125" style="1" customWidth="1"/>
    <col min="2" max="2" width="18.1640625" style="1" customWidth="1"/>
    <col min="3" max="3" width="19.33203125" style="1" customWidth="1"/>
    <col min="4" max="4" width="15" style="1" customWidth="1"/>
    <col min="5" max="6" width="16" style="1" customWidth="1"/>
    <col min="7" max="7" width="15.6640625" style="1" customWidth="1"/>
    <col min="8" max="16384" width="19.83203125" style="1"/>
  </cols>
  <sheetData>
    <row r="1" spans="1:7" ht="6.95" customHeight="1">
      <c r="A1" s="6"/>
      <c r="B1" s="6"/>
      <c r="C1" s="6"/>
      <c r="D1" s="6"/>
      <c r="E1" s="6"/>
      <c r="F1" s="6"/>
      <c r="G1" s="6"/>
    </row>
    <row r="2" spans="1:7" ht="15.95" customHeight="1">
      <c r="A2" s="300"/>
      <c r="B2" s="308" t="str">
        <f>REVYEAR</f>
        <v>ANALYSIS OF OPERATING FUND REVENUE: 2012/2013 ACTUAL</v>
      </c>
      <c r="C2" s="308"/>
      <c r="D2" s="309"/>
      <c r="E2" s="305"/>
      <c r="F2" s="305"/>
      <c r="G2" s="244" t="s">
        <v>206</v>
      </c>
    </row>
    <row r="3" spans="1:7" ht="9.75" customHeight="1">
      <c r="A3" s="234"/>
      <c r="B3" s="6"/>
      <c r="C3" s="6"/>
      <c r="D3" s="6"/>
      <c r="E3" s="6"/>
      <c r="F3" s="6"/>
      <c r="G3" s="6"/>
    </row>
    <row r="4" spans="1:7" ht="15.95" customHeight="1">
      <c r="B4" s="439" t="s">
        <v>90</v>
      </c>
      <c r="C4" s="442"/>
      <c r="D4" s="364"/>
      <c r="E4" s="364"/>
      <c r="F4" s="364"/>
      <c r="G4" s="354"/>
    </row>
    <row r="5" spans="1:7" ht="15.95" customHeight="1">
      <c r="B5" s="440" t="s">
        <v>229</v>
      </c>
      <c r="C5" s="443"/>
      <c r="D5" s="435"/>
      <c r="E5" s="356"/>
      <c r="F5" s="356"/>
      <c r="G5" s="365"/>
    </row>
    <row r="6" spans="1:7" ht="15.95" customHeight="1">
      <c r="B6" s="130" t="s">
        <v>112</v>
      </c>
      <c r="C6" s="47"/>
      <c r="D6" s="48"/>
      <c r="E6" s="48"/>
      <c r="F6" s="241"/>
      <c r="G6" s="312"/>
    </row>
    <row r="7" spans="1:7" ht="15.95" customHeight="1">
      <c r="B7" s="250"/>
      <c r="C7" s="769" t="s">
        <v>677</v>
      </c>
      <c r="D7" s="40"/>
      <c r="E7" s="40"/>
      <c r="F7" s="40"/>
      <c r="G7" s="40"/>
    </row>
    <row r="8" spans="1:7" ht="20.25" customHeight="1">
      <c r="A8" s="75"/>
      <c r="B8" s="304" t="s">
        <v>225</v>
      </c>
      <c r="C8" s="770"/>
      <c r="D8" s="732"/>
      <c r="E8" s="252" t="s">
        <v>202</v>
      </c>
      <c r="F8" s="252" t="s">
        <v>203</v>
      </c>
      <c r="G8" s="252" t="s">
        <v>129</v>
      </c>
    </row>
    <row r="9" spans="1:7" ht="14.25">
      <c r="A9" s="42" t="s">
        <v>94</v>
      </c>
      <c r="B9" s="53" t="s">
        <v>7</v>
      </c>
      <c r="C9" s="771"/>
      <c r="D9" s="733" t="s">
        <v>767</v>
      </c>
      <c r="E9" s="94" t="s">
        <v>168</v>
      </c>
      <c r="F9" s="94" t="s">
        <v>36</v>
      </c>
      <c r="G9" s="94" t="s">
        <v>153</v>
      </c>
    </row>
    <row r="10" spans="1:7" ht="5.0999999999999996" customHeight="1">
      <c r="A10" s="5"/>
      <c r="E10" s="6"/>
      <c r="F10" s="6"/>
      <c r="G10" s="6"/>
    </row>
    <row r="11" spans="1:7" ht="14.1" customHeight="1">
      <c r="A11" s="412" t="s">
        <v>236</v>
      </c>
      <c r="B11" s="410">
        <v>2752720</v>
      </c>
      <c r="C11" s="410">
        <v>100105</v>
      </c>
      <c r="D11" s="410">
        <v>165020</v>
      </c>
      <c r="E11" s="410">
        <v>85710</v>
      </c>
      <c r="F11" s="410">
        <v>85710</v>
      </c>
      <c r="G11" s="410">
        <v>131422</v>
      </c>
    </row>
    <row r="12" spans="1:7" ht="14.1" customHeight="1">
      <c r="A12" s="270" t="s">
        <v>237</v>
      </c>
      <c r="B12" s="171">
        <v>4220130</v>
      </c>
      <c r="C12" s="171">
        <v>1871</v>
      </c>
      <c r="D12" s="171">
        <v>393225</v>
      </c>
      <c r="E12" s="171">
        <v>102354</v>
      </c>
      <c r="F12" s="171">
        <v>131400</v>
      </c>
      <c r="G12" s="171">
        <v>201480</v>
      </c>
    </row>
    <row r="13" spans="1:7" ht="14.1" customHeight="1">
      <c r="A13" s="412" t="s">
        <v>238</v>
      </c>
      <c r="B13" s="410">
        <v>14495665</v>
      </c>
      <c r="C13" s="410">
        <v>0</v>
      </c>
      <c r="D13" s="410">
        <v>104192</v>
      </c>
      <c r="E13" s="410">
        <v>451344</v>
      </c>
      <c r="F13" s="410">
        <v>451344</v>
      </c>
      <c r="G13" s="410">
        <v>692061</v>
      </c>
    </row>
    <row r="14" spans="1:7" ht="14.1" customHeight="1">
      <c r="A14" s="270" t="s">
        <v>656</v>
      </c>
      <c r="B14" s="171">
        <v>9066728</v>
      </c>
      <c r="C14" s="171">
        <v>113133</v>
      </c>
      <c r="D14" s="171">
        <v>757862</v>
      </c>
      <c r="E14" s="171">
        <v>282306</v>
      </c>
      <c r="F14" s="171">
        <v>282306</v>
      </c>
      <c r="G14" s="171">
        <v>432869</v>
      </c>
    </row>
    <row r="15" spans="1:7" ht="14.1" customHeight="1">
      <c r="A15" s="412" t="s">
        <v>239</v>
      </c>
      <c r="B15" s="410">
        <v>2889729</v>
      </c>
      <c r="C15" s="410">
        <v>0</v>
      </c>
      <c r="D15" s="410">
        <v>244944</v>
      </c>
      <c r="E15" s="410">
        <v>89976</v>
      </c>
      <c r="F15" s="410">
        <v>89976</v>
      </c>
      <c r="G15" s="410">
        <v>137963</v>
      </c>
    </row>
    <row r="16" spans="1:7" ht="14.1" customHeight="1">
      <c r="A16" s="270" t="s">
        <v>240</v>
      </c>
      <c r="B16" s="171">
        <v>1848764</v>
      </c>
      <c r="C16" s="171">
        <v>60060</v>
      </c>
      <c r="D16" s="171">
        <v>0</v>
      </c>
      <c r="E16" s="171">
        <v>57564</v>
      </c>
      <c r="F16" s="171">
        <v>57564</v>
      </c>
      <c r="G16" s="171">
        <v>88265</v>
      </c>
    </row>
    <row r="17" spans="1:7" ht="14.1" customHeight="1">
      <c r="A17" s="412" t="s">
        <v>241</v>
      </c>
      <c r="B17" s="410">
        <v>2454420</v>
      </c>
      <c r="C17" s="410">
        <v>0</v>
      </c>
      <c r="D17" s="410">
        <v>284276</v>
      </c>
      <c r="E17" s="410">
        <v>76422</v>
      </c>
      <c r="F17" s="410">
        <v>76422</v>
      </c>
      <c r="G17" s="410">
        <v>117180</v>
      </c>
    </row>
    <row r="18" spans="1:7" ht="14.1" customHeight="1">
      <c r="A18" s="270" t="s">
        <v>242</v>
      </c>
      <c r="B18" s="171">
        <v>4784548</v>
      </c>
      <c r="C18" s="171">
        <v>0</v>
      </c>
      <c r="D18" s="171">
        <v>1065356</v>
      </c>
      <c r="E18" s="171">
        <v>148974</v>
      </c>
      <c r="F18" s="171">
        <v>148974</v>
      </c>
      <c r="G18" s="171">
        <v>228427</v>
      </c>
    </row>
    <row r="19" spans="1:7" ht="14.1" customHeight="1">
      <c r="A19" s="412" t="s">
        <v>243</v>
      </c>
      <c r="B19" s="410">
        <v>7926907</v>
      </c>
      <c r="C19" s="410">
        <v>30499</v>
      </c>
      <c r="D19" s="410">
        <v>194472</v>
      </c>
      <c r="E19" s="410">
        <v>246816</v>
      </c>
      <c r="F19" s="410">
        <v>246816</v>
      </c>
      <c r="G19" s="410">
        <v>378451</v>
      </c>
    </row>
    <row r="20" spans="1:7" ht="14.1" customHeight="1">
      <c r="A20" s="270" t="s">
        <v>244</v>
      </c>
      <c r="B20" s="171">
        <v>14043976</v>
      </c>
      <c r="C20" s="171">
        <v>0</v>
      </c>
      <c r="D20" s="171">
        <v>254854</v>
      </c>
      <c r="E20" s="171">
        <v>437280</v>
      </c>
      <c r="F20" s="171">
        <v>437280</v>
      </c>
      <c r="G20" s="171">
        <v>670496</v>
      </c>
    </row>
    <row r="21" spans="1:7" ht="14.1" customHeight="1">
      <c r="A21" s="412" t="s">
        <v>245</v>
      </c>
      <c r="B21" s="410">
        <v>5465743</v>
      </c>
      <c r="C21" s="410">
        <v>77094</v>
      </c>
      <c r="D21" s="410">
        <v>446926</v>
      </c>
      <c r="E21" s="410">
        <v>132953</v>
      </c>
      <c r="F21" s="410">
        <v>170184</v>
      </c>
      <c r="G21" s="410">
        <v>260949</v>
      </c>
    </row>
    <row r="22" spans="1:7" ht="14.1" customHeight="1">
      <c r="A22" s="270" t="s">
        <v>246</v>
      </c>
      <c r="B22" s="171">
        <v>3016140</v>
      </c>
      <c r="C22" s="171">
        <v>0</v>
      </c>
      <c r="D22" s="171">
        <v>35200</v>
      </c>
      <c r="E22" s="171">
        <v>93912</v>
      </c>
      <c r="F22" s="171">
        <v>93912</v>
      </c>
      <c r="G22" s="171">
        <v>143998</v>
      </c>
    </row>
    <row r="23" spans="1:7" ht="14.1" customHeight="1">
      <c r="A23" s="412" t="s">
        <v>247</v>
      </c>
      <c r="B23" s="410">
        <v>2059770</v>
      </c>
      <c r="C23" s="410">
        <v>0</v>
      </c>
      <c r="D23" s="410">
        <v>389577</v>
      </c>
      <c r="E23" s="410">
        <v>64134</v>
      </c>
      <c r="F23" s="410">
        <v>64134</v>
      </c>
      <c r="G23" s="410">
        <v>98339</v>
      </c>
    </row>
    <row r="24" spans="1:7" ht="14.1" customHeight="1">
      <c r="A24" s="270" t="s">
        <v>248</v>
      </c>
      <c r="B24" s="171">
        <v>8165855</v>
      </c>
      <c r="C24" s="171">
        <v>0</v>
      </c>
      <c r="D24" s="171">
        <v>363643</v>
      </c>
      <c r="E24" s="171">
        <v>254256</v>
      </c>
      <c r="F24" s="171">
        <v>254256</v>
      </c>
      <c r="G24" s="171">
        <v>389859</v>
      </c>
    </row>
    <row r="25" spans="1:7" ht="14.1" customHeight="1">
      <c r="A25" s="412" t="s">
        <v>249</v>
      </c>
      <c r="B25" s="410">
        <v>26192920</v>
      </c>
      <c r="C25" s="410">
        <v>0</v>
      </c>
      <c r="D25" s="410">
        <v>0</v>
      </c>
      <c r="E25" s="410">
        <v>815568</v>
      </c>
      <c r="F25" s="410">
        <v>815568</v>
      </c>
      <c r="G25" s="410">
        <v>1250538</v>
      </c>
    </row>
    <row r="26" spans="1:7" ht="14.1" customHeight="1">
      <c r="A26" s="270" t="s">
        <v>250</v>
      </c>
      <c r="B26" s="171">
        <v>5682338</v>
      </c>
      <c r="C26" s="171">
        <v>0</v>
      </c>
      <c r="D26" s="171">
        <v>586610</v>
      </c>
      <c r="E26" s="171">
        <v>176928</v>
      </c>
      <c r="F26" s="171">
        <v>176928</v>
      </c>
      <c r="G26" s="171">
        <v>271290</v>
      </c>
    </row>
    <row r="27" spans="1:7" ht="14.1" customHeight="1">
      <c r="A27" s="412" t="s">
        <v>251</v>
      </c>
      <c r="B27" s="410">
        <v>5295974</v>
      </c>
      <c r="C27" s="410">
        <v>0</v>
      </c>
      <c r="D27" s="410">
        <v>0</v>
      </c>
      <c r="E27" s="410">
        <v>164898</v>
      </c>
      <c r="F27" s="410">
        <v>164898</v>
      </c>
      <c r="G27" s="410">
        <v>252844</v>
      </c>
    </row>
    <row r="28" spans="1:7" ht="14.1" customHeight="1">
      <c r="A28" s="270" t="s">
        <v>252</v>
      </c>
      <c r="B28" s="171">
        <v>2945420</v>
      </c>
      <c r="C28" s="171">
        <v>143187</v>
      </c>
      <c r="D28" s="171">
        <v>525765</v>
      </c>
      <c r="E28" s="171">
        <v>91710</v>
      </c>
      <c r="F28" s="171">
        <v>91710</v>
      </c>
      <c r="G28" s="171">
        <v>140622</v>
      </c>
    </row>
    <row r="29" spans="1:7" ht="14.1" customHeight="1">
      <c r="A29" s="412" t="s">
        <v>253</v>
      </c>
      <c r="B29" s="410">
        <v>23266213</v>
      </c>
      <c r="C29" s="410">
        <v>0</v>
      </c>
      <c r="D29" s="410">
        <v>0</v>
      </c>
      <c r="E29" s="410">
        <v>724428</v>
      </c>
      <c r="F29" s="410">
        <v>724428</v>
      </c>
      <c r="G29" s="410">
        <v>1110790</v>
      </c>
    </row>
    <row r="30" spans="1:7" ht="14.1" customHeight="1">
      <c r="A30" s="270" t="s">
        <v>254</v>
      </c>
      <c r="B30" s="171">
        <v>2113919</v>
      </c>
      <c r="C30" s="171">
        <v>70361</v>
      </c>
      <c r="D30" s="171">
        <v>298616</v>
      </c>
      <c r="E30" s="171">
        <v>65820</v>
      </c>
      <c r="F30" s="171">
        <v>65820</v>
      </c>
      <c r="G30" s="171">
        <v>100924</v>
      </c>
    </row>
    <row r="31" spans="1:7" ht="14.1" customHeight="1">
      <c r="A31" s="412" t="s">
        <v>255</v>
      </c>
      <c r="B31" s="410">
        <v>5924754</v>
      </c>
      <c r="C31" s="410">
        <v>0</v>
      </c>
      <c r="D31" s="410">
        <v>184533</v>
      </c>
      <c r="E31" s="410">
        <v>179355</v>
      </c>
      <c r="F31" s="410">
        <v>184476</v>
      </c>
      <c r="G31" s="410">
        <v>282863</v>
      </c>
    </row>
    <row r="32" spans="1:7" ht="14.1" customHeight="1">
      <c r="A32" s="270" t="s">
        <v>256</v>
      </c>
      <c r="B32" s="171">
        <v>3954011</v>
      </c>
      <c r="C32" s="171">
        <v>0</v>
      </c>
      <c r="D32" s="171">
        <v>603112</v>
      </c>
      <c r="E32" s="171">
        <v>123114</v>
      </c>
      <c r="F32" s="171">
        <v>123114</v>
      </c>
      <c r="G32" s="171">
        <v>188775</v>
      </c>
    </row>
    <row r="33" spans="1:7" ht="14.1" customHeight="1">
      <c r="A33" s="412" t="s">
        <v>257</v>
      </c>
      <c r="B33" s="410">
        <v>3860745</v>
      </c>
      <c r="C33" s="410">
        <v>21924</v>
      </c>
      <c r="D33" s="410">
        <v>825085</v>
      </c>
      <c r="E33" s="410">
        <v>120210</v>
      </c>
      <c r="F33" s="410">
        <v>120210</v>
      </c>
      <c r="G33" s="410">
        <v>184322</v>
      </c>
    </row>
    <row r="34" spans="1:7" ht="14.1" customHeight="1">
      <c r="A34" s="270" t="s">
        <v>258</v>
      </c>
      <c r="B34" s="171">
        <v>3840896</v>
      </c>
      <c r="C34" s="171">
        <v>69960</v>
      </c>
      <c r="D34" s="171">
        <v>562821</v>
      </c>
      <c r="E34" s="171">
        <v>120013</v>
      </c>
      <c r="F34" s="171">
        <v>119592</v>
      </c>
      <c r="G34" s="171">
        <v>183374</v>
      </c>
    </row>
    <row r="35" spans="1:7" ht="14.1" customHeight="1">
      <c r="A35" s="412" t="s">
        <v>259</v>
      </c>
      <c r="B35" s="410">
        <v>29964079</v>
      </c>
      <c r="C35" s="410">
        <v>0</v>
      </c>
      <c r="D35" s="410">
        <v>0</v>
      </c>
      <c r="E35" s="410">
        <v>942848</v>
      </c>
      <c r="F35" s="410">
        <v>932976</v>
      </c>
      <c r="G35" s="410">
        <v>1430563</v>
      </c>
    </row>
    <row r="36" spans="1:7" ht="14.1" customHeight="1">
      <c r="A36" s="270" t="s">
        <v>260</v>
      </c>
      <c r="B36" s="171">
        <v>2994173</v>
      </c>
      <c r="C36" s="171">
        <v>92140</v>
      </c>
      <c r="D36" s="171">
        <v>406322</v>
      </c>
      <c r="E36" s="171">
        <v>93228</v>
      </c>
      <c r="F36" s="171">
        <v>93228</v>
      </c>
      <c r="G36" s="171">
        <v>142950</v>
      </c>
    </row>
    <row r="37" spans="1:7" ht="14.1" customHeight="1">
      <c r="A37" s="412" t="s">
        <v>261</v>
      </c>
      <c r="B37" s="410">
        <v>7081147</v>
      </c>
      <c r="C37" s="410">
        <v>0</v>
      </c>
      <c r="D37" s="410">
        <v>459889</v>
      </c>
      <c r="E37" s="410">
        <v>239340</v>
      </c>
      <c r="F37" s="410">
        <v>220482</v>
      </c>
      <c r="G37" s="410">
        <v>338072</v>
      </c>
    </row>
    <row r="38" spans="1:7" ht="14.1" customHeight="1">
      <c r="A38" s="270" t="s">
        <v>262</v>
      </c>
      <c r="B38" s="171">
        <v>19410478</v>
      </c>
      <c r="C38" s="171">
        <v>0</v>
      </c>
      <c r="D38" s="171">
        <v>0</v>
      </c>
      <c r="E38" s="171">
        <v>604374</v>
      </c>
      <c r="F38" s="171">
        <v>604374</v>
      </c>
      <c r="G38" s="171">
        <v>926707</v>
      </c>
    </row>
    <row r="39" spans="1:7" ht="14.1" customHeight="1">
      <c r="A39" s="412" t="s">
        <v>263</v>
      </c>
      <c r="B39" s="410">
        <v>3057571</v>
      </c>
      <c r="C39" s="410">
        <v>0</v>
      </c>
      <c r="D39" s="410">
        <v>523621</v>
      </c>
      <c r="E39" s="410">
        <v>95202</v>
      </c>
      <c r="F39" s="410">
        <v>95202</v>
      </c>
      <c r="G39" s="410">
        <v>145976</v>
      </c>
    </row>
    <row r="40" spans="1:7" ht="14.1" customHeight="1">
      <c r="A40" s="270" t="s">
        <v>264</v>
      </c>
      <c r="B40" s="171">
        <v>15557056</v>
      </c>
      <c r="C40" s="171">
        <v>0</v>
      </c>
      <c r="D40" s="171">
        <v>0</v>
      </c>
      <c r="E40" s="171">
        <v>484392</v>
      </c>
      <c r="F40" s="171">
        <v>484392</v>
      </c>
      <c r="G40" s="171">
        <v>742734</v>
      </c>
    </row>
    <row r="41" spans="1:7" ht="14.1" customHeight="1">
      <c r="A41" s="412" t="s">
        <v>265</v>
      </c>
      <c r="B41" s="410">
        <v>8627248</v>
      </c>
      <c r="C41" s="410">
        <v>95593</v>
      </c>
      <c r="D41" s="410">
        <v>499053</v>
      </c>
      <c r="E41" s="410">
        <v>268698</v>
      </c>
      <c r="F41" s="410">
        <v>268698</v>
      </c>
      <c r="G41" s="410">
        <v>412004</v>
      </c>
    </row>
    <row r="42" spans="1:7" ht="14.1" customHeight="1">
      <c r="A42" s="270" t="s">
        <v>266</v>
      </c>
      <c r="B42" s="171">
        <v>2770063</v>
      </c>
      <c r="C42" s="171">
        <v>0</v>
      </c>
      <c r="D42" s="171">
        <v>307217</v>
      </c>
      <c r="E42" s="171">
        <v>86250</v>
      </c>
      <c r="F42" s="171">
        <v>86250</v>
      </c>
      <c r="G42" s="171">
        <v>132250</v>
      </c>
    </row>
    <row r="43" spans="1:7" ht="14.1" customHeight="1">
      <c r="A43" s="412" t="s">
        <v>267</v>
      </c>
      <c r="B43" s="410">
        <v>1874586</v>
      </c>
      <c r="C43" s="410">
        <v>36436</v>
      </c>
      <c r="D43" s="410">
        <v>243409</v>
      </c>
      <c r="E43" s="410">
        <v>58368</v>
      </c>
      <c r="F43" s="410">
        <v>58368</v>
      </c>
      <c r="G43" s="410">
        <v>89498</v>
      </c>
    </row>
    <row r="44" spans="1:7" ht="14.1" customHeight="1">
      <c r="A44" s="270" t="s">
        <v>268</v>
      </c>
      <c r="B44" s="171">
        <v>1371253</v>
      </c>
      <c r="C44" s="171">
        <v>29070</v>
      </c>
      <c r="D44" s="171">
        <v>300435</v>
      </c>
      <c r="E44" s="171">
        <v>42696</v>
      </c>
      <c r="F44" s="171">
        <v>42696</v>
      </c>
      <c r="G44" s="171">
        <v>65467</v>
      </c>
    </row>
    <row r="45" spans="1:7" ht="14.1" customHeight="1">
      <c r="A45" s="412" t="s">
        <v>269</v>
      </c>
      <c r="B45" s="410">
        <v>3142359</v>
      </c>
      <c r="C45" s="410">
        <v>0</v>
      </c>
      <c r="D45" s="410">
        <v>10350</v>
      </c>
      <c r="E45" s="410">
        <v>97842</v>
      </c>
      <c r="F45" s="410">
        <v>97842</v>
      </c>
      <c r="G45" s="410">
        <v>150024</v>
      </c>
    </row>
    <row r="46" spans="1:7" ht="14.1" customHeight="1">
      <c r="A46" s="270" t="s">
        <v>270</v>
      </c>
      <c r="B46" s="171">
        <v>57677422</v>
      </c>
      <c r="C46" s="171">
        <v>0</v>
      </c>
      <c r="D46" s="171">
        <v>0</v>
      </c>
      <c r="E46" s="171">
        <v>2218622</v>
      </c>
      <c r="F46" s="171">
        <v>1795872</v>
      </c>
      <c r="G46" s="171">
        <v>2753670</v>
      </c>
    </row>
    <row r="47" spans="1:7" ht="5.0999999999999996" customHeight="1">
      <c r="A47" s="148"/>
      <c r="B47" s="172"/>
      <c r="C47" s="172"/>
      <c r="D47" s="172"/>
      <c r="E47" s="172"/>
      <c r="F47" s="172"/>
      <c r="G47" s="172"/>
    </row>
    <row r="48" spans="1:7" ht="14.1" customHeight="1">
      <c r="A48" s="413" t="s">
        <v>271</v>
      </c>
      <c r="B48" s="414">
        <f t="shared" ref="B48:G48" si="0">SUM(B11:B46)</f>
        <v>319795720</v>
      </c>
      <c r="C48" s="414">
        <f t="shared" si="0"/>
        <v>941433</v>
      </c>
      <c r="D48" s="414">
        <f t="shared" si="0"/>
        <v>11036385</v>
      </c>
      <c r="E48" s="414">
        <f t="shared" si="0"/>
        <v>10337905</v>
      </c>
      <c r="F48" s="414">
        <f t="shared" si="0"/>
        <v>9957402</v>
      </c>
      <c r="G48" s="414">
        <f t="shared" si="0"/>
        <v>15268016</v>
      </c>
    </row>
    <row r="49" spans="1:7" ht="5.0999999999999996" customHeight="1">
      <c r="A49" s="148" t="s">
        <v>17</v>
      </c>
      <c r="B49" s="172"/>
      <c r="C49" s="172"/>
      <c r="D49" s="172"/>
      <c r="E49" s="172"/>
      <c r="F49" s="172"/>
      <c r="G49" s="172"/>
    </row>
    <row r="50" spans="1:7" ht="14.1" customHeight="1">
      <c r="A50" s="270" t="s">
        <v>272</v>
      </c>
      <c r="B50" s="171">
        <v>217704</v>
      </c>
      <c r="C50" s="171">
        <v>38478</v>
      </c>
      <c r="D50" s="171">
        <v>0</v>
      </c>
      <c r="E50" s="171">
        <v>10710</v>
      </c>
      <c r="F50" s="171">
        <v>10710</v>
      </c>
      <c r="G50" s="171">
        <v>16422</v>
      </c>
    </row>
    <row r="51" spans="1:7" ht="14.1" customHeight="1">
      <c r="A51" s="412" t="s">
        <v>273</v>
      </c>
      <c r="B51" s="410">
        <v>0</v>
      </c>
      <c r="C51" s="410">
        <v>0</v>
      </c>
      <c r="D51" s="410">
        <v>0</v>
      </c>
      <c r="E51" s="410">
        <v>0</v>
      </c>
      <c r="F51" s="410">
        <v>0</v>
      </c>
      <c r="G51" s="410">
        <v>0</v>
      </c>
    </row>
    <row r="52" spans="1:7" ht="50.1" customHeight="1">
      <c r="A52" s="30"/>
      <c r="B52" s="30"/>
      <c r="C52" s="30"/>
      <c r="D52" s="30"/>
      <c r="E52" s="30"/>
      <c r="F52" s="30"/>
      <c r="G52" s="30"/>
    </row>
    <row r="53" spans="1:7" ht="15" customHeight="1">
      <c r="A53" s="45" t="str">
        <f>"(1)  Based on a grant per eligible pupil at "&amp;Data!C89&amp;" "&amp;Data!B89</f>
        <v>(1)  Based on a grant per eligible pupil at September 30, 2011</v>
      </c>
      <c r="D53" s="45"/>
      <c r="E53" s="45"/>
      <c r="F53" s="45"/>
      <c r="G53" s="45"/>
    </row>
    <row r="54" spans="1:7" ht="12" customHeight="1">
      <c r="A54" s="45" t="s">
        <v>651</v>
      </c>
      <c r="D54" s="45"/>
      <c r="E54" s="45"/>
      <c r="F54" s="45"/>
      <c r="G54" s="45"/>
    </row>
  </sheetData>
  <mergeCells count="1">
    <mergeCell ref="C7:C9"/>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53.xml><?xml version="1.0" encoding="utf-8"?>
<worksheet xmlns="http://schemas.openxmlformats.org/spreadsheetml/2006/main" xmlns:r="http://schemas.openxmlformats.org/officeDocument/2006/relationships">
  <sheetPr codeName="Sheet451">
    <pageSetUpPr fitToPage="1"/>
  </sheetPr>
  <dimension ref="A1:G54"/>
  <sheetViews>
    <sheetView showGridLines="0" showZeros="0" workbookViewId="0"/>
  </sheetViews>
  <sheetFormatPr defaultColWidth="19.83203125" defaultRowHeight="12"/>
  <cols>
    <col min="1" max="1" width="32.83203125" style="1" customWidth="1"/>
    <col min="2" max="2" width="16.33203125" style="1" customWidth="1"/>
    <col min="3" max="3" width="16.6640625" style="1" customWidth="1"/>
    <col min="4" max="4" width="18.33203125" style="1" customWidth="1"/>
    <col min="5" max="5" width="15.83203125" style="1" customWidth="1"/>
    <col min="6" max="6" width="15.1640625" style="1" customWidth="1"/>
    <col min="7" max="7" width="15.83203125" style="1" customWidth="1"/>
    <col min="8" max="16384" width="19.83203125" style="1"/>
  </cols>
  <sheetData>
    <row r="1" spans="1:7" ht="6.95" customHeight="1">
      <c r="A1" s="6"/>
      <c r="B1" s="6"/>
      <c r="C1" s="6"/>
      <c r="D1" s="6"/>
      <c r="E1" s="6"/>
      <c r="F1" s="6"/>
      <c r="G1" s="6"/>
    </row>
    <row r="2" spans="1:7" ht="15.95" customHeight="1">
      <c r="A2" s="300"/>
      <c r="B2" s="308" t="str">
        <f>REVYEAR</f>
        <v>ANALYSIS OF OPERATING FUND REVENUE: 2012/2013 ACTUAL</v>
      </c>
      <c r="C2" s="309"/>
      <c r="D2" s="305"/>
      <c r="E2" s="305"/>
      <c r="F2" s="310"/>
      <c r="G2" s="244" t="s">
        <v>207</v>
      </c>
    </row>
    <row r="3" spans="1:7" ht="15.95" customHeight="1">
      <c r="A3" s="234"/>
      <c r="B3" s="234"/>
      <c r="C3" s="6"/>
      <c r="D3" s="6"/>
      <c r="E3" s="6"/>
      <c r="F3" s="6"/>
      <c r="G3" s="6"/>
    </row>
    <row r="4" spans="1:7" ht="15.95" customHeight="1">
      <c r="B4" s="439" t="str">
        <f>'- 58 -'!B4</f>
        <v>EDUCATION</v>
      </c>
      <c r="C4" s="364"/>
      <c r="D4" s="364"/>
      <c r="E4" s="364"/>
      <c r="F4" s="364"/>
      <c r="G4" s="354"/>
    </row>
    <row r="5" spans="1:7" ht="15.95" customHeight="1">
      <c r="B5" s="440" t="s">
        <v>228</v>
      </c>
      <c r="C5" s="435"/>
      <c r="D5" s="435"/>
      <c r="E5" s="435"/>
      <c r="F5" s="356"/>
      <c r="G5" s="441"/>
    </row>
    <row r="6" spans="1:7" ht="15.95" customHeight="1">
      <c r="B6" s="303" t="s">
        <v>112</v>
      </c>
      <c r="C6" s="48"/>
      <c r="D6" s="48"/>
      <c r="E6" s="48"/>
      <c r="F6" s="48"/>
      <c r="G6" s="131"/>
    </row>
    <row r="7" spans="1:7" ht="15.95" customHeight="1">
      <c r="B7" s="250"/>
      <c r="C7" s="40"/>
      <c r="D7" s="40"/>
      <c r="E7" s="40"/>
      <c r="F7" s="40"/>
      <c r="G7" s="250" t="s">
        <v>68</v>
      </c>
    </row>
    <row r="8" spans="1:7" ht="15.95" customHeight="1">
      <c r="A8" s="75"/>
      <c r="B8" s="515" t="s">
        <v>446</v>
      </c>
      <c r="C8" s="252" t="s">
        <v>128</v>
      </c>
      <c r="D8" s="252" t="s">
        <v>130</v>
      </c>
      <c r="E8" s="252" t="s">
        <v>666</v>
      </c>
      <c r="F8" s="311"/>
      <c r="G8" s="252" t="s">
        <v>131</v>
      </c>
    </row>
    <row r="9" spans="1:7" ht="15.95" customHeight="1">
      <c r="A9" s="42" t="s">
        <v>94</v>
      </c>
      <c r="B9" s="516" t="s">
        <v>542</v>
      </c>
      <c r="C9" s="94" t="s">
        <v>152</v>
      </c>
      <c r="D9" s="94" t="s">
        <v>154</v>
      </c>
      <c r="E9" s="94" t="s">
        <v>90</v>
      </c>
      <c r="F9" s="94" t="s">
        <v>151</v>
      </c>
      <c r="G9" s="94" t="s">
        <v>150</v>
      </c>
    </row>
    <row r="10" spans="1:7" ht="5.0999999999999996" customHeight="1">
      <c r="A10" s="5"/>
      <c r="B10" s="6"/>
      <c r="F10" s="6"/>
      <c r="G10" s="6"/>
    </row>
    <row r="11" spans="1:7" ht="14.1" customHeight="1">
      <c r="A11" s="412" t="s">
        <v>236</v>
      </c>
      <c r="B11" s="410">
        <v>457534</v>
      </c>
      <c r="C11" s="410">
        <v>117137</v>
      </c>
      <c r="D11" s="410">
        <v>65711</v>
      </c>
      <c r="E11" s="410">
        <v>27875</v>
      </c>
      <c r="F11" s="410">
        <v>844740</v>
      </c>
      <c r="G11" s="410">
        <f>SUM('- 58 -'!$B11:G11,B11:F11)</f>
        <v>4833684</v>
      </c>
    </row>
    <row r="12" spans="1:7" ht="14.1" customHeight="1">
      <c r="A12" s="270" t="s">
        <v>237</v>
      </c>
      <c r="B12" s="171">
        <v>711074</v>
      </c>
      <c r="C12" s="171">
        <v>179580</v>
      </c>
      <c r="D12" s="171">
        <v>104740</v>
      </c>
      <c r="E12" s="171">
        <v>46300</v>
      </c>
      <c r="F12" s="171">
        <v>1225215</v>
      </c>
      <c r="G12" s="171">
        <f>SUM('- 58 -'!$B12:G12,B12:F12)</f>
        <v>7317369</v>
      </c>
    </row>
    <row r="13" spans="1:7" ht="14.1" customHeight="1">
      <c r="A13" s="412" t="s">
        <v>238</v>
      </c>
      <c r="B13" s="410">
        <v>2469845</v>
      </c>
      <c r="C13" s="410">
        <v>616837</v>
      </c>
      <c r="D13" s="410">
        <v>346030</v>
      </c>
      <c r="E13" s="410">
        <v>180750</v>
      </c>
      <c r="F13" s="410">
        <v>3055770</v>
      </c>
      <c r="G13" s="410">
        <f>SUM('- 58 -'!$B13:G13,B13:F13)</f>
        <v>22863838</v>
      </c>
    </row>
    <row r="14" spans="1:7" ht="14.1" customHeight="1">
      <c r="A14" s="270" t="s">
        <v>656</v>
      </c>
      <c r="B14" s="171">
        <v>1495881</v>
      </c>
      <c r="C14" s="171">
        <v>385818</v>
      </c>
      <c r="D14" s="171">
        <v>183499</v>
      </c>
      <c r="E14" s="171">
        <v>82250</v>
      </c>
      <c r="F14" s="171">
        <v>2599200</v>
      </c>
      <c r="G14" s="171">
        <f>SUM('- 58 -'!$B14:G14,B14:F14)</f>
        <v>15681852</v>
      </c>
    </row>
    <row r="15" spans="1:7" ht="14.1" customHeight="1">
      <c r="A15" s="412" t="s">
        <v>239</v>
      </c>
      <c r="B15" s="410">
        <v>487002</v>
      </c>
      <c r="C15" s="410">
        <v>122967</v>
      </c>
      <c r="D15" s="410">
        <v>58484</v>
      </c>
      <c r="E15" s="410">
        <v>35163</v>
      </c>
      <c r="F15" s="410">
        <v>866115</v>
      </c>
      <c r="G15" s="410">
        <f>SUM('- 58 -'!$B15:G15,B15:F15)</f>
        <v>5022319</v>
      </c>
    </row>
    <row r="16" spans="1:7" ht="14.1" customHeight="1">
      <c r="A16" s="270" t="s">
        <v>240</v>
      </c>
      <c r="B16" s="171">
        <v>323122</v>
      </c>
      <c r="C16" s="171">
        <v>78671</v>
      </c>
      <c r="D16" s="171">
        <v>50729</v>
      </c>
      <c r="E16" s="171">
        <v>26625</v>
      </c>
      <c r="F16" s="171">
        <v>560880</v>
      </c>
      <c r="G16" s="171">
        <f>SUM('- 58 -'!$B16:G16,B16:F16)</f>
        <v>3152244</v>
      </c>
    </row>
    <row r="17" spans="1:7" ht="14.1" customHeight="1">
      <c r="A17" s="412" t="s">
        <v>241</v>
      </c>
      <c r="B17" s="410">
        <v>394006</v>
      </c>
      <c r="C17" s="410">
        <v>104443</v>
      </c>
      <c r="D17" s="410">
        <v>58590</v>
      </c>
      <c r="E17" s="410">
        <v>30375</v>
      </c>
      <c r="F17" s="410">
        <v>861840</v>
      </c>
      <c r="G17" s="410">
        <f>SUM('- 58 -'!$B17:G17,B17:F17)</f>
        <v>4457974</v>
      </c>
    </row>
    <row r="18" spans="1:7" ht="14.1" customHeight="1">
      <c r="A18" s="270" t="s">
        <v>242</v>
      </c>
      <c r="B18" s="171">
        <v>1319542</v>
      </c>
      <c r="C18" s="171">
        <v>203598</v>
      </c>
      <c r="D18" s="171">
        <v>96833</v>
      </c>
      <c r="E18" s="171">
        <v>33038</v>
      </c>
      <c r="F18" s="171">
        <v>4139910</v>
      </c>
      <c r="G18" s="171">
        <f>SUM('- 58 -'!$B18:G18,B18:F18)</f>
        <v>12169200</v>
      </c>
    </row>
    <row r="19" spans="1:7" ht="14.1" customHeight="1">
      <c r="A19" s="412" t="s">
        <v>243</v>
      </c>
      <c r="B19" s="410">
        <v>1293021</v>
      </c>
      <c r="C19" s="410">
        <v>337315</v>
      </c>
      <c r="D19" s="410">
        <v>189226</v>
      </c>
      <c r="E19" s="410">
        <v>80875</v>
      </c>
      <c r="F19" s="410">
        <v>1432980</v>
      </c>
      <c r="G19" s="410">
        <f>SUM('- 58 -'!$B19:G19,B19:F19)</f>
        <v>12357378</v>
      </c>
    </row>
    <row r="20" spans="1:7" ht="14.1" customHeight="1">
      <c r="A20" s="270" t="s">
        <v>244</v>
      </c>
      <c r="B20" s="171">
        <v>2362647</v>
      </c>
      <c r="C20" s="171">
        <v>597616</v>
      </c>
      <c r="D20" s="171">
        <v>284232</v>
      </c>
      <c r="E20" s="171">
        <v>142000</v>
      </c>
      <c r="F20" s="171">
        <v>2384595</v>
      </c>
      <c r="G20" s="171">
        <f>SUM('- 58 -'!$B20:G20,B20:F20)</f>
        <v>21614976</v>
      </c>
    </row>
    <row r="21" spans="1:7" ht="14.1" customHeight="1">
      <c r="A21" s="412" t="s">
        <v>245</v>
      </c>
      <c r="B21" s="410">
        <v>899712</v>
      </c>
      <c r="C21" s="410">
        <v>232585</v>
      </c>
      <c r="D21" s="410">
        <v>110620</v>
      </c>
      <c r="E21" s="410">
        <v>72875</v>
      </c>
      <c r="F21" s="410">
        <v>1559520</v>
      </c>
      <c r="G21" s="410">
        <f>SUM('- 58 -'!$B21:G21,B21:F21)</f>
        <v>9429161</v>
      </c>
    </row>
    <row r="22" spans="1:7" ht="14.1" customHeight="1">
      <c r="A22" s="270" t="s">
        <v>246</v>
      </c>
      <c r="B22" s="171">
        <v>546140</v>
      </c>
      <c r="C22" s="171">
        <v>128346</v>
      </c>
      <c r="D22" s="171">
        <v>83325</v>
      </c>
      <c r="E22" s="171">
        <v>28250</v>
      </c>
      <c r="F22" s="171">
        <v>961020</v>
      </c>
      <c r="G22" s="171">
        <f>SUM('- 58 -'!$B22:G22,B22:F22)</f>
        <v>5130243</v>
      </c>
    </row>
    <row r="23" spans="1:7" ht="14.1" customHeight="1">
      <c r="A23" s="412" t="s">
        <v>247</v>
      </c>
      <c r="B23" s="410">
        <v>374607</v>
      </c>
      <c r="C23" s="410">
        <v>87650</v>
      </c>
      <c r="D23" s="410">
        <v>49169</v>
      </c>
      <c r="E23" s="410">
        <v>22500</v>
      </c>
      <c r="F23" s="410">
        <v>812250</v>
      </c>
      <c r="G23" s="410">
        <f>SUM('- 58 -'!$B23:G23,B23:F23)</f>
        <v>4022130</v>
      </c>
    </row>
    <row r="24" spans="1:7" ht="14.1" customHeight="1">
      <c r="A24" s="270" t="s">
        <v>248</v>
      </c>
      <c r="B24" s="171">
        <v>1386807</v>
      </c>
      <c r="C24" s="171">
        <v>347483</v>
      </c>
      <c r="D24" s="171">
        <v>165266</v>
      </c>
      <c r="E24" s="171">
        <v>102000</v>
      </c>
      <c r="F24" s="171">
        <v>2053710</v>
      </c>
      <c r="G24" s="171">
        <f>SUM('- 58 -'!$B24:G24,B24:F24)</f>
        <v>13483135</v>
      </c>
    </row>
    <row r="25" spans="1:7" ht="14.1" customHeight="1">
      <c r="A25" s="412" t="s">
        <v>249</v>
      </c>
      <c r="B25" s="410">
        <v>4610743</v>
      </c>
      <c r="C25" s="410">
        <v>1114610</v>
      </c>
      <c r="D25" s="410">
        <v>532119</v>
      </c>
      <c r="E25" s="410">
        <v>329375</v>
      </c>
      <c r="F25" s="410">
        <v>6495435</v>
      </c>
      <c r="G25" s="410">
        <f>SUM('- 58 -'!$B25:G25,B25:F25)</f>
        <v>42156876</v>
      </c>
    </row>
    <row r="26" spans="1:7" ht="14.1" customHeight="1">
      <c r="A26" s="270" t="s">
        <v>250</v>
      </c>
      <c r="B26" s="171">
        <v>991192</v>
      </c>
      <c r="C26" s="171">
        <v>241802</v>
      </c>
      <c r="D26" s="171">
        <v>138745</v>
      </c>
      <c r="E26" s="171">
        <v>68000</v>
      </c>
      <c r="F26" s="171">
        <v>2331585</v>
      </c>
      <c r="G26" s="171">
        <f>SUM('- 58 -'!$B26:G26,B26:F26)</f>
        <v>10665418</v>
      </c>
    </row>
    <row r="27" spans="1:7" ht="14.1" customHeight="1">
      <c r="A27" s="412" t="s">
        <v>251</v>
      </c>
      <c r="B27" s="410">
        <v>1014356</v>
      </c>
      <c r="C27" s="410">
        <v>225361</v>
      </c>
      <c r="D27" s="410">
        <v>140163</v>
      </c>
      <c r="E27" s="410">
        <v>56625</v>
      </c>
      <c r="F27" s="410">
        <v>1315845</v>
      </c>
      <c r="G27" s="410">
        <f>SUM('- 58 -'!$B27:G27,B27:F27)</f>
        <v>8630964</v>
      </c>
    </row>
    <row r="28" spans="1:7" ht="14.1" customHeight="1">
      <c r="A28" s="270" t="s">
        <v>252</v>
      </c>
      <c r="B28" s="171">
        <v>485600</v>
      </c>
      <c r="C28" s="171">
        <v>125337</v>
      </c>
      <c r="D28" s="171">
        <v>70311</v>
      </c>
      <c r="E28" s="171">
        <v>37125</v>
      </c>
      <c r="F28" s="171">
        <v>1365435</v>
      </c>
      <c r="G28" s="171">
        <f>SUM('- 58 -'!$B28:G28,B28:F28)</f>
        <v>6022222</v>
      </c>
    </row>
    <row r="29" spans="1:7" ht="14.1" customHeight="1">
      <c r="A29" s="412" t="s">
        <v>253</v>
      </c>
      <c r="B29" s="410">
        <v>3868653</v>
      </c>
      <c r="C29" s="410">
        <v>990052</v>
      </c>
      <c r="D29" s="410">
        <v>470878</v>
      </c>
      <c r="E29" s="410">
        <v>300625</v>
      </c>
      <c r="F29" s="410">
        <v>5015430</v>
      </c>
      <c r="G29" s="410">
        <f>SUM('- 58 -'!$B29:G29,B29:F29)</f>
        <v>36471497</v>
      </c>
    </row>
    <row r="30" spans="1:7" ht="14.1" customHeight="1">
      <c r="A30" s="270" t="s">
        <v>254</v>
      </c>
      <c r="B30" s="171">
        <v>357409</v>
      </c>
      <c r="C30" s="171">
        <v>89954</v>
      </c>
      <c r="D30" s="171">
        <v>50462</v>
      </c>
      <c r="E30" s="171">
        <v>23375</v>
      </c>
      <c r="F30" s="171">
        <v>790875</v>
      </c>
      <c r="G30" s="171">
        <f>SUM('- 58 -'!$B30:G30,B30:F30)</f>
        <v>4027535</v>
      </c>
    </row>
    <row r="31" spans="1:7" ht="14.1" customHeight="1">
      <c r="A31" s="412" t="s">
        <v>255</v>
      </c>
      <c r="B31" s="410">
        <v>1067811</v>
      </c>
      <c r="C31" s="410">
        <v>252117</v>
      </c>
      <c r="D31" s="410">
        <v>119909</v>
      </c>
      <c r="E31" s="410">
        <v>60125</v>
      </c>
      <c r="F31" s="410">
        <v>1801485</v>
      </c>
      <c r="G31" s="410">
        <f>SUM('- 58 -'!$B31:G31,B31:F31)</f>
        <v>10057428</v>
      </c>
    </row>
    <row r="32" spans="1:7" ht="14.1" customHeight="1">
      <c r="A32" s="270" t="s">
        <v>256</v>
      </c>
      <c r="B32" s="171">
        <v>658840</v>
      </c>
      <c r="C32" s="171">
        <v>168256</v>
      </c>
      <c r="D32" s="171">
        <v>83824</v>
      </c>
      <c r="E32" s="171">
        <v>44875</v>
      </c>
      <c r="F32" s="171">
        <v>1403055</v>
      </c>
      <c r="G32" s="171">
        <f>SUM('- 58 -'!$B32:G32,B32:F32)</f>
        <v>7350976</v>
      </c>
    </row>
    <row r="33" spans="1:7" ht="14.1" customHeight="1">
      <c r="A33" s="412" t="s">
        <v>257</v>
      </c>
      <c r="B33" s="410">
        <v>644030</v>
      </c>
      <c r="C33" s="410">
        <v>164287</v>
      </c>
      <c r="D33" s="410">
        <v>92161</v>
      </c>
      <c r="E33" s="410">
        <v>44750</v>
      </c>
      <c r="F33" s="410">
        <v>1757880</v>
      </c>
      <c r="G33" s="410">
        <f>SUM('- 58 -'!$B33:G33,B33:F33)</f>
        <v>7835604</v>
      </c>
    </row>
    <row r="34" spans="1:7" ht="14.1" customHeight="1">
      <c r="A34" s="270" t="s">
        <v>258</v>
      </c>
      <c r="B34" s="171">
        <v>641030</v>
      </c>
      <c r="C34" s="171">
        <v>163442</v>
      </c>
      <c r="D34" s="171">
        <v>77735</v>
      </c>
      <c r="E34" s="171">
        <v>45625</v>
      </c>
      <c r="F34" s="171">
        <v>1222650</v>
      </c>
      <c r="G34" s="171">
        <f>SUM('- 58 -'!$B34:G34,B34:F34)</f>
        <v>7047138</v>
      </c>
    </row>
    <row r="35" spans="1:7" ht="14.1" customHeight="1">
      <c r="A35" s="412" t="s">
        <v>259</v>
      </c>
      <c r="B35" s="410">
        <v>5096191</v>
      </c>
      <c r="C35" s="410">
        <v>1275067</v>
      </c>
      <c r="D35" s="410">
        <v>613434</v>
      </c>
      <c r="E35" s="410">
        <v>391900</v>
      </c>
      <c r="F35" s="410">
        <v>7121295</v>
      </c>
      <c r="G35" s="410">
        <f>SUM('- 58 -'!$B35:G35,B35:F35)</f>
        <v>47768353</v>
      </c>
    </row>
    <row r="36" spans="1:7" ht="14.1" customHeight="1">
      <c r="A36" s="270" t="s">
        <v>260</v>
      </c>
      <c r="B36" s="171">
        <v>521205</v>
      </c>
      <c r="C36" s="171">
        <v>127412</v>
      </c>
      <c r="D36" s="171">
        <v>71475</v>
      </c>
      <c r="E36" s="171">
        <v>34875</v>
      </c>
      <c r="F36" s="171">
        <v>1177335</v>
      </c>
      <c r="G36" s="171">
        <f>SUM('- 58 -'!$B36:G36,B36:F36)</f>
        <v>5754343</v>
      </c>
    </row>
    <row r="37" spans="1:7" ht="14.1" customHeight="1">
      <c r="A37" s="412" t="s">
        <v>261</v>
      </c>
      <c r="B37" s="410">
        <v>1205404</v>
      </c>
      <c r="C37" s="410">
        <v>301325</v>
      </c>
      <c r="D37" s="410">
        <v>148313</v>
      </c>
      <c r="E37" s="410">
        <v>72625</v>
      </c>
      <c r="F37" s="410">
        <v>1674945</v>
      </c>
      <c r="G37" s="410">
        <f>SUM('- 58 -'!$B37:G37,B37:F37)</f>
        <v>11741542</v>
      </c>
    </row>
    <row r="38" spans="1:7" ht="14.1" customHeight="1">
      <c r="A38" s="270" t="s">
        <v>262</v>
      </c>
      <c r="B38" s="171">
        <v>3457181</v>
      </c>
      <c r="C38" s="171">
        <v>825978</v>
      </c>
      <c r="D38" s="171">
        <v>392843</v>
      </c>
      <c r="E38" s="171">
        <v>238000</v>
      </c>
      <c r="F38" s="171">
        <v>3357585</v>
      </c>
      <c r="G38" s="171">
        <f>SUM('- 58 -'!$B38:G38,B38:F38)</f>
        <v>29817520</v>
      </c>
    </row>
    <row r="39" spans="1:7" ht="14.1" customHeight="1">
      <c r="A39" s="412" t="s">
        <v>263</v>
      </c>
      <c r="B39" s="410">
        <v>495795</v>
      </c>
      <c r="C39" s="410">
        <v>130109</v>
      </c>
      <c r="D39" s="410">
        <v>72988</v>
      </c>
      <c r="E39" s="410">
        <v>34913</v>
      </c>
      <c r="F39" s="410">
        <v>1042245</v>
      </c>
      <c r="G39" s="410">
        <f>SUM('- 58 -'!$B39:G39,B39:F39)</f>
        <v>5693622</v>
      </c>
    </row>
    <row r="40" spans="1:7" ht="14.1" customHeight="1">
      <c r="A40" s="270" t="s">
        <v>264</v>
      </c>
      <c r="B40" s="171">
        <v>2723763</v>
      </c>
      <c r="C40" s="171">
        <v>662002</v>
      </c>
      <c r="D40" s="171">
        <v>314855</v>
      </c>
      <c r="E40" s="171">
        <v>212125</v>
      </c>
      <c r="F40" s="171">
        <v>4250205</v>
      </c>
      <c r="G40" s="171">
        <f>SUM('- 58 -'!$B40:G40,B40:F40)</f>
        <v>25431524</v>
      </c>
    </row>
    <row r="41" spans="1:7" ht="14.1" customHeight="1">
      <c r="A41" s="412" t="s">
        <v>265</v>
      </c>
      <c r="B41" s="410">
        <v>1461929</v>
      </c>
      <c r="C41" s="410">
        <v>367221</v>
      </c>
      <c r="D41" s="410">
        <v>206002</v>
      </c>
      <c r="E41" s="410">
        <v>92375</v>
      </c>
      <c r="F41" s="410">
        <v>2184525</v>
      </c>
      <c r="G41" s="410">
        <f>SUM('- 58 -'!$B41:G41,B41:F41)</f>
        <v>14483346</v>
      </c>
    </row>
    <row r="42" spans="1:7" ht="14.1" customHeight="1">
      <c r="A42" s="270" t="s">
        <v>266</v>
      </c>
      <c r="B42" s="171">
        <v>483458</v>
      </c>
      <c r="C42" s="171">
        <v>117875</v>
      </c>
      <c r="D42" s="171">
        <v>73313</v>
      </c>
      <c r="E42" s="171">
        <v>33150</v>
      </c>
      <c r="F42" s="171">
        <v>1055925</v>
      </c>
      <c r="G42" s="171">
        <f>SUM('- 58 -'!$B42:G42,B42:F42)</f>
        <v>5145751</v>
      </c>
    </row>
    <row r="43" spans="1:7" ht="14.1" customHeight="1">
      <c r="A43" s="412" t="s">
        <v>267</v>
      </c>
      <c r="B43" s="410">
        <v>309574</v>
      </c>
      <c r="C43" s="410">
        <v>79770</v>
      </c>
      <c r="D43" s="410">
        <v>44749</v>
      </c>
      <c r="E43" s="410">
        <v>24375</v>
      </c>
      <c r="F43" s="410">
        <v>587428</v>
      </c>
      <c r="G43" s="410">
        <f>SUM('- 58 -'!$B43:G43,B43:F43)</f>
        <v>3406561</v>
      </c>
    </row>
    <row r="44" spans="1:7" ht="14.1" customHeight="1">
      <c r="A44" s="270" t="s">
        <v>268</v>
      </c>
      <c r="B44" s="171">
        <v>342248</v>
      </c>
      <c r="C44" s="171">
        <v>58351</v>
      </c>
      <c r="D44" s="171">
        <v>32734</v>
      </c>
      <c r="E44" s="171">
        <v>12000</v>
      </c>
      <c r="F44" s="171">
        <v>630135</v>
      </c>
      <c r="G44" s="171">
        <f>SUM('- 58 -'!$B44:G44,B44:F44)</f>
        <v>2927085</v>
      </c>
    </row>
    <row r="45" spans="1:7" ht="14.1" customHeight="1">
      <c r="A45" s="412" t="s">
        <v>269</v>
      </c>
      <c r="B45" s="410">
        <v>513936</v>
      </c>
      <c r="C45" s="410">
        <v>133717</v>
      </c>
      <c r="D45" s="410">
        <v>75012</v>
      </c>
      <c r="E45" s="410">
        <v>38500</v>
      </c>
      <c r="F45" s="410">
        <v>589095</v>
      </c>
      <c r="G45" s="410">
        <f>SUM('- 58 -'!$B45:G45,B45:F45)</f>
        <v>4848677</v>
      </c>
    </row>
    <row r="46" spans="1:7" ht="14.1" customHeight="1">
      <c r="A46" s="270" t="s">
        <v>270</v>
      </c>
      <c r="B46" s="171">
        <v>16511032</v>
      </c>
      <c r="C46" s="171">
        <v>2454358</v>
      </c>
      <c r="D46" s="171">
        <v>1177117</v>
      </c>
      <c r="E46" s="171">
        <v>738250</v>
      </c>
      <c r="F46" s="171">
        <v>14664105</v>
      </c>
      <c r="G46" s="171">
        <f>SUM('- 58 -'!$B46:G46,B46:F46)</f>
        <v>99990448</v>
      </c>
    </row>
    <row r="47" spans="1:7" ht="5.0999999999999996" customHeight="1">
      <c r="A47" s="148"/>
      <c r="B47" s="172"/>
      <c r="C47" s="172"/>
      <c r="D47" s="172"/>
      <c r="E47" s="172"/>
      <c r="F47" s="172"/>
      <c r="G47" s="172"/>
    </row>
    <row r="48" spans="1:7" ht="14.1" customHeight="1">
      <c r="A48" s="413" t="s">
        <v>271</v>
      </c>
      <c r="B48" s="414">
        <f t="shared" ref="B48:G48" si="0">SUM(B11:B46)</f>
        <v>61982320</v>
      </c>
      <c r="C48" s="414">
        <f t="shared" si="0"/>
        <v>13608449</v>
      </c>
      <c r="D48" s="414">
        <f t="shared" si="0"/>
        <v>6845596</v>
      </c>
      <c r="E48" s="414">
        <f t="shared" si="0"/>
        <v>3844464</v>
      </c>
      <c r="F48" s="414">
        <f t="shared" si="0"/>
        <v>85192243</v>
      </c>
      <c r="G48" s="414">
        <f t="shared" si="0"/>
        <v>538809933</v>
      </c>
    </row>
    <row r="49" spans="1:7" ht="5.0999999999999996" customHeight="1">
      <c r="A49" s="148" t="s">
        <v>17</v>
      </c>
      <c r="B49" s="172"/>
      <c r="C49" s="172"/>
      <c r="D49" s="172"/>
      <c r="E49" s="172"/>
      <c r="F49" s="172"/>
      <c r="G49" s="172"/>
    </row>
    <row r="50" spans="1:7" ht="14.1" customHeight="1">
      <c r="A50" s="270" t="s">
        <v>272</v>
      </c>
      <c r="B50" s="171">
        <v>56620</v>
      </c>
      <c r="C50" s="171">
        <v>14637</v>
      </c>
      <c r="D50" s="171">
        <v>8211</v>
      </c>
      <c r="E50" s="171">
        <v>4000</v>
      </c>
      <c r="F50" s="171">
        <v>240255</v>
      </c>
      <c r="G50" s="171">
        <f>SUM('- 58 -'!$B50:G50,B50:F50)</f>
        <v>617747</v>
      </c>
    </row>
    <row r="51" spans="1:7" ht="14.1" customHeight="1">
      <c r="A51" s="412" t="s">
        <v>273</v>
      </c>
      <c r="B51" s="410">
        <v>0</v>
      </c>
      <c r="C51" s="410">
        <v>0</v>
      </c>
      <c r="D51" s="410">
        <v>0</v>
      </c>
      <c r="E51" s="410">
        <v>0</v>
      </c>
      <c r="F51" s="410">
        <v>0</v>
      </c>
      <c r="G51" s="410">
        <f>SUM('- 58 -'!$B51:G51,B51:F51)</f>
        <v>0</v>
      </c>
    </row>
    <row r="52" spans="1:7" ht="50.1" customHeight="1">
      <c r="A52" s="30"/>
      <c r="B52" s="30"/>
      <c r="C52" s="30"/>
      <c r="D52" s="30"/>
      <c r="E52" s="30"/>
      <c r="F52" s="30"/>
      <c r="G52" s="30"/>
    </row>
    <row r="53" spans="1:7" ht="15" customHeight="1">
      <c r="A53" s="45" t="s">
        <v>547</v>
      </c>
      <c r="B53" s="45"/>
      <c r="D53" s="45"/>
      <c r="E53" s="45"/>
      <c r="F53" s="45"/>
      <c r="G53" s="45"/>
    </row>
    <row r="54" spans="1:7">
      <c r="A54" s="45"/>
    </row>
  </sheetData>
  <phoneticPr fontId="6" type="noConversion"/>
  <pageMargins left="0.5" right="0.5" top="0.6" bottom="0.2" header="0.3" footer="0.5"/>
  <pageSetup scale="90" orientation="portrait" r:id="rId1"/>
  <headerFooter alignWithMargins="0">
    <oddHeader>&amp;C&amp;"Arial,Regular"&amp;11&amp;A</oddHeader>
  </headerFooter>
</worksheet>
</file>

<file path=xl/worksheets/sheet54.xml><?xml version="1.0" encoding="utf-8"?>
<worksheet xmlns="http://schemas.openxmlformats.org/spreadsheetml/2006/main" xmlns:r="http://schemas.openxmlformats.org/officeDocument/2006/relationships">
  <sheetPr codeName="Sheet47">
    <pageSetUpPr fitToPage="1"/>
  </sheetPr>
  <dimension ref="A1:F56"/>
  <sheetViews>
    <sheetView showGridLines="0" showZeros="0" workbookViewId="0"/>
  </sheetViews>
  <sheetFormatPr defaultColWidth="19.83203125" defaultRowHeight="12"/>
  <cols>
    <col min="1" max="1" width="29.1640625" style="1" customWidth="1"/>
    <col min="2" max="2" width="22.83203125" style="1" customWidth="1"/>
    <col min="3" max="3" width="17.6640625" style="1" customWidth="1"/>
    <col min="4" max="4" width="18.1640625" style="1" customWidth="1"/>
    <col min="5" max="5" width="20.6640625" style="1" customWidth="1"/>
    <col min="6" max="6" width="23.5" style="1" customWidth="1"/>
    <col min="7" max="7" width="14.83203125" style="1" customWidth="1"/>
    <col min="8" max="16384" width="19.83203125" style="1"/>
  </cols>
  <sheetData>
    <row r="1" spans="1:6" ht="6.95" customHeight="1">
      <c r="A1" s="6"/>
      <c r="B1" s="6"/>
      <c r="C1" s="6"/>
      <c r="D1" s="6"/>
      <c r="E1" s="6"/>
      <c r="F1" s="6"/>
    </row>
    <row r="2" spans="1:6" ht="15.95" customHeight="1">
      <c r="A2" s="300"/>
      <c r="B2" s="233" t="str">
        <f>REVYEAR</f>
        <v>ANALYSIS OF OPERATING FUND REVENUE: 2012/2013 ACTUAL</v>
      </c>
      <c r="C2" s="301"/>
      <c r="D2" s="305"/>
      <c r="E2" s="305"/>
      <c r="F2" s="244" t="s">
        <v>208</v>
      </c>
    </row>
    <row r="3" spans="1:6" ht="15.95" customHeight="1">
      <c r="A3" s="234"/>
      <c r="B3" s="234"/>
      <c r="C3" s="6"/>
      <c r="D3" s="6"/>
      <c r="E3" s="6"/>
      <c r="F3" s="6"/>
    </row>
    <row r="4" spans="1:6" ht="15.95" customHeight="1">
      <c r="B4" s="439" t="str">
        <f>'- 58 -'!B4</f>
        <v>EDUCATION</v>
      </c>
      <c r="C4" s="364"/>
      <c r="D4" s="354"/>
      <c r="E4" s="354"/>
      <c r="F4" s="354"/>
    </row>
    <row r="5" spans="1:6" ht="15.95" customHeight="1">
      <c r="B5" s="440" t="s">
        <v>228</v>
      </c>
      <c r="C5" s="435"/>
      <c r="D5" s="441"/>
      <c r="E5" s="441"/>
      <c r="F5" s="441"/>
    </row>
    <row r="6" spans="1:6" ht="15.95" customHeight="1">
      <c r="B6" s="303" t="s">
        <v>113</v>
      </c>
      <c r="C6" s="48"/>
      <c r="D6" s="48"/>
      <c r="E6" s="47"/>
      <c r="F6" s="189"/>
    </row>
    <row r="7" spans="1:6" ht="15.95" customHeight="1">
      <c r="B7" s="250"/>
      <c r="C7" s="250"/>
      <c r="D7" s="250" t="s">
        <v>448</v>
      </c>
      <c r="E7" s="250" t="s">
        <v>197</v>
      </c>
      <c r="F7" s="250" t="s">
        <v>211</v>
      </c>
    </row>
    <row r="8" spans="1:6" ht="15.95" customHeight="1">
      <c r="A8" s="75"/>
      <c r="B8" s="304" t="s">
        <v>678</v>
      </c>
      <c r="C8" s="252" t="s">
        <v>126</v>
      </c>
      <c r="D8" s="252" t="s">
        <v>425</v>
      </c>
      <c r="E8" s="252" t="s">
        <v>36</v>
      </c>
      <c r="F8" s="252" t="s">
        <v>212</v>
      </c>
    </row>
    <row r="9" spans="1:6" ht="15.95" customHeight="1">
      <c r="A9" s="42" t="s">
        <v>94</v>
      </c>
      <c r="B9" s="313"/>
      <c r="C9" s="94" t="s">
        <v>8</v>
      </c>
      <c r="D9" s="94" t="s">
        <v>98</v>
      </c>
      <c r="E9" s="94" t="s">
        <v>90</v>
      </c>
      <c r="F9" s="94" t="s">
        <v>220</v>
      </c>
    </row>
    <row r="10" spans="1:6" ht="5.0999999999999996" customHeight="1">
      <c r="A10" s="5"/>
      <c r="B10" s="6"/>
      <c r="C10" s="6"/>
      <c r="D10" s="6"/>
      <c r="E10" s="6"/>
    </row>
    <row r="11" spans="1:6" ht="14.1" customHeight="1">
      <c r="A11" s="412" t="s">
        <v>236</v>
      </c>
      <c r="B11" s="410">
        <v>660724</v>
      </c>
      <c r="C11" s="410">
        <v>674320</v>
      </c>
      <c r="D11" s="410">
        <v>120420</v>
      </c>
      <c r="E11" s="410">
        <v>48483</v>
      </c>
      <c r="F11" s="410">
        <v>37500</v>
      </c>
    </row>
    <row r="12" spans="1:6" ht="14.1" customHeight="1">
      <c r="A12" s="270" t="s">
        <v>237</v>
      </c>
      <c r="B12" s="171">
        <v>1319342</v>
      </c>
      <c r="C12" s="171">
        <v>1184228</v>
      </c>
      <c r="D12" s="171">
        <v>129900</v>
      </c>
      <c r="E12" s="171">
        <v>210430</v>
      </c>
      <c r="F12" s="171">
        <v>45000</v>
      </c>
    </row>
    <row r="13" spans="1:6" ht="14.1" customHeight="1">
      <c r="A13" s="412" t="s">
        <v>238</v>
      </c>
      <c r="B13" s="410">
        <v>982750</v>
      </c>
      <c r="C13" s="410">
        <v>3247681</v>
      </c>
      <c r="D13" s="410">
        <v>874425</v>
      </c>
      <c r="E13" s="410">
        <v>547635</v>
      </c>
      <c r="F13" s="410">
        <v>342500</v>
      </c>
    </row>
    <row r="14" spans="1:6" ht="14.1" customHeight="1">
      <c r="A14" s="270" t="s">
        <v>656</v>
      </c>
      <c r="B14" s="171">
        <v>3077847</v>
      </c>
      <c r="C14" s="171">
        <v>1907525</v>
      </c>
      <c r="D14" s="171">
        <v>230325</v>
      </c>
      <c r="E14" s="171">
        <v>27831</v>
      </c>
      <c r="F14" s="171">
        <v>294500</v>
      </c>
    </row>
    <row r="15" spans="1:6" ht="14.1" customHeight="1">
      <c r="A15" s="412" t="s">
        <v>239</v>
      </c>
      <c r="B15" s="410">
        <v>886883</v>
      </c>
      <c r="C15" s="410">
        <v>1037861</v>
      </c>
      <c r="D15" s="410">
        <v>14350</v>
      </c>
      <c r="E15" s="410">
        <v>81840</v>
      </c>
      <c r="F15" s="410">
        <v>87500</v>
      </c>
    </row>
    <row r="16" spans="1:6" ht="14.1" customHeight="1">
      <c r="A16" s="270" t="s">
        <v>240</v>
      </c>
      <c r="B16" s="171">
        <v>102264</v>
      </c>
      <c r="C16" s="171">
        <v>573610</v>
      </c>
      <c r="D16" s="171">
        <v>1600</v>
      </c>
      <c r="E16" s="171">
        <v>44440</v>
      </c>
      <c r="F16" s="171">
        <v>78500</v>
      </c>
    </row>
    <row r="17" spans="1:6" ht="14.1" customHeight="1">
      <c r="A17" s="412" t="s">
        <v>241</v>
      </c>
      <c r="B17" s="410">
        <v>866926</v>
      </c>
      <c r="C17" s="410">
        <v>732525</v>
      </c>
      <c r="D17" s="410">
        <v>21500</v>
      </c>
      <c r="E17" s="410">
        <v>80410</v>
      </c>
      <c r="F17" s="410">
        <v>15000</v>
      </c>
    </row>
    <row r="18" spans="1:6" ht="14.1" customHeight="1">
      <c r="A18" s="270" t="s">
        <v>242</v>
      </c>
      <c r="B18" s="171">
        <v>1413198</v>
      </c>
      <c r="C18" s="171">
        <v>1914996</v>
      </c>
      <c r="D18" s="171">
        <v>3800</v>
      </c>
      <c r="E18" s="171">
        <v>111293</v>
      </c>
      <c r="F18" s="171">
        <v>723200</v>
      </c>
    </row>
    <row r="19" spans="1:6" ht="14.1" customHeight="1">
      <c r="A19" s="412" t="s">
        <v>243</v>
      </c>
      <c r="B19" s="410">
        <v>1454026</v>
      </c>
      <c r="C19" s="410">
        <v>1704462</v>
      </c>
      <c r="D19" s="410">
        <v>665550</v>
      </c>
      <c r="E19" s="410">
        <v>296560</v>
      </c>
      <c r="F19" s="410">
        <v>15000</v>
      </c>
    </row>
    <row r="20" spans="1:6" ht="14.1" customHeight="1">
      <c r="A20" s="270" t="s">
        <v>244</v>
      </c>
      <c r="B20" s="171">
        <v>2619325</v>
      </c>
      <c r="C20" s="171">
        <v>3727976</v>
      </c>
      <c r="D20" s="171">
        <v>617175</v>
      </c>
      <c r="E20" s="171">
        <v>523298</v>
      </c>
      <c r="F20" s="171">
        <v>97500</v>
      </c>
    </row>
    <row r="21" spans="1:6" ht="14.1" customHeight="1">
      <c r="A21" s="412" t="s">
        <v>245</v>
      </c>
      <c r="B21" s="410">
        <v>1270426</v>
      </c>
      <c r="C21" s="410">
        <v>1520101</v>
      </c>
      <c r="D21" s="410">
        <v>44800</v>
      </c>
      <c r="E21" s="410">
        <v>129993</v>
      </c>
      <c r="F21" s="410">
        <v>91000</v>
      </c>
    </row>
    <row r="22" spans="1:6" ht="14.1" customHeight="1">
      <c r="A22" s="270" t="s">
        <v>246</v>
      </c>
      <c r="B22" s="171">
        <v>295986</v>
      </c>
      <c r="C22" s="171">
        <v>1074038</v>
      </c>
      <c r="D22" s="171">
        <v>8400</v>
      </c>
      <c r="E22" s="171">
        <v>44715</v>
      </c>
      <c r="F22" s="171">
        <v>142500</v>
      </c>
    </row>
    <row r="23" spans="1:6" ht="14.1" customHeight="1">
      <c r="A23" s="412" t="s">
        <v>247</v>
      </c>
      <c r="B23" s="410">
        <v>1030979</v>
      </c>
      <c r="C23" s="410">
        <v>972784</v>
      </c>
      <c r="D23" s="410">
        <v>17450</v>
      </c>
      <c r="E23" s="410">
        <v>74526</v>
      </c>
      <c r="F23" s="410">
        <v>97500</v>
      </c>
    </row>
    <row r="24" spans="1:6" ht="14.1" customHeight="1">
      <c r="A24" s="270" t="s">
        <v>248</v>
      </c>
      <c r="B24" s="171">
        <v>1801296</v>
      </c>
      <c r="C24" s="171">
        <v>2849744</v>
      </c>
      <c r="D24" s="171">
        <v>14400</v>
      </c>
      <c r="E24" s="171">
        <v>426415</v>
      </c>
      <c r="F24" s="171">
        <v>292000</v>
      </c>
    </row>
    <row r="25" spans="1:6" ht="14.1" customHeight="1">
      <c r="A25" s="412" t="s">
        <v>249</v>
      </c>
      <c r="B25" s="410">
        <v>1188512</v>
      </c>
      <c r="C25" s="410">
        <v>7555434</v>
      </c>
      <c r="D25" s="410">
        <v>819575</v>
      </c>
      <c r="E25" s="410">
        <v>703670</v>
      </c>
      <c r="F25" s="410">
        <v>597500</v>
      </c>
    </row>
    <row r="26" spans="1:6" ht="14.1" customHeight="1">
      <c r="A26" s="270" t="s">
        <v>250</v>
      </c>
      <c r="B26" s="171">
        <v>1586656</v>
      </c>
      <c r="C26" s="171">
        <v>1397389</v>
      </c>
      <c r="D26" s="171">
        <v>8300</v>
      </c>
      <c r="E26" s="171">
        <v>233833</v>
      </c>
      <c r="F26" s="171">
        <v>215000</v>
      </c>
    </row>
    <row r="27" spans="1:6" ht="14.1" customHeight="1">
      <c r="A27" s="412" t="s">
        <v>251</v>
      </c>
      <c r="B27" s="410">
        <v>46935</v>
      </c>
      <c r="C27" s="410">
        <v>1532249</v>
      </c>
      <c r="D27" s="410">
        <v>80325</v>
      </c>
      <c r="E27" s="410">
        <v>210870</v>
      </c>
      <c r="F27" s="410">
        <v>305500</v>
      </c>
    </row>
    <row r="28" spans="1:6" ht="14.1" customHeight="1">
      <c r="A28" s="270" t="s">
        <v>252</v>
      </c>
      <c r="B28" s="171">
        <v>1326533</v>
      </c>
      <c r="C28" s="171">
        <v>591818</v>
      </c>
      <c r="D28" s="171">
        <v>29250</v>
      </c>
      <c r="E28" s="171">
        <v>69080</v>
      </c>
      <c r="F28" s="171">
        <v>71000</v>
      </c>
    </row>
    <row r="29" spans="1:6" ht="14.1" customHeight="1">
      <c r="A29" s="412" t="s">
        <v>253</v>
      </c>
      <c r="B29" s="410">
        <v>799525</v>
      </c>
      <c r="C29" s="410">
        <v>7117129</v>
      </c>
      <c r="D29" s="410">
        <v>1053000</v>
      </c>
      <c r="E29" s="410">
        <v>302446</v>
      </c>
      <c r="F29" s="410">
        <v>270000</v>
      </c>
    </row>
    <row r="30" spans="1:6" ht="14.1" customHeight="1">
      <c r="A30" s="270" t="s">
        <v>254</v>
      </c>
      <c r="B30" s="171">
        <v>718492</v>
      </c>
      <c r="C30" s="171">
        <v>586961</v>
      </c>
      <c r="D30" s="171">
        <v>55950</v>
      </c>
      <c r="E30" s="171">
        <v>56705</v>
      </c>
      <c r="F30" s="171">
        <v>42500</v>
      </c>
    </row>
    <row r="31" spans="1:6" ht="14.1" customHeight="1">
      <c r="A31" s="412" t="s">
        <v>255</v>
      </c>
      <c r="B31" s="410">
        <v>818990</v>
      </c>
      <c r="C31" s="410">
        <v>1740342</v>
      </c>
      <c r="D31" s="410">
        <v>105450</v>
      </c>
      <c r="E31" s="410">
        <v>177045</v>
      </c>
      <c r="F31" s="410">
        <v>232000</v>
      </c>
    </row>
    <row r="32" spans="1:6" ht="14.1" customHeight="1">
      <c r="A32" s="270" t="s">
        <v>256</v>
      </c>
      <c r="B32" s="171">
        <v>1271843</v>
      </c>
      <c r="C32" s="171">
        <v>844650</v>
      </c>
      <c r="D32" s="171">
        <v>93000</v>
      </c>
      <c r="E32" s="171">
        <v>133623</v>
      </c>
      <c r="F32" s="171">
        <v>84500</v>
      </c>
    </row>
    <row r="33" spans="1:6" ht="14.1" customHeight="1">
      <c r="A33" s="412" t="s">
        <v>257</v>
      </c>
      <c r="B33" s="410">
        <v>1391460</v>
      </c>
      <c r="C33" s="410">
        <v>784692</v>
      </c>
      <c r="D33" s="410">
        <v>130000</v>
      </c>
      <c r="E33" s="410">
        <v>82996</v>
      </c>
      <c r="F33" s="410">
        <v>37500</v>
      </c>
    </row>
    <row r="34" spans="1:6" ht="14.1" customHeight="1">
      <c r="A34" s="270" t="s">
        <v>258</v>
      </c>
      <c r="B34" s="171">
        <v>1392620</v>
      </c>
      <c r="C34" s="171">
        <v>1061711</v>
      </c>
      <c r="D34" s="171">
        <v>88275</v>
      </c>
      <c r="E34" s="171">
        <v>79558</v>
      </c>
      <c r="F34" s="171">
        <v>90000</v>
      </c>
    </row>
    <row r="35" spans="1:6" ht="14.1" customHeight="1">
      <c r="A35" s="412" t="s">
        <v>259</v>
      </c>
      <c r="B35" s="410">
        <v>1686751</v>
      </c>
      <c r="C35" s="410">
        <v>8535903</v>
      </c>
      <c r="D35" s="410">
        <v>648050</v>
      </c>
      <c r="E35" s="410">
        <v>1045881</v>
      </c>
      <c r="F35" s="410">
        <v>682500</v>
      </c>
    </row>
    <row r="36" spans="1:6" ht="14.1" customHeight="1">
      <c r="A36" s="270" t="s">
        <v>260</v>
      </c>
      <c r="B36" s="171">
        <v>940652</v>
      </c>
      <c r="C36" s="171">
        <v>759983</v>
      </c>
      <c r="D36" s="171">
        <v>43050</v>
      </c>
      <c r="E36" s="171">
        <v>31131</v>
      </c>
      <c r="F36" s="171">
        <v>65000</v>
      </c>
    </row>
    <row r="37" spans="1:6" ht="14.1" customHeight="1">
      <c r="A37" s="412" t="s">
        <v>261</v>
      </c>
      <c r="B37" s="410">
        <v>1562246</v>
      </c>
      <c r="C37" s="410">
        <v>2526680</v>
      </c>
      <c r="D37" s="410">
        <v>143850</v>
      </c>
      <c r="E37" s="410">
        <v>122073</v>
      </c>
      <c r="F37" s="410">
        <v>232500</v>
      </c>
    </row>
    <row r="38" spans="1:6" ht="14.1" customHeight="1">
      <c r="A38" s="270" t="s">
        <v>262</v>
      </c>
      <c r="B38" s="171">
        <v>1086946</v>
      </c>
      <c r="C38" s="171">
        <v>6528394</v>
      </c>
      <c r="D38" s="171">
        <v>1001020</v>
      </c>
      <c r="E38" s="171">
        <v>378593</v>
      </c>
      <c r="F38" s="171">
        <v>341500</v>
      </c>
    </row>
    <row r="39" spans="1:6" ht="14.1" customHeight="1">
      <c r="A39" s="412" t="s">
        <v>263</v>
      </c>
      <c r="B39" s="410">
        <v>1162820</v>
      </c>
      <c r="C39" s="410">
        <v>635406</v>
      </c>
      <c r="D39" s="410">
        <v>50000</v>
      </c>
      <c r="E39" s="410">
        <v>44440</v>
      </c>
      <c r="F39" s="410">
        <v>22500</v>
      </c>
    </row>
    <row r="40" spans="1:6" ht="14.1" customHeight="1">
      <c r="A40" s="270" t="s">
        <v>264</v>
      </c>
      <c r="B40" s="171">
        <v>593815</v>
      </c>
      <c r="C40" s="171">
        <v>4743561</v>
      </c>
      <c r="D40" s="171">
        <v>355400</v>
      </c>
      <c r="E40" s="171">
        <v>679773</v>
      </c>
      <c r="F40" s="171">
        <v>356200</v>
      </c>
    </row>
    <row r="41" spans="1:6" ht="14.1" customHeight="1">
      <c r="A41" s="412" t="s">
        <v>265</v>
      </c>
      <c r="B41" s="410">
        <v>2874038</v>
      </c>
      <c r="C41" s="410">
        <v>2765339</v>
      </c>
      <c r="D41" s="410">
        <v>81175</v>
      </c>
      <c r="E41" s="410">
        <v>168080</v>
      </c>
      <c r="F41" s="410">
        <v>199188</v>
      </c>
    </row>
    <row r="42" spans="1:6" ht="14.1" customHeight="1">
      <c r="A42" s="270" t="s">
        <v>266</v>
      </c>
      <c r="B42" s="171">
        <v>1045912</v>
      </c>
      <c r="C42" s="171">
        <v>1010342</v>
      </c>
      <c r="D42" s="171">
        <v>12800</v>
      </c>
      <c r="E42" s="171">
        <v>216370</v>
      </c>
      <c r="F42" s="171">
        <v>140000</v>
      </c>
    </row>
    <row r="43" spans="1:6" ht="14.1" customHeight="1">
      <c r="A43" s="412" t="s">
        <v>267</v>
      </c>
      <c r="B43" s="410">
        <v>605749</v>
      </c>
      <c r="C43" s="410">
        <v>498737</v>
      </c>
      <c r="D43" s="410">
        <v>47800</v>
      </c>
      <c r="E43" s="410">
        <v>28875</v>
      </c>
      <c r="F43" s="410">
        <v>22500</v>
      </c>
    </row>
    <row r="44" spans="1:6" ht="14.1" customHeight="1">
      <c r="A44" s="270" t="s">
        <v>268</v>
      </c>
      <c r="B44" s="171">
        <v>769109</v>
      </c>
      <c r="C44" s="171">
        <v>624128</v>
      </c>
      <c r="D44" s="171">
        <v>13650</v>
      </c>
      <c r="E44" s="171">
        <v>24723</v>
      </c>
      <c r="F44" s="171">
        <v>91000</v>
      </c>
    </row>
    <row r="45" spans="1:6" ht="14.1" customHeight="1">
      <c r="A45" s="412" t="s">
        <v>269</v>
      </c>
      <c r="B45" s="410">
        <v>479243</v>
      </c>
      <c r="C45" s="410">
        <v>765991</v>
      </c>
      <c r="D45" s="410">
        <v>126100</v>
      </c>
      <c r="E45" s="410">
        <v>115665</v>
      </c>
      <c r="F45" s="410">
        <v>22500</v>
      </c>
    </row>
    <row r="46" spans="1:6" ht="14.1" customHeight="1">
      <c r="A46" s="270" t="s">
        <v>270</v>
      </c>
      <c r="B46" s="171">
        <v>1368257</v>
      </c>
      <c r="C46" s="171">
        <v>16288362</v>
      </c>
      <c r="D46" s="171">
        <v>3494815</v>
      </c>
      <c r="E46" s="171">
        <v>1711023</v>
      </c>
      <c r="F46" s="171">
        <v>2300800</v>
      </c>
    </row>
    <row r="47" spans="1:6" ht="5.0999999999999996" customHeight="1">
      <c r="A47" s="148"/>
      <c r="B47" s="172"/>
      <c r="C47" s="172"/>
      <c r="D47" s="172"/>
      <c r="E47" s="172"/>
      <c r="F47" s="172"/>
    </row>
    <row r="48" spans="1:6" ht="14.1" customHeight="1">
      <c r="A48" s="413" t="s">
        <v>271</v>
      </c>
      <c r="B48" s="414">
        <f>SUM(B11:B46)</f>
        <v>42499076</v>
      </c>
      <c r="C48" s="414">
        <f>SUM(C11:C46)</f>
        <v>92017052</v>
      </c>
      <c r="D48" s="414">
        <f>SUM(D11:D46)</f>
        <v>11244930</v>
      </c>
      <c r="E48" s="414">
        <f>SUM(E11:E46)</f>
        <v>9264322</v>
      </c>
      <c r="F48" s="414">
        <f>SUM(F11:F46)</f>
        <v>8780888</v>
      </c>
    </row>
    <row r="49" spans="1:6" ht="5.0999999999999996" customHeight="1">
      <c r="A49" s="148" t="s">
        <v>17</v>
      </c>
      <c r="B49" s="172"/>
      <c r="C49" s="172"/>
      <c r="D49" s="172"/>
      <c r="E49" s="172"/>
      <c r="F49" s="172"/>
    </row>
    <row r="50" spans="1:6" ht="14.1" customHeight="1">
      <c r="A50" s="270" t="s">
        <v>272</v>
      </c>
      <c r="B50" s="171">
        <v>1256</v>
      </c>
      <c r="C50" s="171">
        <v>130711</v>
      </c>
      <c r="D50" s="171">
        <v>1550</v>
      </c>
      <c r="E50" s="171">
        <v>9213</v>
      </c>
      <c r="F50" s="171">
        <v>6500</v>
      </c>
    </row>
    <row r="51" spans="1:6" ht="14.1" customHeight="1">
      <c r="A51" s="412" t="s">
        <v>273</v>
      </c>
      <c r="B51" s="410">
        <v>0</v>
      </c>
      <c r="C51" s="410">
        <v>0</v>
      </c>
      <c r="D51" s="410">
        <v>0</v>
      </c>
      <c r="E51" s="410">
        <v>0</v>
      </c>
      <c r="F51" s="410">
        <v>0</v>
      </c>
    </row>
    <row r="52" spans="1:6" ht="50.1" customHeight="1">
      <c r="A52" s="30"/>
      <c r="B52" s="30"/>
      <c r="C52" s="30"/>
      <c r="D52" s="30"/>
      <c r="E52" s="30"/>
      <c r="F52" s="30"/>
    </row>
    <row r="53" spans="1:6" ht="15" customHeight="1">
      <c r="A53" s="45" t="s">
        <v>652</v>
      </c>
      <c r="B53" s="276"/>
      <c r="C53" s="45"/>
      <c r="D53" s="45"/>
      <c r="E53" s="45"/>
      <c r="F53" s="45"/>
    </row>
    <row r="54" spans="1:6" ht="12" customHeight="1">
      <c r="A54" s="609" t="str">
        <f>"(2)  Includes support for coordinators, clinicians and level 2 and 3 pupils. Note: total special needs support is " &amp;TEXT(C48+'- 59 -'!B48,"$0,000,000")&amp; " (Student Services,"</f>
        <v>(2)  Includes support for coordinators, clinicians and level 2 and 3 pupils. Note: total special needs support is $153,999,372 (Student Services,</v>
      </c>
      <c r="B54" s="45"/>
      <c r="C54" s="45"/>
      <c r="D54" s="45"/>
      <c r="E54" s="45"/>
      <c r="F54" s="306"/>
    </row>
    <row r="55" spans="1:6" ht="12" customHeight="1">
      <c r="A55" s="1" t="s">
        <v>706</v>
      </c>
      <c r="B55" s="45"/>
      <c r="C55" s="45"/>
      <c r="D55" s="45"/>
      <c r="E55" s="45"/>
      <c r="F55" s="45"/>
    </row>
    <row r="56" spans="1:6" ht="14.1" customHeight="1">
      <c r="A56" s="45"/>
      <c r="B56" s="45"/>
      <c r="C56" s="307"/>
      <c r="D56" s="45"/>
      <c r="E56" s="45"/>
      <c r="F56" s="45"/>
    </row>
  </sheetData>
  <phoneticPr fontId="6" type="noConversion"/>
  <pageMargins left="0.5" right="0.5" top="0.6" bottom="0.2" header="0.3" footer="0.5"/>
  <pageSetup scale="90" orientation="portrait" r:id="rId1"/>
  <headerFooter alignWithMargins="0">
    <oddHeader>&amp;C&amp;"Arial,Regular"&amp;11&amp;A</oddHeader>
  </headerFooter>
</worksheet>
</file>

<file path=xl/worksheets/sheet55.xml><?xml version="1.0" encoding="utf-8"?>
<worksheet xmlns="http://schemas.openxmlformats.org/spreadsheetml/2006/main" xmlns:r="http://schemas.openxmlformats.org/officeDocument/2006/relationships">
  <sheetPr codeName="Sheet46">
    <pageSetUpPr fitToPage="1"/>
  </sheetPr>
  <dimension ref="A1:F53"/>
  <sheetViews>
    <sheetView showGridLines="0" showZeros="0" workbookViewId="0"/>
  </sheetViews>
  <sheetFormatPr defaultColWidth="19.83203125" defaultRowHeight="12"/>
  <cols>
    <col min="1" max="1" width="34.1640625" style="1" customWidth="1"/>
    <col min="2" max="2" width="18.83203125" style="1" customWidth="1"/>
    <col min="3" max="3" width="19.83203125" style="1" customWidth="1"/>
    <col min="4" max="5" width="19.1640625" style="1" customWidth="1"/>
    <col min="6" max="6" width="17.83203125" style="1" customWidth="1"/>
    <col min="7" max="16384" width="19.83203125" style="1"/>
  </cols>
  <sheetData>
    <row r="1" spans="1:6" ht="6.95" customHeight="1">
      <c r="A1" s="6"/>
      <c r="B1" s="6"/>
      <c r="C1" s="6"/>
      <c r="D1" s="6"/>
      <c r="E1" s="6"/>
      <c r="F1" s="6"/>
    </row>
    <row r="2" spans="1:6" ht="15.95" customHeight="1">
      <c r="A2" s="300"/>
      <c r="B2" s="233" t="str">
        <f>REVYEAR</f>
        <v>ANALYSIS OF OPERATING FUND REVENUE: 2012/2013 ACTUAL</v>
      </c>
      <c r="C2" s="301"/>
      <c r="D2" s="301"/>
      <c r="E2" s="301"/>
      <c r="F2" s="244" t="s">
        <v>209</v>
      </c>
    </row>
    <row r="3" spans="1:6" ht="15.95" customHeight="1">
      <c r="A3" s="234"/>
      <c r="B3" s="6"/>
      <c r="C3" s="6"/>
      <c r="D3" s="6"/>
      <c r="E3" s="6"/>
      <c r="F3" s="6"/>
    </row>
    <row r="4" spans="1:6" ht="15.95" customHeight="1">
      <c r="B4" s="439" t="str">
        <f>'- 58 -'!B4</f>
        <v>EDUCATION</v>
      </c>
      <c r="C4" s="360"/>
      <c r="D4" s="360"/>
      <c r="E4" s="364"/>
      <c r="F4" s="354"/>
    </row>
    <row r="5" spans="1:6" ht="15.95" customHeight="1">
      <c r="B5" s="440" t="s">
        <v>228</v>
      </c>
      <c r="C5" s="438"/>
      <c r="D5" s="438"/>
      <c r="E5" s="435"/>
      <c r="F5" s="441"/>
    </row>
    <row r="6" spans="1:6" ht="15.95" customHeight="1">
      <c r="B6" s="303" t="s">
        <v>113</v>
      </c>
      <c r="C6" s="47"/>
      <c r="D6" s="47"/>
      <c r="E6" s="189"/>
      <c r="F6" s="189"/>
    </row>
    <row r="7" spans="1:6" ht="15.95" customHeight="1">
      <c r="B7" s="250" t="s">
        <v>83</v>
      </c>
      <c r="C7" s="250" t="s">
        <v>204</v>
      </c>
      <c r="D7" s="250" t="s">
        <v>204</v>
      </c>
      <c r="E7" s="40"/>
      <c r="F7" s="250" t="s">
        <v>68</v>
      </c>
    </row>
    <row r="8" spans="1:6" ht="15.95" customHeight="1">
      <c r="A8" s="75"/>
      <c r="B8" s="304" t="s">
        <v>98</v>
      </c>
      <c r="C8" s="252" t="s">
        <v>447</v>
      </c>
      <c r="D8" s="252" t="s">
        <v>214</v>
      </c>
      <c r="E8" s="252" t="s">
        <v>58</v>
      </c>
      <c r="F8" s="252" t="s">
        <v>132</v>
      </c>
    </row>
    <row r="9" spans="1:6" ht="15.95" customHeight="1">
      <c r="A9" s="42" t="s">
        <v>94</v>
      </c>
      <c r="B9" s="53" t="s">
        <v>213</v>
      </c>
      <c r="C9" s="733" t="s">
        <v>768</v>
      </c>
      <c r="D9" s="94" t="s">
        <v>205</v>
      </c>
      <c r="E9" s="94" t="s">
        <v>9</v>
      </c>
      <c r="F9" s="94" t="s">
        <v>150</v>
      </c>
    </row>
    <row r="10" spans="1:6" ht="5.0999999999999996" customHeight="1">
      <c r="A10" s="5"/>
      <c r="B10" s="6"/>
      <c r="C10" s="6"/>
      <c r="D10" s="6"/>
      <c r="E10" s="6"/>
      <c r="F10" s="6"/>
    </row>
    <row r="11" spans="1:6" ht="14.1" customHeight="1">
      <c r="A11" s="412" t="s">
        <v>236</v>
      </c>
      <c r="B11" s="410">
        <v>4536</v>
      </c>
      <c r="C11" s="410">
        <v>18870</v>
      </c>
      <c r="D11" s="410">
        <v>54945</v>
      </c>
      <c r="E11" s="410">
        <v>300562</v>
      </c>
      <c r="F11" s="410">
        <f>SUM('- 60 -'!$B11:F11,B11:E11)</f>
        <v>1920360</v>
      </c>
    </row>
    <row r="12" spans="1:6" ht="14.1" customHeight="1">
      <c r="A12" s="270" t="s">
        <v>237</v>
      </c>
      <c r="B12" s="171">
        <v>26129</v>
      </c>
      <c r="C12" s="171">
        <v>32317</v>
      </c>
      <c r="D12" s="171">
        <v>83655</v>
      </c>
      <c r="E12" s="171">
        <v>281924</v>
      </c>
      <c r="F12" s="171">
        <f>SUM('- 60 -'!$B12:F12,B12:E12)</f>
        <v>3312925</v>
      </c>
    </row>
    <row r="13" spans="1:6" ht="14.1" customHeight="1">
      <c r="A13" s="412" t="s">
        <v>238</v>
      </c>
      <c r="B13" s="410">
        <v>179379</v>
      </c>
      <c r="C13" s="410">
        <v>134185</v>
      </c>
      <c r="D13" s="410">
        <v>370850</v>
      </c>
      <c r="E13" s="410">
        <v>818451</v>
      </c>
      <c r="F13" s="410">
        <f>SUM('- 60 -'!$B13:F13,B13:E13)</f>
        <v>7497856</v>
      </c>
    </row>
    <row r="14" spans="1:6" ht="14.1" customHeight="1">
      <c r="A14" s="270" t="s">
        <v>656</v>
      </c>
      <c r="B14" s="171">
        <v>1396785</v>
      </c>
      <c r="C14" s="171">
        <v>97234</v>
      </c>
      <c r="D14" s="171">
        <v>239085</v>
      </c>
      <c r="E14" s="171">
        <v>680557</v>
      </c>
      <c r="F14" s="171">
        <f>SUM('- 60 -'!$B14:F14,B14:E14)</f>
        <v>7951689</v>
      </c>
    </row>
    <row r="15" spans="1:6" ht="14.1" customHeight="1">
      <c r="A15" s="412" t="s">
        <v>239</v>
      </c>
      <c r="B15" s="410">
        <v>6251</v>
      </c>
      <c r="C15" s="410">
        <v>18020</v>
      </c>
      <c r="D15" s="410">
        <v>52470</v>
      </c>
      <c r="E15" s="410">
        <v>189903</v>
      </c>
      <c r="F15" s="410">
        <f>SUM('- 60 -'!$B15:F15,B15:E15)</f>
        <v>2375078</v>
      </c>
    </row>
    <row r="16" spans="1:6" ht="14.1" customHeight="1">
      <c r="A16" s="270" t="s">
        <v>240</v>
      </c>
      <c r="B16" s="171">
        <v>20097</v>
      </c>
      <c r="C16" s="171">
        <v>11748</v>
      </c>
      <c r="D16" s="171">
        <v>34155</v>
      </c>
      <c r="E16" s="171">
        <v>640798</v>
      </c>
      <c r="F16" s="171">
        <f>SUM('- 60 -'!$B16:F16,B16:E16)</f>
        <v>1507212</v>
      </c>
    </row>
    <row r="17" spans="1:6" ht="14.1" customHeight="1">
      <c r="A17" s="412" t="s">
        <v>241</v>
      </c>
      <c r="B17" s="410">
        <v>2937</v>
      </c>
      <c r="C17" s="410">
        <v>14515</v>
      </c>
      <c r="D17" s="410">
        <v>40095</v>
      </c>
      <c r="E17" s="410">
        <v>153779</v>
      </c>
      <c r="F17" s="410">
        <f>SUM('- 60 -'!$B17:F17,B17:E17)</f>
        <v>1927687</v>
      </c>
    </row>
    <row r="18" spans="1:6" ht="14.1" customHeight="1">
      <c r="A18" s="270" t="s">
        <v>242</v>
      </c>
      <c r="B18" s="171">
        <v>281</v>
      </c>
      <c r="C18" s="171">
        <v>43107</v>
      </c>
      <c r="D18" s="171">
        <v>178578</v>
      </c>
      <c r="E18" s="171">
        <v>2488011</v>
      </c>
      <c r="F18" s="171">
        <f>SUM('- 60 -'!$B18:F18,B18:E18)</f>
        <v>6876464</v>
      </c>
    </row>
    <row r="19" spans="1:6" ht="14.1" customHeight="1">
      <c r="A19" s="412" t="s">
        <v>243</v>
      </c>
      <c r="B19" s="410">
        <v>4349</v>
      </c>
      <c r="C19" s="410">
        <v>58640</v>
      </c>
      <c r="D19" s="410">
        <v>166320</v>
      </c>
      <c r="E19" s="410">
        <v>247993</v>
      </c>
      <c r="F19" s="410">
        <f>SUM('- 60 -'!$B19:F19,B19:E19)</f>
        <v>4612900</v>
      </c>
    </row>
    <row r="20" spans="1:6" ht="14.1" customHeight="1">
      <c r="A20" s="270" t="s">
        <v>244</v>
      </c>
      <c r="B20" s="171">
        <v>27450</v>
      </c>
      <c r="C20" s="171">
        <v>115332</v>
      </c>
      <c r="D20" s="171">
        <v>290070</v>
      </c>
      <c r="E20" s="171">
        <v>387562</v>
      </c>
      <c r="F20" s="171">
        <f>SUM('- 60 -'!$B20:F20,B20:E20)</f>
        <v>8405688</v>
      </c>
    </row>
    <row r="21" spans="1:6" ht="14.1" customHeight="1">
      <c r="A21" s="412" t="s">
        <v>245</v>
      </c>
      <c r="B21" s="410">
        <v>40636</v>
      </c>
      <c r="C21" s="410">
        <v>33674</v>
      </c>
      <c r="D21" s="410">
        <v>98010</v>
      </c>
      <c r="E21" s="410">
        <v>299144</v>
      </c>
      <c r="F21" s="410">
        <f>SUM('- 60 -'!$B21:F21,B21:E21)</f>
        <v>3527784</v>
      </c>
    </row>
    <row r="22" spans="1:6" ht="14.1" customHeight="1">
      <c r="A22" s="270" t="s">
        <v>246</v>
      </c>
      <c r="B22" s="171">
        <v>43617</v>
      </c>
      <c r="C22" s="171">
        <v>22134</v>
      </c>
      <c r="D22" s="171">
        <v>55440</v>
      </c>
      <c r="E22" s="171">
        <v>982801</v>
      </c>
      <c r="F22" s="171">
        <f>SUM('- 60 -'!$B22:F22,B22:E22)</f>
        <v>2669631</v>
      </c>
    </row>
    <row r="23" spans="1:6" ht="14.1" customHeight="1">
      <c r="A23" s="412" t="s">
        <v>247</v>
      </c>
      <c r="B23" s="410">
        <v>5913</v>
      </c>
      <c r="C23" s="410">
        <v>19638</v>
      </c>
      <c r="D23" s="410">
        <v>45045</v>
      </c>
      <c r="E23" s="410">
        <v>247284</v>
      </c>
      <c r="F23" s="410">
        <f>SUM('- 60 -'!$B23:F23,B23:E23)</f>
        <v>2511119</v>
      </c>
    </row>
    <row r="24" spans="1:6" ht="14.1" customHeight="1">
      <c r="A24" s="270" t="s">
        <v>248</v>
      </c>
      <c r="B24" s="171">
        <v>114264</v>
      </c>
      <c r="C24" s="171">
        <v>52162</v>
      </c>
      <c r="D24" s="171">
        <v>196595</v>
      </c>
      <c r="E24" s="171">
        <v>214742</v>
      </c>
      <c r="F24" s="171">
        <f>SUM('- 60 -'!$B24:F24,B24:E24)</f>
        <v>5961618</v>
      </c>
    </row>
    <row r="25" spans="1:6" ht="14.1" customHeight="1">
      <c r="A25" s="412" t="s">
        <v>249</v>
      </c>
      <c r="B25" s="410">
        <v>1102278</v>
      </c>
      <c r="C25" s="410">
        <v>192036</v>
      </c>
      <c r="D25" s="410">
        <v>484605</v>
      </c>
      <c r="E25" s="410">
        <v>248096</v>
      </c>
      <c r="F25" s="410">
        <f>SUM('- 60 -'!$B25:F25,B25:E25)</f>
        <v>12891706</v>
      </c>
    </row>
    <row r="26" spans="1:6" ht="14.1" customHeight="1">
      <c r="A26" s="270" t="s">
        <v>250</v>
      </c>
      <c r="B26" s="171">
        <v>67526</v>
      </c>
      <c r="C26" s="171">
        <v>42959</v>
      </c>
      <c r="D26" s="171">
        <v>177035</v>
      </c>
      <c r="E26" s="171">
        <v>298664</v>
      </c>
      <c r="F26" s="171">
        <f>SUM('- 60 -'!$B26:F26,B26:E26)</f>
        <v>4027362</v>
      </c>
    </row>
    <row r="27" spans="1:6" ht="14.1" customHeight="1">
      <c r="A27" s="412" t="s">
        <v>251</v>
      </c>
      <c r="B27" s="410">
        <v>70561</v>
      </c>
      <c r="C27" s="410">
        <v>43605</v>
      </c>
      <c r="D27" s="410">
        <v>113895</v>
      </c>
      <c r="E27" s="410">
        <v>1706325</v>
      </c>
      <c r="F27" s="410">
        <f>SUM('- 60 -'!$B27:F27,B27:E27)</f>
        <v>4110265</v>
      </c>
    </row>
    <row r="28" spans="1:6" ht="14.1" customHeight="1">
      <c r="A28" s="270" t="s">
        <v>252</v>
      </c>
      <c r="B28" s="171">
        <v>7765</v>
      </c>
      <c r="C28" s="171">
        <v>15980</v>
      </c>
      <c r="D28" s="171">
        <v>62865</v>
      </c>
      <c r="E28" s="171">
        <v>308544</v>
      </c>
      <c r="F28" s="171">
        <f>SUM('- 60 -'!$B28:F28,B28:E28)</f>
        <v>2482835</v>
      </c>
    </row>
    <row r="29" spans="1:6" ht="14.1" customHeight="1">
      <c r="A29" s="412" t="s">
        <v>253</v>
      </c>
      <c r="B29" s="410">
        <v>606971</v>
      </c>
      <c r="C29" s="410">
        <v>151969</v>
      </c>
      <c r="D29" s="410">
        <v>412335</v>
      </c>
      <c r="E29" s="410">
        <v>190070</v>
      </c>
      <c r="F29" s="410">
        <f>SUM('- 60 -'!$B29:F29,B29:E29)</f>
        <v>10903445</v>
      </c>
    </row>
    <row r="30" spans="1:6" ht="14.1" customHeight="1">
      <c r="A30" s="270" t="s">
        <v>254</v>
      </c>
      <c r="B30" s="171">
        <v>3452</v>
      </c>
      <c r="C30" s="171">
        <v>11449</v>
      </c>
      <c r="D30" s="171">
        <v>31680</v>
      </c>
      <c r="E30" s="171">
        <v>207426</v>
      </c>
      <c r="F30" s="171">
        <f>SUM('- 60 -'!$B30:F30,B30:E30)</f>
        <v>1714615</v>
      </c>
    </row>
    <row r="31" spans="1:6" ht="14.1" customHeight="1">
      <c r="A31" s="412" t="s">
        <v>255</v>
      </c>
      <c r="B31" s="410">
        <v>71887</v>
      </c>
      <c r="C31" s="410">
        <v>44579</v>
      </c>
      <c r="D31" s="410">
        <v>103950</v>
      </c>
      <c r="E31" s="410">
        <v>143831</v>
      </c>
      <c r="F31" s="410">
        <f>SUM('- 60 -'!$B31:F31,B31:E31)</f>
        <v>3438074</v>
      </c>
    </row>
    <row r="32" spans="1:6" ht="14.1" customHeight="1">
      <c r="A32" s="270" t="s">
        <v>256</v>
      </c>
      <c r="B32" s="171">
        <v>40906</v>
      </c>
      <c r="C32" s="171">
        <v>31394</v>
      </c>
      <c r="D32" s="171">
        <v>88605</v>
      </c>
      <c r="E32" s="171">
        <v>258210</v>
      </c>
      <c r="F32" s="171">
        <f>SUM('- 60 -'!$B32:F32,B32:E32)</f>
        <v>2846731</v>
      </c>
    </row>
    <row r="33" spans="1:6" ht="14.1" customHeight="1">
      <c r="A33" s="412" t="s">
        <v>257</v>
      </c>
      <c r="B33" s="410">
        <v>23266</v>
      </c>
      <c r="C33" s="410">
        <v>28971</v>
      </c>
      <c r="D33" s="410">
        <v>81180</v>
      </c>
      <c r="E33" s="410">
        <v>525433</v>
      </c>
      <c r="F33" s="410">
        <f>SUM('- 60 -'!$B33:F33,B33:E33)</f>
        <v>3085498</v>
      </c>
    </row>
    <row r="34" spans="1:6" ht="14.1" customHeight="1">
      <c r="A34" s="270" t="s">
        <v>258</v>
      </c>
      <c r="B34" s="171">
        <v>76902</v>
      </c>
      <c r="C34" s="171">
        <v>25132</v>
      </c>
      <c r="D34" s="171">
        <v>61875</v>
      </c>
      <c r="E34" s="171">
        <v>267683</v>
      </c>
      <c r="F34" s="171">
        <f>SUM('- 60 -'!$B34:F34,B34:E34)</f>
        <v>3143756</v>
      </c>
    </row>
    <row r="35" spans="1:6" ht="14.1" customHeight="1">
      <c r="A35" s="412" t="s">
        <v>259</v>
      </c>
      <c r="B35" s="410">
        <v>709195</v>
      </c>
      <c r="C35" s="410">
        <v>199640</v>
      </c>
      <c r="D35" s="410">
        <v>660010</v>
      </c>
      <c r="E35" s="410">
        <v>520946</v>
      </c>
      <c r="F35" s="410">
        <f>SUM('- 60 -'!$B35:F35,B35:E35)</f>
        <v>14688876</v>
      </c>
    </row>
    <row r="36" spans="1:6" ht="14.1" customHeight="1">
      <c r="A36" s="270" t="s">
        <v>260</v>
      </c>
      <c r="B36" s="171">
        <v>3816</v>
      </c>
      <c r="C36" s="171">
        <v>16851</v>
      </c>
      <c r="D36" s="171">
        <v>48015</v>
      </c>
      <c r="E36" s="171">
        <v>442525</v>
      </c>
      <c r="F36" s="171">
        <f>SUM('- 60 -'!$B36:F36,B36:E36)</f>
        <v>2351023</v>
      </c>
    </row>
    <row r="37" spans="1:6" ht="14.1" customHeight="1">
      <c r="A37" s="412" t="s">
        <v>261</v>
      </c>
      <c r="B37" s="410">
        <v>298723</v>
      </c>
      <c r="C37" s="410">
        <v>54790</v>
      </c>
      <c r="D37" s="410">
        <v>145035</v>
      </c>
      <c r="E37" s="410">
        <v>196646</v>
      </c>
      <c r="F37" s="410">
        <f>SUM('- 60 -'!$B37:F37,B37:E37)</f>
        <v>5282543</v>
      </c>
    </row>
    <row r="38" spans="1:6" ht="14.1" customHeight="1">
      <c r="A38" s="270" t="s">
        <v>262</v>
      </c>
      <c r="B38" s="171">
        <v>380790</v>
      </c>
      <c r="C38" s="171">
        <v>136032</v>
      </c>
      <c r="D38" s="171">
        <v>350955</v>
      </c>
      <c r="E38" s="171">
        <v>680658</v>
      </c>
      <c r="F38" s="171">
        <f>SUM('- 60 -'!$B38:F38,B38:E38)</f>
        <v>10884888</v>
      </c>
    </row>
    <row r="39" spans="1:6" ht="14.1" customHeight="1">
      <c r="A39" s="412" t="s">
        <v>263</v>
      </c>
      <c r="B39" s="410">
        <v>3438</v>
      </c>
      <c r="C39" s="410">
        <v>19040</v>
      </c>
      <c r="D39" s="410">
        <v>55440</v>
      </c>
      <c r="E39" s="410">
        <v>285684</v>
      </c>
      <c r="F39" s="410">
        <f>SUM('- 60 -'!$B39:F39,B39:E39)</f>
        <v>2278768</v>
      </c>
    </row>
    <row r="40" spans="1:6" ht="14.1" customHeight="1">
      <c r="A40" s="270" t="s">
        <v>264</v>
      </c>
      <c r="B40" s="171">
        <v>315027</v>
      </c>
      <c r="C40" s="171">
        <v>101682</v>
      </c>
      <c r="D40" s="171">
        <v>386770</v>
      </c>
      <c r="E40" s="171">
        <v>116925</v>
      </c>
      <c r="F40" s="171">
        <f>SUM('- 60 -'!$B40:F40,B40:E40)</f>
        <v>7649153</v>
      </c>
    </row>
    <row r="41" spans="1:6" ht="14.1" customHeight="1">
      <c r="A41" s="412" t="s">
        <v>265</v>
      </c>
      <c r="B41" s="410">
        <v>158187</v>
      </c>
      <c r="C41" s="410">
        <v>58000</v>
      </c>
      <c r="D41" s="410">
        <v>159390</v>
      </c>
      <c r="E41" s="410">
        <v>364977</v>
      </c>
      <c r="F41" s="410">
        <f>SUM('- 60 -'!$B41:F41,B41:E41)</f>
        <v>6828374</v>
      </c>
    </row>
    <row r="42" spans="1:6" ht="14.1" customHeight="1">
      <c r="A42" s="270" t="s">
        <v>266</v>
      </c>
      <c r="B42" s="171">
        <v>24228</v>
      </c>
      <c r="C42" s="171">
        <v>18374</v>
      </c>
      <c r="D42" s="171">
        <v>51975</v>
      </c>
      <c r="E42" s="171">
        <v>282169</v>
      </c>
      <c r="F42" s="171">
        <f>SUM('- 60 -'!$B42:F42,B42:E42)</f>
        <v>2802170</v>
      </c>
    </row>
    <row r="43" spans="1:6" ht="14.1" customHeight="1">
      <c r="A43" s="412" t="s">
        <v>267</v>
      </c>
      <c r="B43" s="410">
        <v>2005</v>
      </c>
      <c r="C43" s="410">
        <v>13744</v>
      </c>
      <c r="D43" s="410">
        <v>39105</v>
      </c>
      <c r="E43" s="410">
        <v>101097</v>
      </c>
      <c r="F43" s="410">
        <f>SUM('- 60 -'!$B43:F43,B43:E43)</f>
        <v>1359612</v>
      </c>
    </row>
    <row r="44" spans="1:6" ht="14.1" customHeight="1">
      <c r="A44" s="270" t="s">
        <v>268</v>
      </c>
      <c r="B44" s="171">
        <v>12347</v>
      </c>
      <c r="C44" s="171">
        <v>10622</v>
      </c>
      <c r="D44" s="171">
        <v>29205</v>
      </c>
      <c r="E44" s="171">
        <v>170167</v>
      </c>
      <c r="F44" s="171">
        <f>SUM('- 60 -'!$B44:F44,B44:E44)</f>
        <v>1744951</v>
      </c>
    </row>
    <row r="45" spans="1:6" ht="14.1" customHeight="1">
      <c r="A45" s="412" t="s">
        <v>269</v>
      </c>
      <c r="B45" s="410">
        <v>48625</v>
      </c>
      <c r="C45" s="410">
        <v>24804</v>
      </c>
      <c r="D45" s="410">
        <v>68310</v>
      </c>
      <c r="E45" s="410">
        <v>23840</v>
      </c>
      <c r="F45" s="410">
        <f>SUM('- 60 -'!$B45:F45,B45:E45)</f>
        <v>1675078</v>
      </c>
    </row>
    <row r="46" spans="1:6" ht="14.1" customHeight="1">
      <c r="A46" s="270" t="s">
        <v>270</v>
      </c>
      <c r="B46" s="171">
        <v>850052</v>
      </c>
      <c r="C46" s="171">
        <v>475355</v>
      </c>
      <c r="D46" s="171">
        <v>1795248</v>
      </c>
      <c r="E46" s="171">
        <v>457911</v>
      </c>
      <c r="F46" s="171">
        <f>SUM('- 60 -'!$B46:F46,B46:E46)</f>
        <v>28741823</v>
      </c>
    </row>
    <row r="47" spans="1:6" ht="5.0999999999999996" customHeight="1">
      <c r="A47" s="148"/>
      <c r="B47" s="172"/>
      <c r="C47" s="172"/>
      <c r="D47" s="172"/>
      <c r="E47" s="172"/>
      <c r="F47" s="172"/>
    </row>
    <row r="48" spans="1:6" ht="14.1" customHeight="1">
      <c r="A48" s="413" t="s">
        <v>271</v>
      </c>
      <c r="B48" s="414">
        <f>SUM(B11:B46)</f>
        <v>6750571</v>
      </c>
      <c r="C48" s="414">
        <f>SUM(C11:C46)</f>
        <v>2388584</v>
      </c>
      <c r="D48" s="414">
        <f>SUM(D11:D46)</f>
        <v>7312796</v>
      </c>
      <c r="E48" s="414">
        <f>SUM(E11:E46)</f>
        <v>15731338</v>
      </c>
      <c r="F48" s="414">
        <f>SUM(F11:F46)</f>
        <v>195989557</v>
      </c>
    </row>
    <row r="49" spans="1:6" ht="5.0999999999999996" customHeight="1">
      <c r="A49" s="148" t="s">
        <v>17</v>
      </c>
      <c r="B49" s="172"/>
      <c r="C49" s="172"/>
      <c r="D49" s="172"/>
      <c r="E49" s="172"/>
      <c r="F49" s="172"/>
    </row>
    <row r="50" spans="1:6" ht="14.1" customHeight="1">
      <c r="A50" s="270" t="s">
        <v>272</v>
      </c>
      <c r="B50" s="171">
        <v>631</v>
      </c>
      <c r="C50" s="171">
        <v>6312</v>
      </c>
      <c r="D50" s="171">
        <v>3465</v>
      </c>
      <c r="E50" s="171">
        <v>40560</v>
      </c>
      <c r="F50" s="171">
        <f>SUM('- 60 -'!$B50:F50,B50:E50)</f>
        <v>200198</v>
      </c>
    </row>
    <row r="51" spans="1:6" ht="14.1" customHeight="1">
      <c r="A51" s="412" t="s">
        <v>273</v>
      </c>
      <c r="B51" s="410">
        <v>0</v>
      </c>
      <c r="C51" s="410">
        <v>0</v>
      </c>
      <c r="D51" s="410">
        <v>0</v>
      </c>
      <c r="E51" s="410">
        <v>0</v>
      </c>
      <c r="F51" s="410">
        <f>SUM('- 60 -'!$B51:F51,B51:E51)</f>
        <v>0</v>
      </c>
    </row>
    <row r="52" spans="1:6" ht="50.1" customHeight="1">
      <c r="A52" s="30"/>
      <c r="B52" s="30"/>
      <c r="C52" s="30"/>
      <c r="D52" s="30"/>
      <c r="E52" s="30"/>
      <c r="F52" s="30"/>
    </row>
    <row r="53" spans="1:6" ht="15" customHeight="1">
      <c r="A53" s="151" t="s">
        <v>769</v>
      </c>
      <c r="E53" s="45"/>
      <c r="F53" s="45"/>
    </row>
  </sheetData>
  <phoneticPr fontId="6" type="noConversion"/>
  <pageMargins left="0.5" right="0.5" top="0.6" bottom="0.2" header="0.3" footer="0.5"/>
  <pageSetup scale="91" orientation="portrait" r:id="rId1"/>
  <headerFooter alignWithMargins="0">
    <oddHeader>&amp;C&amp;"Arial,Regular"&amp;11&amp;A</oddHeader>
  </headerFooter>
</worksheet>
</file>

<file path=xl/worksheets/sheet56.xml><?xml version="1.0" encoding="utf-8"?>
<worksheet xmlns="http://schemas.openxmlformats.org/spreadsheetml/2006/main" xmlns:r="http://schemas.openxmlformats.org/officeDocument/2006/relationships">
  <sheetPr codeName="Sheet48">
    <pageSetUpPr fitToPage="1"/>
  </sheetPr>
  <dimension ref="A1:F59"/>
  <sheetViews>
    <sheetView showGridLines="0" showZeros="0" workbookViewId="0"/>
  </sheetViews>
  <sheetFormatPr defaultColWidth="23.83203125" defaultRowHeight="12"/>
  <cols>
    <col min="1" max="1" width="30.1640625" style="1" customWidth="1"/>
    <col min="2" max="2" width="18" style="1" customWidth="1"/>
    <col min="3" max="3" width="18.6640625" style="1" customWidth="1"/>
    <col min="4" max="4" width="18.33203125" style="1" customWidth="1"/>
    <col min="5" max="5" width="18" style="1" customWidth="1"/>
    <col min="6" max="6" width="21.6640625" style="1" customWidth="1"/>
    <col min="7" max="16384" width="23.83203125" style="1"/>
  </cols>
  <sheetData>
    <row r="1" spans="1:6" ht="6.95" customHeight="1">
      <c r="A1" s="6"/>
      <c r="B1" s="6"/>
      <c r="C1" s="6"/>
      <c r="D1" s="6"/>
      <c r="E1" s="6"/>
      <c r="F1" s="6"/>
    </row>
    <row r="2" spans="1:6" ht="15.95" customHeight="1">
      <c r="A2" s="300"/>
      <c r="B2" s="233" t="str">
        <f>REVYEAR</f>
        <v>ANALYSIS OF OPERATING FUND REVENUE: 2012/2013 ACTUAL</v>
      </c>
      <c r="C2" s="233"/>
      <c r="D2" s="233"/>
      <c r="E2" s="301"/>
      <c r="F2" s="244" t="s">
        <v>210</v>
      </c>
    </row>
    <row r="3" spans="1:6" ht="15.95" customHeight="1">
      <c r="A3" s="234"/>
      <c r="B3" s="302"/>
      <c r="C3" s="302"/>
      <c r="D3" s="302"/>
      <c r="E3" s="302"/>
      <c r="F3" s="302"/>
    </row>
    <row r="4" spans="1:6" ht="15.95" customHeight="1"/>
    <row r="5" spans="1:6" ht="15.95" customHeight="1">
      <c r="B5" s="439" t="str">
        <f>'- 58 -'!B4</f>
        <v>EDUCATION</v>
      </c>
      <c r="C5" s="442"/>
      <c r="D5" s="442"/>
      <c r="E5" s="364"/>
      <c r="F5" s="354"/>
    </row>
    <row r="6" spans="1:6" ht="15.95" customHeight="1">
      <c r="B6" s="440" t="s">
        <v>228</v>
      </c>
      <c r="C6" s="443"/>
      <c r="D6" s="443"/>
      <c r="E6" s="435"/>
      <c r="F6" s="441"/>
    </row>
    <row r="7" spans="1:6" ht="15.95" customHeight="1">
      <c r="B7" s="250"/>
      <c r="C7" s="250" t="s">
        <v>425</v>
      </c>
      <c r="D7" s="250"/>
      <c r="E7" s="250" t="s">
        <v>58</v>
      </c>
      <c r="F7" s="249" t="s">
        <v>230</v>
      </c>
    </row>
    <row r="8" spans="1:6" ht="15.95" customHeight="1">
      <c r="A8" s="40"/>
      <c r="B8" s="252" t="s">
        <v>235</v>
      </c>
      <c r="C8" s="252" t="s">
        <v>235</v>
      </c>
      <c r="D8" s="252" t="s">
        <v>549</v>
      </c>
      <c r="E8" s="252" t="s">
        <v>133</v>
      </c>
      <c r="F8" s="251" t="s">
        <v>231</v>
      </c>
    </row>
    <row r="9" spans="1:6" ht="15.95" customHeight="1">
      <c r="A9" s="93" t="s">
        <v>94</v>
      </c>
      <c r="B9" s="94" t="s">
        <v>426</v>
      </c>
      <c r="C9" s="94" t="s">
        <v>427</v>
      </c>
      <c r="D9" s="94" t="s">
        <v>726</v>
      </c>
      <c r="E9" s="94" t="s">
        <v>727</v>
      </c>
      <c r="F9" s="88" t="s">
        <v>728</v>
      </c>
    </row>
    <row r="10" spans="1:6" ht="5.0999999999999996" customHeight="1">
      <c r="A10" s="5"/>
      <c r="B10" s="6"/>
      <c r="C10" s="6"/>
      <c r="D10" s="6"/>
      <c r="E10" s="6"/>
      <c r="F10" s="6"/>
    </row>
    <row r="11" spans="1:6" ht="14.1" customHeight="1">
      <c r="A11" s="412" t="s">
        <v>236</v>
      </c>
      <c r="B11" s="410">
        <v>1209015</v>
      </c>
      <c r="C11" s="410">
        <v>0</v>
      </c>
      <c r="D11" s="410">
        <v>0</v>
      </c>
      <c r="E11" s="410">
        <v>89420</v>
      </c>
      <c r="F11" s="410">
        <v>8052479</v>
      </c>
    </row>
    <row r="12" spans="1:6" ht="14.1" customHeight="1">
      <c r="A12" s="270" t="s">
        <v>237</v>
      </c>
      <c r="B12" s="171">
        <v>3967157</v>
      </c>
      <c r="C12" s="171">
        <v>1575</v>
      </c>
      <c r="D12" s="171">
        <v>0</v>
      </c>
      <c r="E12" s="171">
        <v>213117</v>
      </c>
      <c r="F12" s="171">
        <v>14812143</v>
      </c>
    </row>
    <row r="13" spans="1:6" ht="14.1" customHeight="1">
      <c r="A13" s="412" t="s">
        <v>238</v>
      </c>
      <c r="B13" s="410">
        <v>8544855</v>
      </c>
      <c r="C13" s="410">
        <v>0</v>
      </c>
      <c r="D13" s="410">
        <v>0</v>
      </c>
      <c r="E13" s="410">
        <v>313358</v>
      </c>
      <c r="F13" s="410">
        <v>39219907</v>
      </c>
    </row>
    <row r="14" spans="1:6" ht="14.1" customHeight="1">
      <c r="A14" s="270" t="s">
        <v>656</v>
      </c>
      <c r="B14" s="171">
        <v>6730247</v>
      </c>
      <c r="C14" s="171">
        <v>0</v>
      </c>
      <c r="D14" s="171">
        <v>0</v>
      </c>
      <c r="E14" s="171">
        <v>226205</v>
      </c>
      <c r="F14" s="171">
        <v>30589993</v>
      </c>
    </row>
    <row r="15" spans="1:6" ht="14.1" customHeight="1">
      <c r="A15" s="412" t="s">
        <v>239</v>
      </c>
      <c r="B15" s="410">
        <v>0</v>
      </c>
      <c r="C15" s="410">
        <v>0</v>
      </c>
      <c r="D15" s="410">
        <v>781202</v>
      </c>
      <c r="E15" s="410">
        <v>84020</v>
      </c>
      <c r="F15" s="410">
        <v>8262619</v>
      </c>
    </row>
    <row r="16" spans="1:6" ht="14.1" customHeight="1">
      <c r="A16" s="270" t="s">
        <v>240</v>
      </c>
      <c r="B16" s="171">
        <v>2821698</v>
      </c>
      <c r="C16" s="171">
        <v>208582</v>
      </c>
      <c r="D16" s="171">
        <v>0</v>
      </c>
      <c r="E16" s="171">
        <v>54660</v>
      </c>
      <c r="F16" s="171">
        <v>7744396</v>
      </c>
    </row>
    <row r="17" spans="1:6" ht="14.1" customHeight="1">
      <c r="A17" s="412" t="s">
        <v>241</v>
      </c>
      <c r="B17" s="410">
        <v>0</v>
      </c>
      <c r="C17" s="410">
        <v>0</v>
      </c>
      <c r="D17" s="410">
        <v>946865</v>
      </c>
      <c r="E17" s="410">
        <v>101240</v>
      </c>
      <c r="F17" s="410">
        <v>7433766</v>
      </c>
    </row>
    <row r="18" spans="1:6" ht="14.1" customHeight="1">
      <c r="A18" s="270" t="s">
        <v>242</v>
      </c>
      <c r="B18" s="171">
        <v>11501727</v>
      </c>
      <c r="C18" s="171">
        <v>4758592</v>
      </c>
      <c r="D18" s="171">
        <v>0</v>
      </c>
      <c r="E18" s="171">
        <v>437455</v>
      </c>
      <c r="F18" s="171">
        <v>35743438</v>
      </c>
    </row>
    <row r="19" spans="1:6" ht="14.1" customHeight="1">
      <c r="A19" s="412" t="s">
        <v>243</v>
      </c>
      <c r="B19" s="410">
        <v>6978558</v>
      </c>
      <c r="C19" s="410">
        <v>0</v>
      </c>
      <c r="D19" s="410">
        <v>0</v>
      </c>
      <c r="E19" s="410">
        <v>107400</v>
      </c>
      <c r="F19" s="410">
        <v>24056236</v>
      </c>
    </row>
    <row r="20" spans="1:6" ht="14.1" customHeight="1">
      <c r="A20" s="270" t="s">
        <v>244</v>
      </c>
      <c r="B20" s="171">
        <v>11406381</v>
      </c>
      <c r="C20" s="171">
        <v>0</v>
      </c>
      <c r="D20" s="171">
        <v>0</v>
      </c>
      <c r="E20" s="171">
        <v>261198</v>
      </c>
      <c r="F20" s="171">
        <v>41688243</v>
      </c>
    </row>
    <row r="21" spans="1:6" ht="14.1" customHeight="1">
      <c r="A21" s="412" t="s">
        <v>245</v>
      </c>
      <c r="B21" s="410">
        <v>3202696</v>
      </c>
      <c r="C21" s="410">
        <v>0</v>
      </c>
      <c r="D21" s="410">
        <v>818377</v>
      </c>
      <c r="E21" s="410">
        <v>158520</v>
      </c>
      <c r="F21" s="410">
        <v>17136538</v>
      </c>
    </row>
    <row r="22" spans="1:6" ht="14.1" customHeight="1">
      <c r="A22" s="270" t="s">
        <v>246</v>
      </c>
      <c r="B22" s="171">
        <v>3857625</v>
      </c>
      <c r="C22" s="171">
        <v>970692</v>
      </c>
      <c r="D22" s="171">
        <v>0</v>
      </c>
      <c r="E22" s="171">
        <v>132046</v>
      </c>
      <c r="F22" s="171">
        <v>12760237</v>
      </c>
    </row>
    <row r="23" spans="1:6" ht="14.1" customHeight="1">
      <c r="A23" s="412" t="s">
        <v>247</v>
      </c>
      <c r="B23" s="410">
        <v>2254118</v>
      </c>
      <c r="C23" s="410">
        <v>419953</v>
      </c>
      <c r="D23" s="410">
        <v>0</v>
      </c>
      <c r="E23" s="410">
        <v>98100</v>
      </c>
      <c r="F23" s="410">
        <v>9305420</v>
      </c>
    </row>
    <row r="24" spans="1:6" ht="14.1" customHeight="1">
      <c r="A24" s="270" t="s">
        <v>248</v>
      </c>
      <c r="B24" s="171">
        <v>2781753</v>
      </c>
      <c r="C24" s="171">
        <v>0</v>
      </c>
      <c r="D24" s="171">
        <v>1525606</v>
      </c>
      <c r="E24" s="171">
        <v>233840</v>
      </c>
      <c r="F24" s="171">
        <v>23985952</v>
      </c>
    </row>
    <row r="25" spans="1:6" ht="14.1" customHeight="1">
      <c r="A25" s="412" t="s">
        <v>249</v>
      </c>
      <c r="B25" s="410">
        <v>7578016</v>
      </c>
      <c r="C25" s="410">
        <v>0</v>
      </c>
      <c r="D25" s="410">
        <v>8252817</v>
      </c>
      <c r="E25" s="410">
        <v>575075</v>
      </c>
      <c r="F25" s="410">
        <v>71454490</v>
      </c>
    </row>
    <row r="26" spans="1:6" ht="14.1" customHeight="1">
      <c r="A26" s="270" t="s">
        <v>250</v>
      </c>
      <c r="B26" s="171">
        <v>5326325</v>
      </c>
      <c r="C26" s="171">
        <v>719357</v>
      </c>
      <c r="D26" s="171">
        <v>0</v>
      </c>
      <c r="E26" s="171">
        <v>302960</v>
      </c>
      <c r="F26" s="171">
        <v>21041422</v>
      </c>
    </row>
    <row r="27" spans="1:6" ht="14.1" customHeight="1">
      <c r="A27" s="412" t="s">
        <v>251</v>
      </c>
      <c r="B27" s="410">
        <v>9377148</v>
      </c>
      <c r="C27" s="410">
        <v>3841201</v>
      </c>
      <c r="D27" s="410">
        <v>534015</v>
      </c>
      <c r="E27" s="410">
        <v>128300</v>
      </c>
      <c r="F27" s="410">
        <v>26621893</v>
      </c>
    </row>
    <row r="28" spans="1:6" ht="14.1" customHeight="1">
      <c r="A28" s="270" t="s">
        <v>252</v>
      </c>
      <c r="B28" s="171">
        <v>1648362</v>
      </c>
      <c r="C28" s="171">
        <v>0</v>
      </c>
      <c r="D28" s="171">
        <v>428552</v>
      </c>
      <c r="E28" s="171">
        <v>196580</v>
      </c>
      <c r="F28" s="171">
        <v>10778551</v>
      </c>
    </row>
    <row r="29" spans="1:6" ht="14.1" customHeight="1">
      <c r="A29" s="412" t="s">
        <v>253</v>
      </c>
      <c r="B29" s="410">
        <v>0</v>
      </c>
      <c r="C29" s="410">
        <v>0</v>
      </c>
      <c r="D29" s="410">
        <v>6238247</v>
      </c>
      <c r="E29" s="410">
        <v>431439</v>
      </c>
      <c r="F29" s="410">
        <v>54044628</v>
      </c>
    </row>
    <row r="30" spans="1:6" ht="14.1" customHeight="1">
      <c r="A30" s="270" t="s">
        <v>254</v>
      </c>
      <c r="B30" s="171">
        <v>1543748</v>
      </c>
      <c r="C30" s="171">
        <v>0</v>
      </c>
      <c r="D30" s="171">
        <v>176310</v>
      </c>
      <c r="E30" s="171">
        <v>108017</v>
      </c>
      <c r="F30" s="171">
        <v>7570225</v>
      </c>
    </row>
    <row r="31" spans="1:6" ht="14.1" customHeight="1">
      <c r="A31" s="412" t="s">
        <v>255</v>
      </c>
      <c r="B31" s="410">
        <v>3635685</v>
      </c>
      <c r="C31" s="410">
        <v>0</v>
      </c>
      <c r="D31" s="410">
        <v>0</v>
      </c>
      <c r="E31" s="410">
        <v>179229</v>
      </c>
      <c r="F31" s="410">
        <v>17310416</v>
      </c>
    </row>
    <row r="32" spans="1:6" ht="14.1" customHeight="1">
      <c r="A32" s="270" t="s">
        <v>256</v>
      </c>
      <c r="B32" s="171">
        <v>1526293</v>
      </c>
      <c r="C32" s="171">
        <v>0</v>
      </c>
      <c r="D32" s="171">
        <v>350676</v>
      </c>
      <c r="E32" s="171">
        <v>175280</v>
      </c>
      <c r="F32" s="171">
        <v>12249956</v>
      </c>
    </row>
    <row r="33" spans="1:6" ht="14.1" customHeight="1">
      <c r="A33" s="412" t="s">
        <v>257</v>
      </c>
      <c r="B33" s="410">
        <v>2011418</v>
      </c>
      <c r="C33" s="410">
        <v>0</v>
      </c>
      <c r="D33" s="410">
        <v>1021181</v>
      </c>
      <c r="E33" s="410">
        <v>191900</v>
      </c>
      <c r="F33" s="410">
        <v>14145601</v>
      </c>
    </row>
    <row r="34" spans="1:6" ht="14.1" customHeight="1">
      <c r="A34" s="270" t="s">
        <v>258</v>
      </c>
      <c r="B34" s="171">
        <v>1579939</v>
      </c>
      <c r="C34" s="171">
        <v>0</v>
      </c>
      <c r="D34" s="171">
        <v>0</v>
      </c>
      <c r="E34" s="171">
        <v>182972</v>
      </c>
      <c r="F34" s="171">
        <v>11953805</v>
      </c>
    </row>
    <row r="35" spans="1:6" ht="14.1" customHeight="1">
      <c r="A35" s="412" t="s">
        <v>259</v>
      </c>
      <c r="B35" s="410">
        <v>15743774</v>
      </c>
      <c r="C35" s="410">
        <v>3036165</v>
      </c>
      <c r="D35" s="410">
        <v>7523624</v>
      </c>
      <c r="E35" s="410">
        <v>684873</v>
      </c>
      <c r="F35" s="410">
        <v>89445665</v>
      </c>
    </row>
    <row r="36" spans="1:6" ht="14.1" customHeight="1">
      <c r="A36" s="270" t="s">
        <v>260</v>
      </c>
      <c r="B36" s="171">
        <v>1063244</v>
      </c>
      <c r="C36" s="171">
        <v>0</v>
      </c>
      <c r="D36" s="171">
        <v>878479</v>
      </c>
      <c r="E36" s="171">
        <v>131820</v>
      </c>
      <c r="F36" s="171">
        <v>10178909</v>
      </c>
    </row>
    <row r="37" spans="1:6" ht="14.1" customHeight="1">
      <c r="A37" s="412" t="s">
        <v>261</v>
      </c>
      <c r="B37" s="410">
        <v>5678779</v>
      </c>
      <c r="C37" s="410">
        <v>0</v>
      </c>
      <c r="D37" s="410">
        <v>0</v>
      </c>
      <c r="E37" s="410">
        <v>146940</v>
      </c>
      <c r="F37" s="410">
        <v>22849804</v>
      </c>
    </row>
    <row r="38" spans="1:6" ht="14.1" customHeight="1">
      <c r="A38" s="270" t="s">
        <v>262</v>
      </c>
      <c r="B38" s="171">
        <v>15451026</v>
      </c>
      <c r="C38" s="171">
        <v>4111702</v>
      </c>
      <c r="D38" s="171">
        <v>0</v>
      </c>
      <c r="E38" s="171">
        <v>308440</v>
      </c>
      <c r="F38" s="171">
        <v>60573576</v>
      </c>
    </row>
    <row r="39" spans="1:6" ht="14.1" customHeight="1">
      <c r="A39" s="412" t="s">
        <v>263</v>
      </c>
      <c r="B39" s="410">
        <v>458381</v>
      </c>
      <c r="C39" s="410">
        <v>0</v>
      </c>
      <c r="D39" s="410">
        <v>620004</v>
      </c>
      <c r="E39" s="410">
        <v>121640</v>
      </c>
      <c r="F39" s="410">
        <v>9172415</v>
      </c>
    </row>
    <row r="40" spans="1:6" ht="14.1" customHeight="1">
      <c r="A40" s="270" t="s">
        <v>264</v>
      </c>
      <c r="B40" s="171">
        <v>0</v>
      </c>
      <c r="C40" s="171">
        <v>0</v>
      </c>
      <c r="D40" s="171">
        <v>5273358</v>
      </c>
      <c r="E40" s="171">
        <v>463080</v>
      </c>
      <c r="F40" s="171">
        <v>38817115</v>
      </c>
    </row>
    <row r="41" spans="1:6" ht="14.1" customHeight="1">
      <c r="A41" s="412" t="s">
        <v>265</v>
      </c>
      <c r="B41" s="410">
        <v>2753279</v>
      </c>
      <c r="C41" s="410">
        <v>0</v>
      </c>
      <c r="D41" s="410">
        <v>1378209</v>
      </c>
      <c r="E41" s="410">
        <v>216620</v>
      </c>
      <c r="F41" s="410">
        <v>25659828</v>
      </c>
    </row>
    <row r="42" spans="1:6" ht="14.1" customHeight="1">
      <c r="A42" s="270" t="s">
        <v>266</v>
      </c>
      <c r="B42" s="171">
        <v>3113381</v>
      </c>
      <c r="C42" s="171">
        <v>557431</v>
      </c>
      <c r="D42" s="171">
        <v>0</v>
      </c>
      <c r="E42" s="171">
        <v>184620</v>
      </c>
      <c r="F42" s="171">
        <v>11803353</v>
      </c>
    </row>
    <row r="43" spans="1:6" ht="14.1" customHeight="1">
      <c r="A43" s="412" t="s">
        <v>267</v>
      </c>
      <c r="B43" s="410">
        <v>729358</v>
      </c>
      <c r="C43" s="410">
        <v>0</v>
      </c>
      <c r="D43" s="410">
        <v>479197</v>
      </c>
      <c r="E43" s="410">
        <v>66512</v>
      </c>
      <c r="F43" s="410">
        <v>6041240</v>
      </c>
    </row>
    <row r="44" spans="1:6" ht="14.1" customHeight="1">
      <c r="A44" s="270" t="s">
        <v>268</v>
      </c>
      <c r="B44" s="171">
        <v>1944480</v>
      </c>
      <c r="C44" s="171">
        <v>434059</v>
      </c>
      <c r="D44" s="171">
        <v>0</v>
      </c>
      <c r="E44" s="171">
        <v>69510</v>
      </c>
      <c r="F44" s="171">
        <v>7120085</v>
      </c>
    </row>
    <row r="45" spans="1:6" ht="14.1" customHeight="1">
      <c r="A45" s="412" t="s">
        <v>269</v>
      </c>
      <c r="B45" s="410">
        <v>2311525</v>
      </c>
      <c r="C45" s="410">
        <v>0</v>
      </c>
      <c r="D45" s="410">
        <v>0</v>
      </c>
      <c r="E45" s="410">
        <v>65824</v>
      </c>
      <c r="F45" s="410">
        <v>8901104</v>
      </c>
    </row>
    <row r="46" spans="1:6" ht="14.1" customHeight="1">
      <c r="A46" s="270" t="s">
        <v>270</v>
      </c>
      <c r="B46" s="171">
        <v>32530157</v>
      </c>
      <c r="C46" s="171">
        <v>4863665</v>
      </c>
      <c r="D46" s="171">
        <v>8005358</v>
      </c>
      <c r="E46" s="171">
        <v>1390753</v>
      </c>
      <c r="F46" s="171">
        <v>175522204</v>
      </c>
    </row>
    <row r="47" spans="1:6" ht="5.0999999999999996" customHeight="1">
      <c r="A47" s="148"/>
      <c r="B47" s="172"/>
      <c r="C47" s="172"/>
      <c r="D47" s="172"/>
      <c r="E47" s="172"/>
      <c r="F47" s="172"/>
    </row>
    <row r="48" spans="1:6" ht="14.1" customHeight="1">
      <c r="A48" s="413" t="s">
        <v>271</v>
      </c>
      <c r="B48" s="414">
        <f>SUM(B11:B46)</f>
        <v>181260148</v>
      </c>
      <c r="C48" s="414">
        <f>SUM(C11:C46)</f>
        <v>23922974</v>
      </c>
      <c r="D48" s="414">
        <f>SUM(D11:D46)</f>
        <v>45232077</v>
      </c>
      <c r="E48" s="414">
        <f>SUM(E11:E46)</f>
        <v>8832963</v>
      </c>
      <c r="F48" s="414">
        <f>SUM(F11:F46)</f>
        <v>994047652</v>
      </c>
    </row>
    <row r="49" spans="1:6" ht="5.0999999999999996" customHeight="1">
      <c r="A49" s="148" t="s">
        <v>17</v>
      </c>
      <c r="B49" s="172"/>
      <c r="C49" s="172"/>
      <c r="D49" s="172"/>
      <c r="E49" s="172"/>
      <c r="F49" s="172"/>
    </row>
    <row r="50" spans="1:6" ht="14.1" customHeight="1">
      <c r="A50" s="270" t="s">
        <v>272</v>
      </c>
      <c r="B50" s="171">
        <v>0</v>
      </c>
      <c r="C50" s="171">
        <v>0</v>
      </c>
      <c r="D50" s="171">
        <v>113196</v>
      </c>
      <c r="E50" s="171">
        <v>0</v>
      </c>
      <c r="F50" s="171">
        <v>931141</v>
      </c>
    </row>
    <row r="51" spans="1:6" ht="14.1" customHeight="1">
      <c r="A51" s="412" t="s">
        <v>273</v>
      </c>
      <c r="B51" s="410">
        <v>0</v>
      </c>
      <c r="C51" s="410">
        <v>0</v>
      </c>
      <c r="D51" s="410">
        <v>0</v>
      </c>
      <c r="E51" s="410">
        <v>25761</v>
      </c>
      <c r="F51" s="410">
        <v>25761</v>
      </c>
    </row>
    <row r="52" spans="1:6" ht="50.1" customHeight="1">
      <c r="A52" s="30"/>
      <c r="B52" s="30"/>
      <c r="C52" s="30"/>
      <c r="D52" s="30"/>
      <c r="E52" s="30"/>
      <c r="F52" s="30"/>
    </row>
    <row r="53" spans="1:6" ht="15" customHeight="1">
      <c r="A53" s="33" t="s">
        <v>755</v>
      </c>
      <c r="B53" s="45"/>
      <c r="C53" s="45"/>
      <c r="D53" s="45"/>
      <c r="E53" s="45"/>
      <c r="F53" s="45"/>
    </row>
    <row r="54" spans="1:6" ht="12" customHeight="1">
      <c r="A54" s="148" t="s">
        <v>756</v>
      </c>
      <c r="B54" s="45"/>
      <c r="C54" s="45"/>
      <c r="D54" s="45"/>
      <c r="E54" s="45"/>
      <c r="F54" s="45"/>
    </row>
    <row r="55" spans="1:6">
      <c r="A55" s="33" t="s">
        <v>757</v>
      </c>
    </row>
    <row r="56" spans="1:6">
      <c r="A56" s="33" t="s">
        <v>758</v>
      </c>
    </row>
    <row r="57" spans="1:6">
      <c r="A57" s="718" t="str">
        <f>"(3)  Formula Guarantee is provided to ensure that every school division receives at least the same level of funding as provided in "&amp;PrevY&amp;"."</f>
        <v>(3)  Formula Guarantee is provided to ensure that every school division receives at least the same level of funding as provided in 2011/12.</v>
      </c>
    </row>
    <row r="58" spans="1:6">
      <c r="A58" s="31" t="s">
        <v>729</v>
      </c>
    </row>
    <row r="59" spans="1:6">
      <c r="A59" s="1" t="s">
        <v>730</v>
      </c>
    </row>
  </sheetData>
  <phoneticPr fontId="6" type="noConversion"/>
  <pageMargins left="0.5" right="0.5" top="0.6" bottom="0.2" header="0.3" footer="0.5"/>
  <pageSetup scale="91" orientation="portrait" r:id="rId1"/>
  <headerFooter alignWithMargins="0">
    <oddHeader>&amp;C&amp;"Arial,Regular"&amp;11&amp;A</oddHeader>
  </headerFooter>
</worksheet>
</file>

<file path=xl/worksheets/sheet57.xml><?xml version="1.0" encoding="utf-8"?>
<worksheet xmlns="http://schemas.openxmlformats.org/spreadsheetml/2006/main" xmlns:r="http://schemas.openxmlformats.org/officeDocument/2006/relationships">
  <sheetPr codeName="Sheet611">
    <pageSetUpPr fitToPage="1"/>
  </sheetPr>
  <dimension ref="A1:K64"/>
  <sheetViews>
    <sheetView showGridLines="0" showZeros="0" topLeftCell="A4" workbookViewId="0">
      <selection activeCell="C16" sqref="C16"/>
    </sheetView>
  </sheetViews>
  <sheetFormatPr defaultColWidth="14.83203125" defaultRowHeight="12"/>
  <cols>
    <col min="1" max="1" width="27.83203125" style="1" customWidth="1"/>
    <col min="2" max="2" width="17.6640625" style="1" customWidth="1"/>
    <col min="3" max="3" width="19" style="1" customWidth="1"/>
    <col min="4" max="4" width="20.33203125" style="1" customWidth="1"/>
    <col min="5" max="5" width="17.83203125" style="1" customWidth="1"/>
    <col min="6" max="6" width="18.5" style="1" customWidth="1"/>
    <col min="7" max="7" width="17.6640625" style="1" customWidth="1"/>
    <col min="8" max="8" width="14.83203125" style="1" hidden="1" customWidth="1"/>
    <col min="9" max="16384" width="14.83203125" style="1"/>
  </cols>
  <sheetData>
    <row r="1" spans="1:9" ht="6.95" customHeight="1">
      <c r="A1" s="6"/>
      <c r="B1" s="7"/>
      <c r="C1" s="7"/>
      <c r="D1" s="7"/>
    </row>
    <row r="2" spans="1:9" ht="18" customHeight="1">
      <c r="A2" s="285"/>
      <c r="B2" s="772" t="s">
        <v>537</v>
      </c>
      <c r="C2" s="772"/>
      <c r="D2" s="772"/>
      <c r="E2" s="654" t="str">
        <f>Data!B5&amp; " ACTUAL"</f>
        <v>2012/13 ACTUAL</v>
      </c>
      <c r="F2" s="654"/>
      <c r="G2" s="472" t="s">
        <v>21</v>
      </c>
    </row>
    <row r="3" spans="1:9" ht="3.95" customHeight="1">
      <c r="A3" s="286"/>
      <c r="B3" s="287"/>
      <c r="C3" s="287"/>
      <c r="D3" s="287"/>
      <c r="E3" s="287"/>
      <c r="F3" s="287"/>
      <c r="G3" s="296"/>
    </row>
    <row r="4" spans="1:9" ht="14.1" customHeight="1">
      <c r="A4" s="297"/>
      <c r="B4" s="444" t="s">
        <v>472</v>
      </c>
      <c r="C4" s="445"/>
      <c r="D4" s="445"/>
      <c r="E4" s="445"/>
      <c r="F4" s="445"/>
      <c r="G4" s="446"/>
    </row>
    <row r="5" spans="1:9" ht="12.95" customHeight="1">
      <c r="A5" s="298"/>
      <c r="B5" s="291"/>
      <c r="C5" s="291"/>
      <c r="D5" s="291"/>
      <c r="E5" s="291"/>
      <c r="F5" s="291" t="s">
        <v>366</v>
      </c>
      <c r="G5" s="291"/>
    </row>
    <row r="6" spans="1:9" ht="12.95" customHeight="1">
      <c r="A6" s="289"/>
      <c r="B6" s="291"/>
      <c r="C6" s="291"/>
      <c r="D6" s="291"/>
      <c r="E6" s="291"/>
      <c r="F6" s="291" t="s">
        <v>367</v>
      </c>
      <c r="G6" s="291"/>
    </row>
    <row r="7" spans="1:9" ht="12.95" customHeight="1">
      <c r="A7" s="289"/>
      <c r="B7" s="291"/>
      <c r="C7" s="291" t="s">
        <v>368</v>
      </c>
      <c r="D7" s="291"/>
      <c r="E7" s="291"/>
      <c r="F7" s="291" t="s">
        <v>187</v>
      </c>
      <c r="G7" s="291"/>
    </row>
    <row r="8" spans="1:9" ht="12.95" customHeight="1">
      <c r="A8" s="289"/>
      <c r="B8" s="291"/>
      <c r="C8" s="291" t="s">
        <v>369</v>
      </c>
      <c r="D8" s="291"/>
      <c r="E8" s="291" t="s">
        <v>370</v>
      </c>
      <c r="F8" s="291" t="s">
        <v>371</v>
      </c>
      <c r="G8" s="291"/>
    </row>
    <row r="9" spans="1:9" ht="12.95" customHeight="1">
      <c r="A9" s="289"/>
      <c r="B9" s="291" t="s">
        <v>192</v>
      </c>
      <c r="C9" s="291" t="s">
        <v>154</v>
      </c>
      <c r="D9" s="291" t="s">
        <v>37</v>
      </c>
      <c r="E9" s="291" t="s">
        <v>66</v>
      </c>
      <c r="F9" s="291" t="s">
        <v>372</v>
      </c>
      <c r="G9" s="291" t="s">
        <v>68</v>
      </c>
    </row>
    <row r="10" spans="1:9" ht="12.95" customHeight="1">
      <c r="A10" s="20"/>
      <c r="B10" s="291" t="s">
        <v>373</v>
      </c>
      <c r="C10" s="291" t="s">
        <v>374</v>
      </c>
      <c r="D10" s="291" t="s">
        <v>375</v>
      </c>
      <c r="E10" s="291" t="s">
        <v>376</v>
      </c>
      <c r="F10" s="291" t="s">
        <v>377</v>
      </c>
      <c r="G10" s="291" t="s">
        <v>378</v>
      </c>
    </row>
    <row r="11" spans="1:9" ht="12.95" customHeight="1">
      <c r="A11" s="22" t="s">
        <v>94</v>
      </c>
      <c r="B11" s="314" t="s">
        <v>355</v>
      </c>
      <c r="C11" s="314" t="s">
        <v>379</v>
      </c>
      <c r="D11" s="314" t="s">
        <v>380</v>
      </c>
      <c r="E11" s="314" t="s">
        <v>10</v>
      </c>
      <c r="F11" s="533" t="s">
        <v>277</v>
      </c>
      <c r="G11" s="533" t="s">
        <v>277</v>
      </c>
    </row>
    <row r="12" spans="1:9" ht="5.0999999999999996" customHeight="1">
      <c r="A12" s="25"/>
      <c r="C12" s="284"/>
      <c r="D12" s="236"/>
      <c r="E12" s="6"/>
    </row>
    <row r="13" spans="1:9" ht="13.5" customHeight="1">
      <c r="A13" s="412" t="s">
        <v>236</v>
      </c>
      <c r="B13" s="410">
        <v>584447</v>
      </c>
      <c r="C13" s="410">
        <v>0</v>
      </c>
      <c r="D13" s="410">
        <v>65176</v>
      </c>
      <c r="E13" s="410">
        <f>'- 32 -'!B11</f>
        <v>57114</v>
      </c>
      <c r="F13" s="410">
        <f>-Data!L11-Data!M11</f>
        <v>-16665</v>
      </c>
      <c r="G13" s="410">
        <f>SUM(B13:F13)</f>
        <v>690072</v>
      </c>
      <c r="H13" s="410">
        <v>690072</v>
      </c>
      <c r="I13" s="1">
        <f t="shared" ref="I13:I48" si="0">G13-H13</f>
        <v>0</v>
      </c>
    </row>
    <row r="14" spans="1:9" ht="13.5" customHeight="1">
      <c r="A14" s="270" t="s">
        <v>237</v>
      </c>
      <c r="B14" s="171">
        <v>929639</v>
      </c>
      <c r="C14" s="171">
        <v>0</v>
      </c>
      <c r="D14" s="171">
        <v>80404</v>
      </c>
      <c r="E14" s="171">
        <f>'- 32 -'!B12</f>
        <v>80231</v>
      </c>
      <c r="F14" s="171">
        <f>-Data!L12-Data!M12</f>
        <v>-28130</v>
      </c>
      <c r="G14" s="171">
        <f>SUM(B14:F14)</f>
        <v>1062144</v>
      </c>
      <c r="H14" s="171">
        <v>1062144</v>
      </c>
      <c r="I14" s="1">
        <f t="shared" si="0"/>
        <v>0</v>
      </c>
    </row>
    <row r="15" spans="1:9" ht="13.5" customHeight="1">
      <c r="A15" s="412" t="s">
        <v>238</v>
      </c>
      <c r="B15" s="410">
        <v>2358821</v>
      </c>
      <c r="C15" s="410">
        <v>0</v>
      </c>
      <c r="D15" s="410">
        <v>172284</v>
      </c>
      <c r="E15" s="410">
        <f>'- 32 -'!B13</f>
        <v>227332</v>
      </c>
      <c r="F15" s="410">
        <f>-Data!L13-Data!M13</f>
        <v>-54040</v>
      </c>
      <c r="G15" s="410">
        <f>SUM(B15:F15)</f>
        <v>2704397</v>
      </c>
      <c r="H15" s="410">
        <v>2704397</v>
      </c>
      <c r="I15" s="1">
        <f t="shared" si="0"/>
        <v>0</v>
      </c>
    </row>
    <row r="16" spans="1:9" ht="13.5" customHeight="1">
      <c r="A16" s="270" t="s">
        <v>656</v>
      </c>
      <c r="B16" s="171"/>
      <c r="C16" s="171">
        <v>0</v>
      </c>
      <c r="D16" s="171"/>
      <c r="E16" s="171"/>
      <c r="F16" s="171"/>
      <c r="G16" s="171"/>
      <c r="H16" s="171"/>
      <c r="I16" s="1">
        <f t="shared" si="0"/>
        <v>0</v>
      </c>
    </row>
    <row r="17" spans="1:9" ht="13.5" customHeight="1">
      <c r="A17" s="412" t="s">
        <v>239</v>
      </c>
      <c r="B17" s="410">
        <v>772606</v>
      </c>
      <c r="C17" s="410">
        <v>0</v>
      </c>
      <c r="D17" s="410">
        <v>76906</v>
      </c>
      <c r="E17" s="410">
        <f>'- 32 -'!B15</f>
        <v>75591</v>
      </c>
      <c r="F17" s="410">
        <f>-Data!L15-Data!M15</f>
        <v>-23330</v>
      </c>
      <c r="G17" s="410">
        <f>SUM(B17:F17)</f>
        <v>901773</v>
      </c>
      <c r="H17" s="410">
        <v>901773</v>
      </c>
      <c r="I17" s="1">
        <f t="shared" si="0"/>
        <v>0</v>
      </c>
    </row>
    <row r="18" spans="1:9" ht="13.5" customHeight="1">
      <c r="A18" s="270" t="s">
        <v>240</v>
      </c>
      <c r="B18" s="171">
        <v>647033</v>
      </c>
      <c r="C18" s="171">
        <v>0</v>
      </c>
      <c r="D18" s="171">
        <v>0</v>
      </c>
      <c r="E18" s="171">
        <f>'- 32 -'!B16</f>
        <v>70757</v>
      </c>
      <c r="F18" s="171">
        <f>-Data!L16-Data!M16</f>
        <v>-14958</v>
      </c>
      <c r="G18" s="171">
        <f>SUM(B18:F18)</f>
        <v>702832</v>
      </c>
      <c r="H18" s="171">
        <v>702832</v>
      </c>
      <c r="I18" s="1">
        <f t="shared" si="0"/>
        <v>0</v>
      </c>
    </row>
    <row r="19" spans="1:9" ht="13.5" customHeight="1">
      <c r="A19" s="412" t="s">
        <v>241</v>
      </c>
      <c r="B19" s="410">
        <v>745577</v>
      </c>
      <c r="C19" s="410">
        <v>0</v>
      </c>
      <c r="D19" s="410">
        <v>50047</v>
      </c>
      <c r="E19" s="410">
        <f>'- 32 -'!B17</f>
        <v>69211</v>
      </c>
      <c r="F19" s="410">
        <f>-Data!L17-Data!M17</f>
        <v>-20030</v>
      </c>
      <c r="G19" s="410">
        <f>SUM(B19:F19)</f>
        <v>844805</v>
      </c>
      <c r="H19" s="410">
        <v>844805</v>
      </c>
      <c r="I19" s="1">
        <f t="shared" si="0"/>
        <v>0</v>
      </c>
    </row>
    <row r="20" spans="1:9" ht="13.5" customHeight="1">
      <c r="A20" s="270" t="s">
        <v>242</v>
      </c>
      <c r="B20" s="171"/>
      <c r="C20" s="171">
        <v>0</v>
      </c>
      <c r="D20" s="171"/>
      <c r="E20" s="171"/>
      <c r="F20" s="171"/>
      <c r="G20" s="171"/>
      <c r="H20" s="171"/>
      <c r="I20" s="1">
        <f t="shared" si="0"/>
        <v>0</v>
      </c>
    </row>
    <row r="21" spans="1:9" ht="13.5" customHeight="1">
      <c r="A21" s="412" t="s">
        <v>243</v>
      </c>
      <c r="B21" s="410">
        <v>1302677</v>
      </c>
      <c r="C21" s="410">
        <v>0</v>
      </c>
      <c r="D21" s="410">
        <v>50406</v>
      </c>
      <c r="E21" s="410">
        <f>'- 32 -'!B19</f>
        <v>106007</v>
      </c>
      <c r="F21" s="410">
        <f>-Data!L19-Data!M19</f>
        <v>-29468</v>
      </c>
      <c r="G21" s="410">
        <f t="shared" ref="G21:G48" si="1">SUM(B21:F21)</f>
        <v>1429622</v>
      </c>
      <c r="H21" s="410">
        <v>1429622</v>
      </c>
      <c r="I21" s="1">
        <f t="shared" si="0"/>
        <v>0</v>
      </c>
    </row>
    <row r="22" spans="1:9" ht="13.5" customHeight="1">
      <c r="A22" s="270" t="s">
        <v>244</v>
      </c>
      <c r="B22" s="171">
        <v>2058118</v>
      </c>
      <c r="C22" s="171">
        <v>17964</v>
      </c>
      <c r="D22" s="171">
        <v>206245</v>
      </c>
      <c r="E22" s="171">
        <f>'- 32 -'!B20</f>
        <v>163902</v>
      </c>
      <c r="F22" s="171">
        <f>-Data!L20-Data!M20</f>
        <v>-54918</v>
      </c>
      <c r="G22" s="171">
        <f t="shared" si="1"/>
        <v>2391311</v>
      </c>
      <c r="H22" s="171">
        <v>2391311</v>
      </c>
      <c r="I22" s="1">
        <f t="shared" si="0"/>
        <v>0</v>
      </c>
    </row>
    <row r="23" spans="1:9" ht="13.5" customHeight="1">
      <c r="A23" s="412" t="s">
        <v>245</v>
      </c>
      <c r="B23" s="410">
        <v>1357717</v>
      </c>
      <c r="C23" s="410">
        <v>0</v>
      </c>
      <c r="D23" s="410">
        <v>160514</v>
      </c>
      <c r="E23" s="410">
        <f>'- 32 -'!B21</f>
        <v>175206</v>
      </c>
      <c r="F23" s="410">
        <f>-Data!L21-Data!M21</f>
        <v>-30112</v>
      </c>
      <c r="G23" s="410">
        <f t="shared" si="1"/>
        <v>1663325</v>
      </c>
      <c r="H23" s="410">
        <v>1663325</v>
      </c>
      <c r="I23" s="1">
        <f t="shared" si="0"/>
        <v>0</v>
      </c>
    </row>
    <row r="24" spans="1:9" ht="13.5" customHeight="1">
      <c r="A24" s="270" t="s">
        <v>246</v>
      </c>
      <c r="B24" s="171">
        <v>746353</v>
      </c>
      <c r="C24" s="171">
        <v>21991</v>
      </c>
      <c r="D24" s="171">
        <v>76915</v>
      </c>
      <c r="E24" s="171">
        <f>'- 32 -'!B22</f>
        <v>80029</v>
      </c>
      <c r="F24" s="171">
        <f>-Data!L22-Data!M22</f>
        <v>-31587</v>
      </c>
      <c r="G24" s="171">
        <f t="shared" si="1"/>
        <v>893701</v>
      </c>
      <c r="H24" s="171">
        <v>893701</v>
      </c>
      <c r="I24" s="1">
        <f t="shared" si="0"/>
        <v>0</v>
      </c>
    </row>
    <row r="25" spans="1:9" ht="13.5" customHeight="1">
      <c r="A25" s="412" t="s">
        <v>247</v>
      </c>
      <c r="B25" s="410">
        <v>608576</v>
      </c>
      <c r="C25" s="410">
        <v>0</v>
      </c>
      <c r="D25" s="410">
        <v>61400</v>
      </c>
      <c r="E25" s="410">
        <f>'- 32 -'!B23</f>
        <v>59363</v>
      </c>
      <c r="F25" s="410">
        <f>-Data!L23-Data!M23</f>
        <v>-20836</v>
      </c>
      <c r="G25" s="410">
        <f t="shared" si="1"/>
        <v>708503</v>
      </c>
      <c r="H25" s="410">
        <v>708503</v>
      </c>
      <c r="I25" s="1">
        <f t="shared" si="0"/>
        <v>0</v>
      </c>
    </row>
    <row r="26" spans="1:9" ht="13.5" customHeight="1">
      <c r="A26" s="270" t="s">
        <v>248</v>
      </c>
      <c r="B26" s="171">
        <v>1773743</v>
      </c>
      <c r="C26" s="171">
        <v>0</v>
      </c>
      <c r="D26" s="171">
        <v>158774</v>
      </c>
      <c r="E26" s="171">
        <f>'- 32 -'!B24</f>
        <v>220142</v>
      </c>
      <c r="F26" s="171">
        <f>-Data!L24-Data!M24</f>
        <v>-38722</v>
      </c>
      <c r="G26" s="171">
        <f t="shared" si="1"/>
        <v>2113937</v>
      </c>
      <c r="H26" s="171">
        <v>2113937</v>
      </c>
      <c r="I26" s="1">
        <f t="shared" si="0"/>
        <v>0</v>
      </c>
    </row>
    <row r="27" spans="1:9" ht="13.5" customHeight="1">
      <c r="A27" s="412" t="s">
        <v>249</v>
      </c>
      <c r="B27" s="410">
        <v>4973837</v>
      </c>
      <c r="C27" s="410">
        <v>63654</v>
      </c>
      <c r="D27" s="410">
        <v>242125</v>
      </c>
      <c r="E27" s="410">
        <f>'- 32 -'!B25</f>
        <v>550836</v>
      </c>
      <c r="F27" s="410">
        <f>-Data!L25-Data!M25</f>
        <v>-467563</v>
      </c>
      <c r="G27" s="410">
        <f t="shared" si="1"/>
        <v>5362889</v>
      </c>
      <c r="H27" s="410">
        <v>5362889</v>
      </c>
      <c r="I27" s="1">
        <f t="shared" si="0"/>
        <v>0</v>
      </c>
    </row>
    <row r="28" spans="1:9" ht="13.5" customHeight="1">
      <c r="A28" s="270" t="s">
        <v>250</v>
      </c>
      <c r="B28" s="171">
        <v>1151994</v>
      </c>
      <c r="C28" s="171">
        <v>14194</v>
      </c>
      <c r="D28" s="171">
        <v>183589</v>
      </c>
      <c r="E28" s="171">
        <f>'- 32 -'!B26</f>
        <v>124745</v>
      </c>
      <c r="F28" s="171">
        <f>-Data!L26-Data!M26</f>
        <v>-19975</v>
      </c>
      <c r="G28" s="171">
        <f t="shared" si="1"/>
        <v>1454547</v>
      </c>
      <c r="H28" s="171">
        <v>1454547</v>
      </c>
      <c r="I28" s="1">
        <f t="shared" si="0"/>
        <v>0</v>
      </c>
    </row>
    <row r="29" spans="1:9" ht="13.5" customHeight="1">
      <c r="A29" s="412" t="s">
        <v>251</v>
      </c>
      <c r="B29" s="410">
        <v>1767514</v>
      </c>
      <c r="C29" s="410">
        <v>0</v>
      </c>
      <c r="D29" s="410">
        <v>0</v>
      </c>
      <c r="E29" s="410">
        <f>'- 32 -'!B27</f>
        <v>197188</v>
      </c>
      <c r="F29" s="410">
        <f>-Data!L27-Data!M27</f>
        <v>-69167</v>
      </c>
      <c r="G29" s="410">
        <f t="shared" si="1"/>
        <v>1895535</v>
      </c>
      <c r="H29" s="410">
        <v>1895535</v>
      </c>
      <c r="I29" s="1">
        <f t="shared" si="0"/>
        <v>0</v>
      </c>
    </row>
    <row r="30" spans="1:9" ht="13.5" customHeight="1">
      <c r="A30" s="270" t="s">
        <v>252</v>
      </c>
      <c r="B30" s="171">
        <v>1058836</v>
      </c>
      <c r="C30" s="171">
        <v>0</v>
      </c>
      <c r="D30" s="171">
        <v>76677</v>
      </c>
      <c r="E30" s="171">
        <f>'- 32 -'!B28</f>
        <v>40724</v>
      </c>
      <c r="F30" s="171">
        <f>-Data!L28-Data!M28</f>
        <v>-22620</v>
      </c>
      <c r="G30" s="171">
        <f t="shared" si="1"/>
        <v>1153617</v>
      </c>
      <c r="H30" s="171">
        <v>1153617</v>
      </c>
      <c r="I30" s="1">
        <f t="shared" si="0"/>
        <v>0</v>
      </c>
    </row>
    <row r="31" spans="1:9" ht="13.5" customHeight="1">
      <c r="A31" s="412" t="s">
        <v>253</v>
      </c>
      <c r="B31" s="410">
        <v>4474782</v>
      </c>
      <c r="C31" s="410">
        <v>341058</v>
      </c>
      <c r="D31" s="410">
        <v>167051</v>
      </c>
      <c r="E31" s="410">
        <f>'- 32 -'!B29</f>
        <v>872823</v>
      </c>
      <c r="F31" s="410">
        <f>-Data!L29-Data!M29</f>
        <v>-795705</v>
      </c>
      <c r="G31" s="410">
        <f t="shared" si="1"/>
        <v>5060009</v>
      </c>
      <c r="H31" s="410">
        <v>5060009</v>
      </c>
      <c r="I31" s="1">
        <f t="shared" si="0"/>
        <v>0</v>
      </c>
    </row>
    <row r="32" spans="1:9" ht="13.5" customHeight="1">
      <c r="A32" s="270" t="s">
        <v>254</v>
      </c>
      <c r="B32" s="171">
        <v>533992</v>
      </c>
      <c r="C32" s="171">
        <v>0</v>
      </c>
      <c r="D32" s="171">
        <v>51173</v>
      </c>
      <c r="E32" s="171">
        <f>'- 32 -'!B30</f>
        <v>53551</v>
      </c>
      <c r="F32" s="171">
        <f>-Data!L30-Data!M30</f>
        <v>-20022</v>
      </c>
      <c r="G32" s="171">
        <f t="shared" si="1"/>
        <v>618694</v>
      </c>
      <c r="H32" s="171">
        <v>618694</v>
      </c>
      <c r="I32" s="1">
        <f t="shared" si="0"/>
        <v>0</v>
      </c>
    </row>
    <row r="33" spans="1:9" ht="13.5" customHeight="1">
      <c r="A33" s="412" t="s">
        <v>255</v>
      </c>
      <c r="B33" s="410">
        <v>1115892</v>
      </c>
      <c r="C33" s="410">
        <v>0</v>
      </c>
      <c r="D33" s="410">
        <v>84338</v>
      </c>
      <c r="E33" s="410">
        <f>'- 32 -'!B31</f>
        <v>88498</v>
      </c>
      <c r="F33" s="410">
        <f>-Data!L31-Data!M31</f>
        <v>-37274</v>
      </c>
      <c r="G33" s="410">
        <f t="shared" si="1"/>
        <v>1251454</v>
      </c>
      <c r="H33" s="410">
        <v>1251454</v>
      </c>
      <c r="I33" s="1">
        <f t="shared" si="0"/>
        <v>0</v>
      </c>
    </row>
    <row r="34" spans="1:9" ht="13.5" customHeight="1">
      <c r="A34" s="270" t="s">
        <v>256</v>
      </c>
      <c r="B34" s="171">
        <v>972163</v>
      </c>
      <c r="C34" s="171">
        <v>0</v>
      </c>
      <c r="D34" s="171">
        <v>85868</v>
      </c>
      <c r="E34" s="171">
        <f>'- 32 -'!B32</f>
        <v>81661</v>
      </c>
      <c r="F34" s="171">
        <f>-Data!L32-Data!M32</f>
        <v>-20292</v>
      </c>
      <c r="G34" s="171">
        <f t="shared" si="1"/>
        <v>1119400</v>
      </c>
      <c r="H34" s="171">
        <v>1119400</v>
      </c>
      <c r="I34" s="1">
        <f t="shared" si="0"/>
        <v>0</v>
      </c>
    </row>
    <row r="35" spans="1:9" ht="13.5" customHeight="1">
      <c r="A35" s="412" t="s">
        <v>257</v>
      </c>
      <c r="B35" s="410">
        <v>878244</v>
      </c>
      <c r="C35" s="410">
        <v>0</v>
      </c>
      <c r="D35" s="410">
        <v>61529</v>
      </c>
      <c r="E35" s="410">
        <f>'- 32 -'!B33</f>
        <v>79370</v>
      </c>
      <c r="F35" s="410">
        <f>-Data!L33-Data!M33</f>
        <v>-31851</v>
      </c>
      <c r="G35" s="410">
        <f t="shared" si="1"/>
        <v>987292</v>
      </c>
      <c r="H35" s="410">
        <v>987292</v>
      </c>
      <c r="I35" s="1">
        <f t="shared" si="0"/>
        <v>0</v>
      </c>
    </row>
    <row r="36" spans="1:9" ht="13.5" customHeight="1">
      <c r="A36" s="270" t="s">
        <v>258</v>
      </c>
      <c r="B36" s="171">
        <v>971168</v>
      </c>
      <c r="C36" s="171">
        <v>6789</v>
      </c>
      <c r="D36" s="171">
        <v>93782</v>
      </c>
      <c r="E36" s="171">
        <f>'- 32 -'!B34</f>
        <v>62690</v>
      </c>
      <c r="F36" s="171">
        <f>-Data!L34-Data!M34</f>
        <v>-35643</v>
      </c>
      <c r="G36" s="171">
        <f t="shared" si="1"/>
        <v>1098786</v>
      </c>
      <c r="H36" s="171">
        <v>1098786</v>
      </c>
      <c r="I36" s="1">
        <f t="shared" si="0"/>
        <v>0</v>
      </c>
    </row>
    <row r="37" spans="1:9" ht="13.5" customHeight="1">
      <c r="A37" s="412" t="s">
        <v>259</v>
      </c>
      <c r="B37" s="410">
        <v>4930773</v>
      </c>
      <c r="C37" s="410">
        <v>362054</v>
      </c>
      <c r="D37" s="410">
        <v>331124</v>
      </c>
      <c r="E37" s="410">
        <f>'- 32 -'!B35</f>
        <v>734997</v>
      </c>
      <c r="F37" s="410">
        <f>-Data!L35-Data!M35</f>
        <v>-469915</v>
      </c>
      <c r="G37" s="410">
        <f t="shared" si="1"/>
        <v>5889033</v>
      </c>
      <c r="H37" s="410">
        <v>5889033</v>
      </c>
      <c r="I37" s="1">
        <f t="shared" si="0"/>
        <v>0</v>
      </c>
    </row>
    <row r="38" spans="1:9" ht="13.5" customHeight="1">
      <c r="A38" s="270" t="s">
        <v>260</v>
      </c>
      <c r="B38" s="171">
        <v>872470</v>
      </c>
      <c r="C38" s="171">
        <v>33282</v>
      </c>
      <c r="D38" s="171">
        <v>54168</v>
      </c>
      <c r="E38" s="171">
        <f>'- 32 -'!B36</f>
        <v>58097</v>
      </c>
      <c r="F38" s="171">
        <f>-Data!L36-Data!M36</f>
        <v>-26279</v>
      </c>
      <c r="G38" s="171">
        <f t="shared" si="1"/>
        <v>991738</v>
      </c>
      <c r="H38" s="171">
        <v>991738</v>
      </c>
      <c r="I38" s="1">
        <f t="shared" si="0"/>
        <v>0</v>
      </c>
    </row>
    <row r="39" spans="1:9" ht="13.5" customHeight="1">
      <c r="A39" s="412" t="s">
        <v>261</v>
      </c>
      <c r="B39" s="410">
        <v>1391761</v>
      </c>
      <c r="C39" s="410">
        <v>34322</v>
      </c>
      <c r="D39" s="410">
        <v>161412</v>
      </c>
      <c r="E39" s="410">
        <f>'- 32 -'!B37</f>
        <v>105336</v>
      </c>
      <c r="F39" s="410">
        <f>-Data!L37-Data!M37</f>
        <v>-36272</v>
      </c>
      <c r="G39" s="410">
        <f t="shared" si="1"/>
        <v>1656559</v>
      </c>
      <c r="H39" s="410">
        <v>1656559</v>
      </c>
      <c r="I39" s="1">
        <f t="shared" si="0"/>
        <v>0</v>
      </c>
    </row>
    <row r="40" spans="1:9" ht="13.5" customHeight="1">
      <c r="A40" s="270" t="s">
        <v>262</v>
      </c>
      <c r="B40" s="171">
        <v>3356734</v>
      </c>
      <c r="C40" s="171">
        <v>75220</v>
      </c>
      <c r="D40" s="171">
        <v>275127</v>
      </c>
      <c r="E40" s="171">
        <f>'- 32 -'!B38</f>
        <v>485793</v>
      </c>
      <c r="F40" s="171">
        <f>-Data!L38-Data!M38</f>
        <v>-57174</v>
      </c>
      <c r="G40" s="171">
        <f t="shared" si="1"/>
        <v>4135700</v>
      </c>
      <c r="H40" s="171">
        <v>4135700</v>
      </c>
      <c r="I40" s="1">
        <f t="shared" si="0"/>
        <v>0</v>
      </c>
    </row>
    <row r="41" spans="1:9" ht="13.5" customHeight="1">
      <c r="A41" s="412" t="s">
        <v>263</v>
      </c>
      <c r="B41" s="410">
        <v>834372</v>
      </c>
      <c r="C41" s="410">
        <v>0</v>
      </c>
      <c r="D41" s="410">
        <v>78597</v>
      </c>
      <c r="E41" s="410">
        <f>'- 32 -'!B39</f>
        <v>70195</v>
      </c>
      <c r="F41" s="410">
        <f>-Data!L39-Data!M39</f>
        <v>-24613</v>
      </c>
      <c r="G41" s="410">
        <f t="shared" si="1"/>
        <v>958551</v>
      </c>
      <c r="H41" s="410">
        <v>958551</v>
      </c>
      <c r="I41" s="1">
        <f t="shared" si="0"/>
        <v>0</v>
      </c>
    </row>
    <row r="42" spans="1:9" ht="13.5" customHeight="1">
      <c r="A42" s="270" t="s">
        <v>264</v>
      </c>
      <c r="B42" s="171">
        <v>3209447</v>
      </c>
      <c r="C42" s="171">
        <v>0</v>
      </c>
      <c r="D42" s="171">
        <v>109696</v>
      </c>
      <c r="E42" s="171">
        <f>'- 32 -'!B40</f>
        <v>413264</v>
      </c>
      <c r="F42" s="171">
        <f>-Data!L40-Data!M40</f>
        <v>-292601</v>
      </c>
      <c r="G42" s="171">
        <f t="shared" si="1"/>
        <v>3439806</v>
      </c>
      <c r="H42" s="171">
        <v>3439806</v>
      </c>
      <c r="I42" s="1">
        <f t="shared" si="0"/>
        <v>0</v>
      </c>
    </row>
    <row r="43" spans="1:9" ht="13.5" customHeight="1">
      <c r="A43" s="412" t="s">
        <v>265</v>
      </c>
      <c r="B43" s="410">
        <v>2319283</v>
      </c>
      <c r="C43" s="410">
        <v>39270</v>
      </c>
      <c r="D43" s="410">
        <v>315493</v>
      </c>
      <c r="E43" s="410">
        <f>'- 32 -'!B41</f>
        <v>181471</v>
      </c>
      <c r="F43" s="410">
        <f>-Data!L41-Data!M41</f>
        <v>-27129</v>
      </c>
      <c r="G43" s="410">
        <f t="shared" si="1"/>
        <v>2828388</v>
      </c>
      <c r="H43" s="410">
        <v>2828388</v>
      </c>
      <c r="I43" s="1">
        <f t="shared" si="0"/>
        <v>0</v>
      </c>
    </row>
    <row r="44" spans="1:9" ht="13.5" customHeight="1">
      <c r="A44" s="270" t="s">
        <v>266</v>
      </c>
      <c r="B44" s="171">
        <v>765032</v>
      </c>
      <c r="C44" s="171">
        <v>0</v>
      </c>
      <c r="D44" s="171">
        <v>98650</v>
      </c>
      <c r="E44" s="171">
        <f>'- 32 -'!B42</f>
        <v>50484</v>
      </c>
      <c r="F44" s="171">
        <f>-Data!L42-Data!M42</f>
        <v>-25957</v>
      </c>
      <c r="G44" s="171">
        <f t="shared" si="1"/>
        <v>888209</v>
      </c>
      <c r="H44" s="171">
        <v>888209</v>
      </c>
      <c r="I44" s="1">
        <f t="shared" si="0"/>
        <v>0</v>
      </c>
    </row>
    <row r="45" spans="1:9" ht="13.5" customHeight="1">
      <c r="A45" s="412" t="s">
        <v>267</v>
      </c>
      <c r="B45" s="410">
        <v>555300</v>
      </c>
      <c r="C45" s="410">
        <v>18660</v>
      </c>
      <c r="D45" s="410">
        <v>10710</v>
      </c>
      <c r="E45" s="410">
        <f>'- 32 -'!B43</f>
        <v>21865</v>
      </c>
      <c r="F45" s="410">
        <f>-Data!L43-Data!M43</f>
        <v>-17243</v>
      </c>
      <c r="G45" s="410">
        <f t="shared" si="1"/>
        <v>589292</v>
      </c>
      <c r="H45" s="410">
        <v>589292</v>
      </c>
      <c r="I45" s="1">
        <f t="shared" si="0"/>
        <v>0</v>
      </c>
    </row>
    <row r="46" spans="1:9" ht="13.5" customHeight="1">
      <c r="A46" s="270" t="s">
        <v>268</v>
      </c>
      <c r="B46" s="171">
        <v>338821</v>
      </c>
      <c r="C46" s="171">
        <v>0</v>
      </c>
      <c r="D46" s="171">
        <v>25302</v>
      </c>
      <c r="E46" s="171">
        <f>'- 32 -'!B44</f>
        <v>28480</v>
      </c>
      <c r="F46" s="171">
        <f>-Data!L44-Data!M44</f>
        <v>-10067</v>
      </c>
      <c r="G46" s="171">
        <f t="shared" si="1"/>
        <v>382536</v>
      </c>
      <c r="H46" s="171">
        <v>382536</v>
      </c>
      <c r="I46" s="1">
        <f t="shared" si="0"/>
        <v>0</v>
      </c>
    </row>
    <row r="47" spans="1:9" ht="13.5" customHeight="1">
      <c r="A47" s="412" t="s">
        <v>269</v>
      </c>
      <c r="B47" s="410">
        <v>620817</v>
      </c>
      <c r="C47" s="410">
        <v>4829</v>
      </c>
      <c r="D47" s="410">
        <v>39731</v>
      </c>
      <c r="E47" s="410">
        <f>'- 32 -'!B45</f>
        <v>71654</v>
      </c>
      <c r="F47" s="410">
        <f>-Data!L45-Data!M45</f>
        <v>-16992</v>
      </c>
      <c r="G47" s="410">
        <f t="shared" si="1"/>
        <v>720039</v>
      </c>
      <c r="H47" s="410">
        <v>720039</v>
      </c>
      <c r="I47" s="1">
        <f t="shared" si="0"/>
        <v>0</v>
      </c>
    </row>
    <row r="48" spans="1:9" ht="13.5" customHeight="1">
      <c r="A48" s="270" t="s">
        <v>270</v>
      </c>
      <c r="B48" s="171">
        <v>9192370</v>
      </c>
      <c r="C48" s="171">
        <v>218122</v>
      </c>
      <c r="D48" s="171">
        <v>260607</v>
      </c>
      <c r="E48" s="171">
        <f>'- 32 -'!B46</f>
        <v>922385</v>
      </c>
      <c r="F48" s="171">
        <f>-Data!L46-Data!M46</f>
        <v>-179766</v>
      </c>
      <c r="G48" s="171">
        <f t="shared" si="1"/>
        <v>10413718</v>
      </c>
      <c r="H48" s="171">
        <v>10413718</v>
      </c>
      <c r="I48" s="1">
        <f t="shared" si="0"/>
        <v>0</v>
      </c>
    </row>
    <row r="49" spans="1:11" ht="5.0999999999999996" customHeight="1">
      <c r="A49" s="148"/>
      <c r="B49" s="172"/>
      <c r="C49" s="172"/>
      <c r="D49" s="172"/>
      <c r="E49" s="172"/>
      <c r="F49" s="172"/>
      <c r="G49" s="172"/>
      <c r="H49" s="172"/>
    </row>
    <row r="50" spans="1:11" ht="13.5" customHeight="1">
      <c r="A50" s="413" t="s">
        <v>271</v>
      </c>
      <c r="B50" s="414">
        <f t="shared" ref="B50:H50" si="2">SUM(B13:B48)</f>
        <v>60170909</v>
      </c>
      <c r="C50" s="414">
        <f t="shared" si="2"/>
        <v>1251409</v>
      </c>
      <c r="D50" s="414">
        <f t="shared" si="2"/>
        <v>3965820</v>
      </c>
      <c r="E50" s="414">
        <f t="shared" si="2"/>
        <v>6680992</v>
      </c>
      <c r="F50" s="414">
        <f t="shared" si="2"/>
        <v>-3066916</v>
      </c>
      <c r="G50" s="414">
        <f t="shared" si="2"/>
        <v>69002214</v>
      </c>
      <c r="H50" s="414">
        <f t="shared" si="2"/>
        <v>69002214</v>
      </c>
      <c r="I50" s="1">
        <f>G50-H50</f>
        <v>0</v>
      </c>
    </row>
    <row r="51" spans="1:11" ht="5.0999999999999996" customHeight="1">
      <c r="A51" s="148" t="s">
        <v>17</v>
      </c>
      <c r="B51" s="172"/>
      <c r="C51" s="172"/>
      <c r="D51" s="172"/>
      <c r="E51" s="172"/>
      <c r="F51" s="172"/>
      <c r="G51" s="172"/>
      <c r="H51" s="172"/>
      <c r="K51" s="1">
        <f>+J51-B51</f>
        <v>0</v>
      </c>
    </row>
    <row r="52" spans="1:11" ht="13.5" customHeight="1">
      <c r="A52" s="270" t="s">
        <v>272</v>
      </c>
      <c r="B52" s="171">
        <v>260320</v>
      </c>
      <c r="C52" s="171">
        <v>0</v>
      </c>
      <c r="D52" s="171">
        <v>0</v>
      </c>
      <c r="E52" s="171">
        <f>'- 32 -'!B50</f>
        <v>0</v>
      </c>
      <c r="F52" s="171">
        <f>-Data!L50-Data!M50</f>
        <v>-923</v>
      </c>
      <c r="G52" s="171">
        <f>SUM(B52:F52)</f>
        <v>259397</v>
      </c>
      <c r="H52" s="171">
        <v>259397</v>
      </c>
      <c r="I52" s="1">
        <f>G52-H52</f>
        <v>0</v>
      </c>
    </row>
    <row r="53" spans="1:11" ht="50.1" customHeight="1">
      <c r="A53" s="30"/>
      <c r="B53" s="30"/>
      <c r="C53" s="30"/>
      <c r="D53" s="30"/>
      <c r="E53" s="30"/>
      <c r="F53" s="30"/>
      <c r="G53" s="30"/>
    </row>
    <row r="54" spans="1:11" ht="14.45" customHeight="1">
      <c r="A54" s="294" t="s">
        <v>619</v>
      </c>
      <c r="B54" s="299"/>
      <c r="C54" s="299"/>
      <c r="D54" s="299"/>
      <c r="E54" s="299"/>
      <c r="F54" s="299"/>
      <c r="G54" s="299"/>
    </row>
    <row r="55" spans="1:11" ht="12" customHeight="1">
      <c r="A55" s="294" t="s">
        <v>659</v>
      </c>
      <c r="B55" s="299"/>
      <c r="C55" s="299"/>
      <c r="D55" s="299"/>
      <c r="E55" s="299"/>
      <c r="F55" s="299"/>
      <c r="G55" s="299"/>
    </row>
    <row r="56" spans="1:11" ht="12" customHeight="1">
      <c r="A56" s="32" t="s">
        <v>654</v>
      </c>
      <c r="B56" s="45"/>
      <c r="C56" s="45"/>
      <c r="D56" s="45"/>
    </row>
    <row r="57" spans="1:11" ht="12" customHeight="1">
      <c r="A57" s="32" t="s">
        <v>759</v>
      </c>
      <c r="B57" s="45"/>
      <c r="C57" s="45"/>
      <c r="D57" s="45"/>
    </row>
    <row r="58" spans="1:11" ht="12" customHeight="1">
      <c r="A58" s="32" t="s">
        <v>671</v>
      </c>
      <c r="B58" s="45"/>
      <c r="C58" s="45"/>
      <c r="D58" s="45"/>
    </row>
    <row r="59" spans="1:11" ht="12" customHeight="1">
      <c r="A59" s="1" t="s">
        <v>724</v>
      </c>
      <c r="B59" s="45"/>
      <c r="C59" s="45"/>
      <c r="D59" s="45"/>
    </row>
    <row r="60" spans="1:11" ht="12" customHeight="1">
      <c r="A60" s="1" t="s">
        <v>653</v>
      </c>
      <c r="B60" s="45"/>
      <c r="C60" s="45"/>
      <c r="D60" s="45"/>
    </row>
    <row r="61" spans="1:11" ht="12" customHeight="1">
      <c r="A61" s="1" t="s">
        <v>668</v>
      </c>
    </row>
    <row r="62" spans="1:11" ht="12" customHeight="1">
      <c r="A62" s="1" t="s">
        <v>620</v>
      </c>
    </row>
    <row r="63" spans="1:11" ht="12" customHeight="1">
      <c r="A63" s="1" t="s">
        <v>669</v>
      </c>
    </row>
    <row r="64" spans="1:11" ht="12" customHeight="1">
      <c r="A64" s="1" t="s">
        <v>670</v>
      </c>
    </row>
  </sheetData>
  <mergeCells count="1">
    <mergeCell ref="B2:D2"/>
  </mergeCells>
  <phoneticPr fontId="0" type="noConversion"/>
  <pageMargins left="0.5" right="0.5" top="0.6" bottom="0.2" header="0.3" footer="0.5"/>
  <pageSetup scale="85" orientation="portrait" r:id="rId1"/>
  <headerFooter alignWithMargins="0">
    <oddHeader>&amp;C&amp;"Arial,Regular"&amp;11&amp;A</oddHeader>
  </headerFooter>
</worksheet>
</file>

<file path=xl/worksheets/sheet58.xml><?xml version="1.0" encoding="utf-8"?>
<worksheet xmlns="http://schemas.openxmlformats.org/spreadsheetml/2006/main" xmlns:r="http://schemas.openxmlformats.org/officeDocument/2006/relationships">
  <sheetPr codeName="Sheet6111">
    <pageSetUpPr fitToPage="1"/>
  </sheetPr>
  <dimension ref="A1:K59"/>
  <sheetViews>
    <sheetView showGridLines="0" showZeros="0" workbookViewId="0"/>
  </sheetViews>
  <sheetFormatPr defaultColWidth="14.83203125" defaultRowHeight="12"/>
  <cols>
    <col min="1" max="1" width="27.83203125" style="1" customWidth="1"/>
    <col min="2" max="3" width="16.83203125" style="1" customWidth="1"/>
    <col min="4" max="4" width="18.83203125" style="1" customWidth="1"/>
    <col min="5" max="5" width="16.83203125" style="1" customWidth="1"/>
    <col min="6" max="6" width="18.83203125" style="1" customWidth="1"/>
    <col min="7" max="7" width="17.83203125" style="1" customWidth="1"/>
    <col min="8" max="9" width="0" style="1" hidden="1" customWidth="1"/>
    <col min="10" max="16384" width="14.83203125" style="1"/>
  </cols>
  <sheetData>
    <row r="1" spans="1:11" ht="6.95" customHeight="1">
      <c r="A1" s="6"/>
      <c r="B1" s="7"/>
      <c r="C1" s="7"/>
      <c r="D1" s="7"/>
    </row>
    <row r="2" spans="1:11" ht="20.100000000000001" customHeight="1">
      <c r="A2" s="285"/>
      <c r="B2" s="285" t="str">
        <f>"ADMINISTRATION EXPENSES "&amp;FALLYR&amp;"/"&amp;SPRINGYR&amp;" ACTUAL"</f>
        <v>ADMINISTRATION EXPENSES 2012/2013 ACTUAL</v>
      </c>
      <c r="C2" s="194"/>
      <c r="D2" s="194"/>
      <c r="E2" s="194"/>
      <c r="F2" s="194"/>
      <c r="G2" s="472" t="s">
        <v>173</v>
      </c>
    </row>
    <row r="3" spans="1:11" ht="20.100000000000001" customHeight="1">
      <c r="A3" s="8"/>
      <c r="B3" s="286"/>
      <c r="C3" s="287"/>
      <c r="D3" s="287"/>
      <c r="E3" s="287"/>
      <c r="F3" s="287"/>
      <c r="G3" s="288"/>
    </row>
    <row r="4" spans="1:11" ht="14.1" customHeight="1">
      <c r="A4" s="265"/>
      <c r="B4" s="447" t="s">
        <v>381</v>
      </c>
      <c r="C4" s="448"/>
      <c r="D4" s="448"/>
      <c r="E4" s="448"/>
      <c r="F4" s="448"/>
      <c r="G4" s="449"/>
    </row>
    <row r="5" spans="1:11" ht="12.95" customHeight="1">
      <c r="A5" s="289"/>
      <c r="B5" s="290"/>
      <c r="C5" s="290"/>
      <c r="D5" s="290"/>
      <c r="E5" s="290"/>
      <c r="F5" s="290"/>
      <c r="G5" s="290"/>
    </row>
    <row r="6" spans="1:11" ht="12.95" customHeight="1">
      <c r="A6" s="289"/>
      <c r="B6" s="275"/>
      <c r="C6" s="275"/>
      <c r="D6" s="275"/>
      <c r="E6" s="275"/>
      <c r="F6" s="275"/>
      <c r="G6" s="275" t="s">
        <v>68</v>
      </c>
    </row>
    <row r="7" spans="1:11" ht="12.95" customHeight="1">
      <c r="A7" s="289"/>
      <c r="B7" s="291"/>
      <c r="C7" s="139"/>
      <c r="D7" s="291"/>
      <c r="E7" s="291"/>
      <c r="F7" s="291"/>
      <c r="G7" s="291" t="s">
        <v>378</v>
      </c>
    </row>
    <row r="8" spans="1:11" ht="12.95" customHeight="1">
      <c r="A8" s="289"/>
      <c r="B8" s="291" t="s">
        <v>68</v>
      </c>
      <c r="C8" s="291" t="s">
        <v>382</v>
      </c>
      <c r="D8" s="291" t="s">
        <v>383</v>
      </c>
      <c r="E8" s="291"/>
      <c r="F8" s="291" t="s">
        <v>68</v>
      </c>
      <c r="G8" s="292" t="s">
        <v>73</v>
      </c>
    </row>
    <row r="9" spans="1:11" ht="12.95" customHeight="1">
      <c r="A9" s="289"/>
      <c r="B9" s="291" t="s">
        <v>122</v>
      </c>
      <c r="C9" s="291" t="s">
        <v>108</v>
      </c>
      <c r="D9" s="291" t="s">
        <v>385</v>
      </c>
      <c r="E9" s="291" t="s">
        <v>386</v>
      </c>
      <c r="F9" s="291" t="s">
        <v>378</v>
      </c>
      <c r="G9" s="291" t="s">
        <v>387</v>
      </c>
    </row>
    <row r="10" spans="1:11" ht="12.95" customHeight="1">
      <c r="A10" s="20"/>
      <c r="B10" s="292" t="s">
        <v>277</v>
      </c>
      <c r="C10" s="291" t="s">
        <v>384</v>
      </c>
      <c r="D10" s="292" t="s">
        <v>318</v>
      </c>
      <c r="E10" s="292" t="s">
        <v>198</v>
      </c>
      <c r="F10" s="534" t="s">
        <v>277</v>
      </c>
      <c r="G10" s="292" t="s">
        <v>198</v>
      </c>
    </row>
    <row r="11" spans="1:11" ht="15.95" customHeight="1">
      <c r="A11" s="22" t="s">
        <v>94</v>
      </c>
      <c r="B11" s="293" t="s">
        <v>388</v>
      </c>
      <c r="C11" s="293" t="s">
        <v>145</v>
      </c>
      <c r="D11" s="293" t="s">
        <v>11</v>
      </c>
      <c r="E11" s="293" t="s">
        <v>131</v>
      </c>
      <c r="F11" s="293" t="s">
        <v>705</v>
      </c>
      <c r="G11" s="293" t="s">
        <v>131</v>
      </c>
    </row>
    <row r="12" spans="1:11" ht="5.0999999999999996" customHeight="1">
      <c r="A12" s="25"/>
      <c r="C12" s="284"/>
      <c r="D12" s="236"/>
      <c r="E12" s="6"/>
    </row>
    <row r="13" spans="1:11" ht="14.1" customHeight="1">
      <c r="A13" s="412" t="s">
        <v>236</v>
      </c>
      <c r="B13" s="410">
        <f>'- 3 -'!B11</f>
        <v>15693879</v>
      </c>
      <c r="C13" s="410">
        <v>488375</v>
      </c>
      <c r="D13" s="410">
        <v>0</v>
      </c>
      <c r="E13" s="410">
        <f>SUM(B13:D13)</f>
        <v>16182254</v>
      </c>
      <c r="F13" s="410">
        <f>'- 63 -'!G13</f>
        <v>690072</v>
      </c>
      <c r="G13" s="337">
        <f>F13/E13*100</f>
        <v>4.2643750370004074</v>
      </c>
      <c r="H13" s="531">
        <v>4.2643750370004077E-2</v>
      </c>
      <c r="I13" s="410">
        <v>16182254</v>
      </c>
      <c r="J13" s="1">
        <f t="shared" ref="J13:J48" si="0">I13-E13</f>
        <v>0</v>
      </c>
      <c r="K13" s="1">
        <f>+G13/100-H13</f>
        <v>0</v>
      </c>
    </row>
    <row r="14" spans="1:11" ht="14.1" customHeight="1">
      <c r="A14" s="270" t="s">
        <v>237</v>
      </c>
      <c r="B14" s="171">
        <f>'- 3 -'!B12</f>
        <v>29886560</v>
      </c>
      <c r="C14" s="171">
        <v>1407899</v>
      </c>
      <c r="D14" s="171">
        <v>-510435</v>
      </c>
      <c r="E14" s="171">
        <f>SUM(B14:D14)</f>
        <v>30784024</v>
      </c>
      <c r="F14" s="171">
        <f>'- 63 -'!G14</f>
        <v>1062144</v>
      </c>
      <c r="G14" s="79">
        <f t="shared" ref="G14:G52" si="1">F14/E14*100</f>
        <v>3.4503091603618814</v>
      </c>
      <c r="H14" s="158">
        <v>3.4503091603618814E-2</v>
      </c>
      <c r="I14" s="171">
        <v>30784024</v>
      </c>
      <c r="J14" s="1">
        <f t="shared" si="0"/>
        <v>0</v>
      </c>
      <c r="K14" s="1">
        <f t="shared" ref="K14:K52" si="2">+G14/100-H14</f>
        <v>0</v>
      </c>
    </row>
    <row r="15" spans="1:11" ht="14.1" customHeight="1">
      <c r="A15" s="412" t="s">
        <v>238</v>
      </c>
      <c r="B15" s="410">
        <f>'- 3 -'!B13</f>
        <v>80564552</v>
      </c>
      <c r="C15" s="410">
        <v>806820</v>
      </c>
      <c r="D15" s="410">
        <v>0</v>
      </c>
      <c r="E15" s="410">
        <f>SUM(B15:D15)</f>
        <v>81371372</v>
      </c>
      <c r="F15" s="410">
        <f>'- 63 -'!G15</f>
        <v>2704397</v>
      </c>
      <c r="G15" s="337">
        <f t="shared" si="1"/>
        <v>3.323523904697097</v>
      </c>
      <c r="H15" s="531">
        <v>3.3235239046970969E-2</v>
      </c>
      <c r="I15" s="410">
        <v>81371372</v>
      </c>
      <c r="J15" s="1">
        <f t="shared" si="0"/>
        <v>0</v>
      </c>
      <c r="K15" s="1">
        <f t="shared" si="2"/>
        <v>0</v>
      </c>
    </row>
    <row r="16" spans="1:11" ht="14.1" customHeight="1">
      <c r="A16" s="270" t="s">
        <v>656</v>
      </c>
      <c r="B16" s="171"/>
      <c r="C16" s="171">
        <v>0</v>
      </c>
      <c r="D16" s="171"/>
      <c r="E16" s="171"/>
      <c r="F16" s="171"/>
      <c r="G16" s="450" t="s">
        <v>196</v>
      </c>
      <c r="H16" s="158"/>
      <c r="I16" s="171"/>
      <c r="K16" s="1">
        <v>0</v>
      </c>
    </row>
    <row r="17" spans="1:11" ht="14.1" customHeight="1">
      <c r="A17" s="412" t="s">
        <v>239</v>
      </c>
      <c r="B17" s="410">
        <f>'- 3 -'!B15</f>
        <v>18640497</v>
      </c>
      <c r="C17" s="410">
        <v>909554</v>
      </c>
      <c r="D17" s="410">
        <v>0</v>
      </c>
      <c r="E17" s="410">
        <f>SUM(B17:D17)</f>
        <v>19550051</v>
      </c>
      <c r="F17" s="410">
        <f>'- 63 -'!G17</f>
        <v>901773</v>
      </c>
      <c r="G17" s="337">
        <f t="shared" si="1"/>
        <v>4.6126375834006774</v>
      </c>
      <c r="H17" s="531">
        <v>4.6126375834006778E-2</v>
      </c>
      <c r="I17" s="410">
        <v>19550051</v>
      </c>
      <c r="J17" s="1">
        <f t="shared" si="0"/>
        <v>0</v>
      </c>
      <c r="K17" s="1">
        <f t="shared" si="2"/>
        <v>0</v>
      </c>
    </row>
    <row r="18" spans="1:11" ht="14.1" customHeight="1">
      <c r="A18" s="270" t="s">
        <v>240</v>
      </c>
      <c r="B18" s="171">
        <f>'- 3 -'!B16</f>
        <v>12777465</v>
      </c>
      <c r="C18" s="171">
        <v>291840</v>
      </c>
      <c r="D18" s="171">
        <v>-92300</v>
      </c>
      <c r="E18" s="171">
        <f>SUM(B18:D18)</f>
        <v>12977005</v>
      </c>
      <c r="F18" s="171">
        <f>'- 63 -'!G18</f>
        <v>702832</v>
      </c>
      <c r="G18" s="79">
        <f t="shared" si="1"/>
        <v>5.4159800354550223</v>
      </c>
      <c r="H18" s="158">
        <v>5.4159800354550224E-2</v>
      </c>
      <c r="I18" s="171">
        <v>12977005</v>
      </c>
      <c r="J18" s="1">
        <f t="shared" si="0"/>
        <v>0</v>
      </c>
      <c r="K18" s="1">
        <f t="shared" si="2"/>
        <v>0</v>
      </c>
    </row>
    <row r="19" spans="1:11" ht="14.1" customHeight="1">
      <c r="A19" s="412" t="s">
        <v>241</v>
      </c>
      <c r="B19" s="410">
        <f>'- 3 -'!B17</f>
        <v>16333625</v>
      </c>
      <c r="C19" s="410">
        <v>889033</v>
      </c>
      <c r="D19" s="410">
        <v>0</v>
      </c>
      <c r="E19" s="410">
        <f>SUM(B19:D19)</f>
        <v>17222658</v>
      </c>
      <c r="F19" s="410">
        <f>'- 63 -'!G19</f>
        <v>844805</v>
      </c>
      <c r="G19" s="337">
        <f t="shared" si="1"/>
        <v>4.9051952375759882</v>
      </c>
      <c r="H19" s="531">
        <v>4.9051952375759884E-2</v>
      </c>
      <c r="I19" s="410">
        <v>17222658</v>
      </c>
      <c r="J19" s="1">
        <f t="shared" si="0"/>
        <v>0</v>
      </c>
      <c r="K19" s="1">
        <f t="shared" si="2"/>
        <v>0</v>
      </c>
    </row>
    <row r="20" spans="1:11" ht="14.1" customHeight="1">
      <c r="A20" s="270" t="s">
        <v>242</v>
      </c>
      <c r="B20" s="171"/>
      <c r="C20" s="171">
        <v>0</v>
      </c>
      <c r="D20" s="171"/>
      <c r="E20" s="171"/>
      <c r="F20" s="171"/>
      <c r="G20" s="450" t="s">
        <v>196</v>
      </c>
      <c r="H20" s="158"/>
      <c r="I20" s="171"/>
      <c r="J20" s="1">
        <f t="shared" si="0"/>
        <v>0</v>
      </c>
      <c r="K20" s="1">
        <v>0</v>
      </c>
    </row>
    <row r="21" spans="1:11" ht="14.1" customHeight="1">
      <c r="A21" s="412" t="s">
        <v>243</v>
      </c>
      <c r="B21" s="410">
        <f>'- 3 -'!B19</f>
        <v>39338942</v>
      </c>
      <c r="C21" s="410">
        <v>2519381</v>
      </c>
      <c r="D21" s="410">
        <v>0</v>
      </c>
      <c r="E21" s="410">
        <f t="shared" ref="E21:E48" si="3">SUM(B21:D21)</f>
        <v>41858323</v>
      </c>
      <c r="F21" s="410">
        <f>'- 63 -'!G21</f>
        <v>1429622</v>
      </c>
      <c r="G21" s="337">
        <f t="shared" si="1"/>
        <v>3.415382885740549</v>
      </c>
      <c r="H21" s="531">
        <v>3.4153828857405491E-2</v>
      </c>
      <c r="I21" s="410">
        <v>41858323</v>
      </c>
      <c r="J21" s="1">
        <f t="shared" si="0"/>
        <v>0</v>
      </c>
      <c r="K21" s="1">
        <f t="shared" si="2"/>
        <v>0</v>
      </c>
    </row>
    <row r="22" spans="1:11" ht="14.1" customHeight="1">
      <c r="A22" s="270" t="s">
        <v>244</v>
      </c>
      <c r="B22" s="171">
        <f>'- 3 -'!B20</f>
        <v>68612816</v>
      </c>
      <c r="C22" s="171">
        <v>2009614</v>
      </c>
      <c r="D22" s="171">
        <v>0</v>
      </c>
      <c r="E22" s="171">
        <f t="shared" si="3"/>
        <v>70622430</v>
      </c>
      <c r="F22" s="171">
        <f>'- 63 -'!G22</f>
        <v>2391311</v>
      </c>
      <c r="G22" s="79">
        <f t="shared" si="1"/>
        <v>3.3860502959187326</v>
      </c>
      <c r="H22" s="158">
        <v>3.3860502959187327E-2</v>
      </c>
      <c r="I22" s="171">
        <v>70622430</v>
      </c>
      <c r="J22" s="1">
        <f t="shared" si="0"/>
        <v>0</v>
      </c>
      <c r="K22" s="1">
        <f t="shared" si="2"/>
        <v>0</v>
      </c>
    </row>
    <row r="23" spans="1:11" ht="14.1" customHeight="1">
      <c r="A23" s="412" t="s">
        <v>245</v>
      </c>
      <c r="B23" s="410">
        <f>'- 3 -'!B21</f>
        <v>33065031</v>
      </c>
      <c r="C23" s="410">
        <v>73913</v>
      </c>
      <c r="D23" s="410">
        <v>0</v>
      </c>
      <c r="E23" s="410">
        <f t="shared" si="3"/>
        <v>33138944</v>
      </c>
      <c r="F23" s="410">
        <f>'- 63 -'!G23</f>
        <v>1663325</v>
      </c>
      <c r="G23" s="337">
        <f t="shared" si="1"/>
        <v>5.0192456343811074</v>
      </c>
      <c r="H23" s="531">
        <v>5.0192456343811073E-2</v>
      </c>
      <c r="I23" s="410">
        <v>33138944</v>
      </c>
      <c r="J23" s="1">
        <f t="shared" si="0"/>
        <v>0</v>
      </c>
      <c r="K23" s="1">
        <f t="shared" si="2"/>
        <v>0</v>
      </c>
    </row>
    <row r="24" spans="1:11" ht="14.1" customHeight="1">
      <c r="A24" s="270" t="s">
        <v>246</v>
      </c>
      <c r="B24" s="171">
        <f>'- 3 -'!B22</f>
        <v>18590105</v>
      </c>
      <c r="C24" s="171">
        <v>87043</v>
      </c>
      <c r="D24" s="171">
        <v>-594946</v>
      </c>
      <c r="E24" s="171">
        <f t="shared" si="3"/>
        <v>18082202</v>
      </c>
      <c r="F24" s="171">
        <f>'- 63 -'!G24</f>
        <v>893701</v>
      </c>
      <c r="G24" s="79">
        <f t="shared" si="1"/>
        <v>4.9424345552604709</v>
      </c>
      <c r="H24" s="158">
        <v>4.9424345552604713E-2</v>
      </c>
      <c r="I24" s="171">
        <v>18082202</v>
      </c>
      <c r="J24" s="1">
        <f t="shared" si="0"/>
        <v>0</v>
      </c>
      <c r="K24" s="1">
        <f t="shared" si="2"/>
        <v>0</v>
      </c>
    </row>
    <row r="25" spans="1:11" ht="14.1" customHeight="1">
      <c r="A25" s="412" t="s">
        <v>247</v>
      </c>
      <c r="B25" s="410">
        <f>'- 3 -'!B23</f>
        <v>16116096</v>
      </c>
      <c r="C25" s="410">
        <v>505544</v>
      </c>
      <c r="D25" s="410">
        <v>-246128</v>
      </c>
      <c r="E25" s="410">
        <f t="shared" si="3"/>
        <v>16375512</v>
      </c>
      <c r="F25" s="410">
        <f>'- 63 -'!G25</f>
        <v>708503</v>
      </c>
      <c r="G25" s="337">
        <f t="shared" si="1"/>
        <v>4.3266005972820887</v>
      </c>
      <c r="H25" s="531">
        <v>4.3266005972820883E-2</v>
      </c>
      <c r="I25" s="410">
        <v>16375512</v>
      </c>
      <c r="J25" s="1">
        <f t="shared" si="0"/>
        <v>0</v>
      </c>
      <c r="K25" s="1">
        <f t="shared" si="2"/>
        <v>0</v>
      </c>
    </row>
    <row r="26" spans="1:11" ht="14.1" customHeight="1">
      <c r="A26" s="270" t="s">
        <v>248</v>
      </c>
      <c r="B26" s="171">
        <f>'- 3 -'!B24</f>
        <v>51350456</v>
      </c>
      <c r="C26" s="171">
        <v>710013</v>
      </c>
      <c r="D26" s="171">
        <v>-381407</v>
      </c>
      <c r="E26" s="171">
        <f t="shared" si="3"/>
        <v>51679062</v>
      </c>
      <c r="F26" s="171">
        <f>'- 63 -'!G26</f>
        <v>2113937</v>
      </c>
      <c r="G26" s="79">
        <f t="shared" si="1"/>
        <v>4.0905096148997444</v>
      </c>
      <c r="H26" s="158">
        <v>4.0905096148997441E-2</v>
      </c>
      <c r="I26" s="171">
        <v>51679062</v>
      </c>
      <c r="J26" s="1">
        <f t="shared" si="0"/>
        <v>0</v>
      </c>
      <c r="K26" s="1">
        <f t="shared" si="2"/>
        <v>0</v>
      </c>
    </row>
    <row r="27" spans="1:11" ht="14.1" customHeight="1">
      <c r="A27" s="412" t="s">
        <v>249</v>
      </c>
      <c r="B27" s="410">
        <f>'- 3 -'!B25</f>
        <v>151083349</v>
      </c>
      <c r="C27" s="410">
        <v>1133258</v>
      </c>
      <c r="D27" s="410">
        <v>0</v>
      </c>
      <c r="E27" s="410">
        <f t="shared" si="3"/>
        <v>152216607</v>
      </c>
      <c r="F27" s="410">
        <f>'- 63 -'!G27</f>
        <v>5362889</v>
      </c>
      <c r="G27" s="337">
        <f t="shared" si="1"/>
        <v>3.5231957311990274</v>
      </c>
      <c r="H27" s="531">
        <v>3.5231957311990275E-2</v>
      </c>
      <c r="I27" s="410">
        <v>152216607</v>
      </c>
      <c r="J27" s="1">
        <f t="shared" si="0"/>
        <v>0</v>
      </c>
      <c r="K27" s="1">
        <f t="shared" si="2"/>
        <v>0</v>
      </c>
    </row>
    <row r="28" spans="1:11" ht="14.1" customHeight="1">
      <c r="A28" s="270" t="s">
        <v>250</v>
      </c>
      <c r="B28" s="171">
        <f>'- 3 -'!B26</f>
        <v>37296772</v>
      </c>
      <c r="C28" s="171">
        <v>588662</v>
      </c>
      <c r="D28" s="171">
        <v>0</v>
      </c>
      <c r="E28" s="171">
        <f t="shared" si="3"/>
        <v>37885434</v>
      </c>
      <c r="F28" s="171">
        <f>'- 63 -'!G28</f>
        <v>1454547</v>
      </c>
      <c r="G28" s="79">
        <f t="shared" si="1"/>
        <v>3.8393304402953388</v>
      </c>
      <c r="H28" s="158">
        <v>3.8393304402953389E-2</v>
      </c>
      <c r="I28" s="171">
        <v>37885434</v>
      </c>
      <c r="J28" s="1">
        <f t="shared" si="0"/>
        <v>0</v>
      </c>
      <c r="K28" s="1">
        <f t="shared" si="2"/>
        <v>0</v>
      </c>
    </row>
    <row r="29" spans="1:11" ht="14.1" customHeight="1">
      <c r="A29" s="412" t="s">
        <v>251</v>
      </c>
      <c r="B29" s="410">
        <f>'- 3 -'!B27</f>
        <v>36464752</v>
      </c>
      <c r="C29" s="410">
        <v>326796</v>
      </c>
      <c r="D29" s="410">
        <v>0</v>
      </c>
      <c r="E29" s="410">
        <f t="shared" si="3"/>
        <v>36791548</v>
      </c>
      <c r="F29" s="410">
        <f>'- 63 -'!G29</f>
        <v>1895535</v>
      </c>
      <c r="G29" s="337">
        <f t="shared" si="1"/>
        <v>5.1520936275907721</v>
      </c>
      <c r="H29" s="531">
        <v>5.1520936275907717E-2</v>
      </c>
      <c r="I29" s="410">
        <v>36791548</v>
      </c>
      <c r="J29" s="1">
        <f t="shared" si="0"/>
        <v>0</v>
      </c>
      <c r="K29" s="1">
        <f t="shared" si="2"/>
        <v>0</v>
      </c>
    </row>
    <row r="30" spans="1:11" ht="14.1" customHeight="1">
      <c r="A30" s="270" t="s">
        <v>252</v>
      </c>
      <c r="B30" s="171">
        <f>'- 3 -'!B28</f>
        <v>25569477</v>
      </c>
      <c r="C30" s="171">
        <v>465648</v>
      </c>
      <c r="D30" s="171">
        <v>-178066</v>
      </c>
      <c r="E30" s="171">
        <f t="shared" si="3"/>
        <v>25857059</v>
      </c>
      <c r="F30" s="171">
        <f>'- 63 -'!G30</f>
        <v>1153617</v>
      </c>
      <c r="G30" s="79">
        <f t="shared" si="1"/>
        <v>4.4615166790623793</v>
      </c>
      <c r="H30" s="158">
        <v>4.4615166790623793E-2</v>
      </c>
      <c r="I30" s="171">
        <v>25857059</v>
      </c>
      <c r="J30" s="1">
        <f t="shared" si="0"/>
        <v>0</v>
      </c>
      <c r="K30" s="1">
        <f t="shared" si="2"/>
        <v>0</v>
      </c>
    </row>
    <row r="31" spans="1:11" ht="14.1" customHeight="1">
      <c r="A31" s="412" t="s">
        <v>253</v>
      </c>
      <c r="B31" s="410">
        <f>'- 3 -'!B29</f>
        <v>139877553</v>
      </c>
      <c r="C31" s="410">
        <v>291760</v>
      </c>
      <c r="D31" s="410">
        <v>0</v>
      </c>
      <c r="E31" s="410">
        <f t="shared" si="3"/>
        <v>140169313</v>
      </c>
      <c r="F31" s="410">
        <f>'- 63 -'!G31</f>
        <v>5060009</v>
      </c>
      <c r="G31" s="337">
        <f t="shared" si="1"/>
        <v>3.6099263752544757</v>
      </c>
      <c r="H31" s="531">
        <v>3.6099263752544755E-2</v>
      </c>
      <c r="I31" s="410">
        <v>140169313</v>
      </c>
      <c r="J31" s="1">
        <f t="shared" si="0"/>
        <v>0</v>
      </c>
      <c r="K31" s="1">
        <f t="shared" si="2"/>
        <v>0</v>
      </c>
    </row>
    <row r="32" spans="1:11" ht="14.1" customHeight="1">
      <c r="A32" s="270" t="s">
        <v>254</v>
      </c>
      <c r="B32" s="171">
        <f>'- 3 -'!B30</f>
        <v>13352793</v>
      </c>
      <c r="C32" s="171">
        <v>279947</v>
      </c>
      <c r="D32" s="171">
        <v>0</v>
      </c>
      <c r="E32" s="171">
        <f t="shared" si="3"/>
        <v>13632740</v>
      </c>
      <c r="F32" s="171">
        <f>'- 63 -'!G32</f>
        <v>618694</v>
      </c>
      <c r="G32" s="79">
        <f t="shared" si="1"/>
        <v>4.5382953096736243</v>
      </c>
      <c r="H32" s="158">
        <v>4.5382953096736241E-2</v>
      </c>
      <c r="I32" s="171">
        <v>13632740</v>
      </c>
      <c r="J32" s="1">
        <f t="shared" si="0"/>
        <v>0</v>
      </c>
      <c r="K32" s="1">
        <f t="shared" si="2"/>
        <v>0</v>
      </c>
    </row>
    <row r="33" spans="1:11" ht="14.1" customHeight="1">
      <c r="A33" s="412" t="s">
        <v>255</v>
      </c>
      <c r="B33" s="410">
        <f>'- 3 -'!B31</f>
        <v>32688023</v>
      </c>
      <c r="C33" s="410">
        <v>988831</v>
      </c>
      <c r="D33" s="410">
        <v>0</v>
      </c>
      <c r="E33" s="410">
        <f t="shared" si="3"/>
        <v>33676854</v>
      </c>
      <c r="F33" s="410">
        <f>'- 63 -'!G33</f>
        <v>1251454</v>
      </c>
      <c r="G33" s="337">
        <f t="shared" si="1"/>
        <v>3.7160656396229883</v>
      </c>
      <c r="H33" s="531">
        <v>3.7160656396229882E-2</v>
      </c>
      <c r="I33" s="410">
        <v>33676854</v>
      </c>
      <c r="J33" s="1">
        <f t="shared" si="0"/>
        <v>0</v>
      </c>
      <c r="K33" s="1">
        <f t="shared" si="2"/>
        <v>0</v>
      </c>
    </row>
    <row r="34" spans="1:11" ht="14.1" customHeight="1">
      <c r="A34" s="270" t="s">
        <v>256</v>
      </c>
      <c r="B34" s="171">
        <f>'- 3 -'!B32</f>
        <v>24927741</v>
      </c>
      <c r="C34" s="171">
        <v>393157</v>
      </c>
      <c r="D34" s="171">
        <v>-255428</v>
      </c>
      <c r="E34" s="171">
        <f t="shared" si="3"/>
        <v>25065470</v>
      </c>
      <c r="F34" s="171">
        <f>'- 63 -'!G34</f>
        <v>1119400</v>
      </c>
      <c r="G34" s="79">
        <f t="shared" si="1"/>
        <v>4.4659046888009684</v>
      </c>
      <c r="H34" s="158">
        <v>4.4659046888009681E-2</v>
      </c>
      <c r="I34" s="171">
        <v>25065470</v>
      </c>
      <c r="J34" s="1">
        <f t="shared" si="0"/>
        <v>0</v>
      </c>
      <c r="K34" s="1">
        <f t="shared" si="2"/>
        <v>0</v>
      </c>
    </row>
    <row r="35" spans="1:11" ht="14.1" customHeight="1">
      <c r="A35" s="412" t="s">
        <v>257</v>
      </c>
      <c r="B35" s="410">
        <f>'- 3 -'!B33</f>
        <v>25383047</v>
      </c>
      <c r="C35" s="410">
        <v>1221801</v>
      </c>
      <c r="D35" s="410">
        <v>0</v>
      </c>
      <c r="E35" s="410">
        <f t="shared" si="3"/>
        <v>26604848</v>
      </c>
      <c r="F35" s="410">
        <f>'- 63 -'!G35</f>
        <v>987292</v>
      </c>
      <c r="G35" s="337">
        <f t="shared" si="1"/>
        <v>3.7109477190021911</v>
      </c>
      <c r="H35" s="531">
        <v>3.710947719002191E-2</v>
      </c>
      <c r="I35" s="410">
        <v>26604848</v>
      </c>
      <c r="J35" s="1">
        <f t="shared" si="0"/>
        <v>0</v>
      </c>
      <c r="K35" s="1">
        <f t="shared" si="2"/>
        <v>0</v>
      </c>
    </row>
    <row r="36" spans="1:11" ht="14.1" customHeight="1">
      <c r="A36" s="270" t="s">
        <v>258</v>
      </c>
      <c r="B36" s="171">
        <f>'- 3 -'!B34</f>
        <v>24560860</v>
      </c>
      <c r="C36" s="171">
        <v>688111</v>
      </c>
      <c r="D36" s="171">
        <v>0</v>
      </c>
      <c r="E36" s="171">
        <f t="shared" si="3"/>
        <v>25248971</v>
      </c>
      <c r="F36" s="171">
        <f>'- 63 -'!G36</f>
        <v>1098786</v>
      </c>
      <c r="G36" s="79">
        <f t="shared" si="1"/>
        <v>4.3518050696006583</v>
      </c>
      <c r="H36" s="158">
        <v>4.3518050696006581E-2</v>
      </c>
      <c r="I36" s="171">
        <v>25248971</v>
      </c>
      <c r="J36" s="1">
        <f t="shared" si="0"/>
        <v>0</v>
      </c>
      <c r="K36" s="1">
        <f t="shared" si="2"/>
        <v>0</v>
      </c>
    </row>
    <row r="37" spans="1:11" ht="14.1" customHeight="1">
      <c r="A37" s="412" t="s">
        <v>259</v>
      </c>
      <c r="B37" s="410">
        <f>'- 3 -'!B35</f>
        <v>166543803</v>
      </c>
      <c r="C37" s="410">
        <v>4387361</v>
      </c>
      <c r="D37" s="410">
        <v>-1021822</v>
      </c>
      <c r="E37" s="410">
        <f t="shared" si="3"/>
        <v>169909342</v>
      </c>
      <c r="F37" s="410">
        <f>'- 63 -'!G37</f>
        <v>5889033</v>
      </c>
      <c r="G37" s="337">
        <f t="shared" si="1"/>
        <v>3.4659854076769947</v>
      </c>
      <c r="H37" s="531">
        <v>3.4659854076769948E-2</v>
      </c>
      <c r="I37" s="410">
        <v>169909342</v>
      </c>
      <c r="J37" s="1">
        <f t="shared" si="0"/>
        <v>0</v>
      </c>
      <c r="K37" s="1">
        <f t="shared" si="2"/>
        <v>0</v>
      </c>
    </row>
    <row r="38" spans="1:11" ht="14.1" customHeight="1">
      <c r="A38" s="270" t="s">
        <v>260</v>
      </c>
      <c r="B38" s="171">
        <f>'- 3 -'!B36</f>
        <v>20818778</v>
      </c>
      <c r="C38" s="171">
        <v>923646</v>
      </c>
      <c r="D38" s="171">
        <v>-115037</v>
      </c>
      <c r="E38" s="171">
        <f t="shared" si="3"/>
        <v>21627387</v>
      </c>
      <c r="F38" s="171">
        <f>'- 63 -'!G38</f>
        <v>991738</v>
      </c>
      <c r="G38" s="79">
        <f t="shared" si="1"/>
        <v>4.585565514687465</v>
      </c>
      <c r="H38" s="158">
        <v>4.5855655146874653E-2</v>
      </c>
      <c r="I38" s="171">
        <v>21627387</v>
      </c>
      <c r="J38" s="1">
        <f t="shared" si="0"/>
        <v>0</v>
      </c>
      <c r="K38" s="1">
        <f t="shared" si="2"/>
        <v>0</v>
      </c>
    </row>
    <row r="39" spans="1:11" ht="14.1" customHeight="1">
      <c r="A39" s="412" t="s">
        <v>261</v>
      </c>
      <c r="B39" s="410">
        <f>'- 3 -'!B37</f>
        <v>40179402</v>
      </c>
      <c r="C39" s="410">
        <v>830650</v>
      </c>
      <c r="D39" s="410">
        <v>-305358</v>
      </c>
      <c r="E39" s="410">
        <f t="shared" si="3"/>
        <v>40704694</v>
      </c>
      <c r="F39" s="410">
        <f>'- 63 -'!G39</f>
        <v>1656559</v>
      </c>
      <c r="G39" s="337">
        <f t="shared" si="1"/>
        <v>4.0697001677496951</v>
      </c>
      <c r="H39" s="531">
        <v>4.0697001677496951E-2</v>
      </c>
      <c r="I39" s="410">
        <v>40704694</v>
      </c>
      <c r="J39" s="1">
        <f t="shared" si="0"/>
        <v>0</v>
      </c>
      <c r="K39" s="1">
        <f t="shared" si="2"/>
        <v>0</v>
      </c>
    </row>
    <row r="40" spans="1:11" ht="14.1" customHeight="1">
      <c r="A40" s="270" t="s">
        <v>262</v>
      </c>
      <c r="B40" s="171">
        <f>'- 3 -'!B38</f>
        <v>111321954</v>
      </c>
      <c r="C40" s="171">
        <v>1886471</v>
      </c>
      <c r="D40" s="171">
        <v>-738060</v>
      </c>
      <c r="E40" s="171">
        <f t="shared" si="3"/>
        <v>112470365</v>
      </c>
      <c r="F40" s="171">
        <f>'- 63 -'!G40</f>
        <v>4135700</v>
      </c>
      <c r="G40" s="79">
        <f t="shared" si="1"/>
        <v>3.6771464198591333</v>
      </c>
      <c r="H40" s="158">
        <v>3.6771464198591335E-2</v>
      </c>
      <c r="I40" s="171">
        <v>112470365</v>
      </c>
      <c r="J40" s="1">
        <f t="shared" si="0"/>
        <v>0</v>
      </c>
      <c r="K40" s="1">
        <f t="shared" si="2"/>
        <v>0</v>
      </c>
    </row>
    <row r="41" spans="1:11" ht="14.1" customHeight="1">
      <c r="A41" s="412" t="s">
        <v>263</v>
      </c>
      <c r="B41" s="410">
        <f>'- 3 -'!B39</f>
        <v>19647609</v>
      </c>
      <c r="C41" s="410">
        <v>730927</v>
      </c>
      <c r="D41" s="410">
        <v>0</v>
      </c>
      <c r="E41" s="410">
        <f t="shared" si="3"/>
        <v>20378536</v>
      </c>
      <c r="F41" s="410">
        <f>'- 63 -'!G41</f>
        <v>958551</v>
      </c>
      <c r="G41" s="337">
        <f t="shared" si="1"/>
        <v>4.703728471956965</v>
      </c>
      <c r="H41" s="531">
        <v>4.7037284719569653E-2</v>
      </c>
      <c r="I41" s="410">
        <v>20378536</v>
      </c>
      <c r="J41" s="1">
        <f t="shared" si="0"/>
        <v>0</v>
      </c>
      <c r="K41" s="1">
        <f t="shared" si="2"/>
        <v>0</v>
      </c>
    </row>
    <row r="42" spans="1:11" ht="14.1" customHeight="1">
      <c r="A42" s="270" t="s">
        <v>264</v>
      </c>
      <c r="B42" s="171">
        <f>'- 3 -'!B40</f>
        <v>93252074</v>
      </c>
      <c r="C42" s="171">
        <v>2288997</v>
      </c>
      <c r="D42" s="171">
        <v>0</v>
      </c>
      <c r="E42" s="171">
        <f t="shared" si="3"/>
        <v>95541071</v>
      </c>
      <c r="F42" s="171">
        <f>'- 63 -'!G42</f>
        <v>3439806</v>
      </c>
      <c r="G42" s="79">
        <f t="shared" si="1"/>
        <v>3.600342725904758</v>
      </c>
      <c r="H42" s="158">
        <v>3.600342725904758E-2</v>
      </c>
      <c r="I42" s="171">
        <v>95541071</v>
      </c>
      <c r="J42" s="1">
        <f t="shared" si="0"/>
        <v>0</v>
      </c>
      <c r="K42" s="1">
        <f t="shared" si="2"/>
        <v>0</v>
      </c>
    </row>
    <row r="43" spans="1:11" ht="14.1" customHeight="1">
      <c r="A43" s="412" t="s">
        <v>265</v>
      </c>
      <c r="B43" s="410">
        <f>'- 3 -'!B41</f>
        <v>58588476</v>
      </c>
      <c r="C43" s="410">
        <v>1734474</v>
      </c>
      <c r="D43" s="410">
        <v>-972366</v>
      </c>
      <c r="E43" s="410">
        <f t="shared" si="3"/>
        <v>59350584</v>
      </c>
      <c r="F43" s="410">
        <f>'- 63 -'!G43</f>
        <v>2828388</v>
      </c>
      <c r="G43" s="337">
        <f t="shared" si="1"/>
        <v>4.7655605208535103</v>
      </c>
      <c r="H43" s="531">
        <v>4.7655605208535103E-2</v>
      </c>
      <c r="I43" s="410">
        <v>59350584</v>
      </c>
      <c r="J43" s="1">
        <f t="shared" si="0"/>
        <v>0</v>
      </c>
      <c r="K43" s="1">
        <f t="shared" si="2"/>
        <v>0</v>
      </c>
    </row>
    <row r="44" spans="1:11" ht="14.1" customHeight="1">
      <c r="A44" s="270" t="s">
        <v>266</v>
      </c>
      <c r="B44" s="171">
        <f>'- 3 -'!B42</f>
        <v>19678799</v>
      </c>
      <c r="C44" s="171">
        <v>914978</v>
      </c>
      <c r="D44" s="171">
        <v>0</v>
      </c>
      <c r="E44" s="171">
        <f t="shared" si="3"/>
        <v>20593777</v>
      </c>
      <c r="F44" s="171">
        <f>'- 63 -'!G44</f>
        <v>888209</v>
      </c>
      <c r="G44" s="79">
        <f t="shared" si="1"/>
        <v>4.312997076738279</v>
      </c>
      <c r="H44" s="158">
        <v>4.3129970767382786E-2</v>
      </c>
      <c r="I44" s="171">
        <v>20593777</v>
      </c>
      <c r="J44" s="1">
        <f t="shared" si="0"/>
        <v>0</v>
      </c>
      <c r="K44" s="1">
        <f t="shared" si="2"/>
        <v>0</v>
      </c>
    </row>
    <row r="45" spans="1:11" ht="14.1" customHeight="1">
      <c r="A45" s="412" t="s">
        <v>267</v>
      </c>
      <c r="B45" s="410">
        <f>'- 3 -'!B43</f>
        <v>11669464</v>
      </c>
      <c r="C45" s="410">
        <v>549867</v>
      </c>
      <c r="D45" s="410">
        <v>-241216</v>
      </c>
      <c r="E45" s="410">
        <f t="shared" si="3"/>
        <v>11978115</v>
      </c>
      <c r="F45" s="410">
        <f>'- 63 -'!G45</f>
        <v>589292</v>
      </c>
      <c r="G45" s="337">
        <f t="shared" si="1"/>
        <v>4.9197390407422201</v>
      </c>
      <c r="H45" s="531">
        <v>4.9197390407422201E-2</v>
      </c>
      <c r="I45" s="410">
        <v>11978115</v>
      </c>
      <c r="J45" s="1">
        <f t="shared" si="0"/>
        <v>0</v>
      </c>
      <c r="K45" s="1">
        <f t="shared" si="2"/>
        <v>0</v>
      </c>
    </row>
    <row r="46" spans="1:11" ht="14.1" customHeight="1">
      <c r="A46" s="270" t="s">
        <v>268</v>
      </c>
      <c r="B46" s="171">
        <f>'- 3 -'!B44</f>
        <v>9949886</v>
      </c>
      <c r="C46" s="171">
        <v>553310</v>
      </c>
      <c r="D46" s="171">
        <v>0</v>
      </c>
      <c r="E46" s="171">
        <f t="shared" si="3"/>
        <v>10503196</v>
      </c>
      <c r="F46" s="171">
        <f>'- 63 -'!G46</f>
        <v>382536</v>
      </c>
      <c r="G46" s="79">
        <f t="shared" si="1"/>
        <v>3.6420914167459122</v>
      </c>
      <c r="H46" s="158">
        <v>3.6420914167459122E-2</v>
      </c>
      <c r="I46" s="171">
        <v>10503196</v>
      </c>
      <c r="J46" s="1">
        <f t="shared" si="0"/>
        <v>0</v>
      </c>
      <c r="K46" s="1">
        <f t="shared" si="2"/>
        <v>0</v>
      </c>
    </row>
    <row r="47" spans="1:11" ht="14.1" customHeight="1">
      <c r="A47" s="412" t="s">
        <v>269</v>
      </c>
      <c r="B47" s="410">
        <f>'- 3 -'!B45</f>
        <v>16420573</v>
      </c>
      <c r="C47" s="410">
        <v>425570</v>
      </c>
      <c r="D47" s="410">
        <v>-376500</v>
      </c>
      <c r="E47" s="410">
        <f t="shared" si="3"/>
        <v>16469643</v>
      </c>
      <c r="F47" s="410">
        <f>'- 63 -'!G47</f>
        <v>720039</v>
      </c>
      <c r="G47" s="337">
        <f t="shared" si="1"/>
        <v>4.3719162582941236</v>
      </c>
      <c r="H47" s="531">
        <v>4.3719162582941236E-2</v>
      </c>
      <c r="I47" s="410">
        <v>16469643</v>
      </c>
      <c r="J47" s="1">
        <f t="shared" si="0"/>
        <v>0</v>
      </c>
      <c r="K47" s="1">
        <f t="shared" si="2"/>
        <v>0</v>
      </c>
    </row>
    <row r="48" spans="1:11" ht="14.1" customHeight="1">
      <c r="A48" s="270" t="s">
        <v>270</v>
      </c>
      <c r="B48" s="171">
        <f>'- 3 -'!B46</f>
        <v>349650753</v>
      </c>
      <c r="C48" s="171">
        <v>4646612</v>
      </c>
      <c r="D48" s="171">
        <v>-774364</v>
      </c>
      <c r="E48" s="171">
        <f t="shared" si="3"/>
        <v>353523001</v>
      </c>
      <c r="F48" s="171">
        <f>'- 63 -'!G48</f>
        <v>10413718</v>
      </c>
      <c r="G48" s="79">
        <f t="shared" si="1"/>
        <v>2.9456974427528126</v>
      </c>
      <c r="H48" s="158">
        <v>2.9456974427528124E-2</v>
      </c>
      <c r="I48" s="171">
        <v>353523001</v>
      </c>
      <c r="J48" s="1">
        <f t="shared" si="0"/>
        <v>0</v>
      </c>
      <c r="K48" s="1">
        <f t="shared" si="2"/>
        <v>0</v>
      </c>
    </row>
    <row r="49" spans="1:11" ht="5.0999999999999996" customHeight="1">
      <c r="A49" s="148"/>
      <c r="B49" s="172"/>
      <c r="C49" s="172"/>
      <c r="D49" s="172"/>
      <c r="E49" s="172"/>
      <c r="F49" s="172"/>
      <c r="G49"/>
      <c r="H49" s="149"/>
      <c r="I49" s="172"/>
    </row>
    <row r="50" spans="1:11" ht="14.45" customHeight="1">
      <c r="A50" s="413" t="s">
        <v>271</v>
      </c>
      <c r="B50" s="414">
        <f>SUM(B13:B48)</f>
        <v>1829895962</v>
      </c>
      <c r="C50" s="414">
        <f>SUM(C13:C48)</f>
        <v>36949863</v>
      </c>
      <c r="D50" s="414">
        <f>SUM(D13:D48)</f>
        <v>-6803433</v>
      </c>
      <c r="E50" s="414">
        <f>SUM(E13:E48)</f>
        <v>1860042392</v>
      </c>
      <c r="F50" s="414">
        <f>SUM(F13:F48)</f>
        <v>69002214</v>
      </c>
      <c r="G50" s="340">
        <f t="shared" si="1"/>
        <v>3.7097119020930358</v>
      </c>
      <c r="H50" s="532"/>
      <c r="I50" s="414">
        <f>SUM(I13:I48)</f>
        <v>1860042392</v>
      </c>
      <c r="J50" s="1">
        <f>I50-E50</f>
        <v>0</v>
      </c>
    </row>
    <row r="51" spans="1:11" ht="5.0999999999999996" customHeight="1">
      <c r="A51" s="148" t="s">
        <v>17</v>
      </c>
      <c r="B51" s="172"/>
      <c r="C51" s="172"/>
      <c r="D51" s="172"/>
      <c r="E51" s="172"/>
      <c r="F51" s="172"/>
      <c r="G51"/>
      <c r="H51" s="149"/>
      <c r="I51" s="172"/>
    </row>
    <row r="52" spans="1:11" ht="14.45" customHeight="1">
      <c r="A52" s="270" t="s">
        <v>272</v>
      </c>
      <c r="B52" s="171">
        <f>'- 3 -'!B50</f>
        <v>3171533</v>
      </c>
      <c r="C52" s="171">
        <v>49802</v>
      </c>
      <c r="D52" s="171">
        <v>0</v>
      </c>
      <c r="E52" s="171">
        <f>SUM(B52:D52)</f>
        <v>3221335</v>
      </c>
      <c r="F52" s="171">
        <f>'- 63 -'!G52</f>
        <v>259397</v>
      </c>
      <c r="G52" s="79">
        <f t="shared" si="1"/>
        <v>8.052468929807052</v>
      </c>
      <c r="H52" s="158">
        <v>8.0524689298070523E-2</v>
      </c>
      <c r="I52" s="171">
        <v>3221335</v>
      </c>
      <c r="J52" s="1">
        <f>I52-E52</f>
        <v>0</v>
      </c>
      <c r="K52" s="1">
        <f t="shared" si="2"/>
        <v>0</v>
      </c>
    </row>
    <row r="53" spans="1:11" ht="50.1" customHeight="1">
      <c r="A53" s="30"/>
      <c r="B53" s="30"/>
      <c r="C53" s="30"/>
      <c r="D53" s="30"/>
      <c r="E53" s="30"/>
      <c r="F53" s="30"/>
      <c r="G53" s="30"/>
    </row>
    <row r="54" spans="1:11" ht="14.45" customHeight="1">
      <c r="A54" s="680" t="s">
        <v>616</v>
      </c>
      <c r="B54" s="295"/>
      <c r="C54" s="295"/>
      <c r="D54" s="295"/>
      <c r="E54" s="206"/>
      <c r="F54" s="206"/>
      <c r="G54" s="206"/>
    </row>
    <row r="55" spans="1:11" ht="12" customHeight="1">
      <c r="A55" s="45" t="s">
        <v>612</v>
      </c>
      <c r="B55" s="45"/>
      <c r="C55" s="45"/>
      <c r="D55" s="45"/>
    </row>
    <row r="56" spans="1:11" ht="14.45" customHeight="1">
      <c r="A56" s="45"/>
      <c r="B56" s="45"/>
      <c r="C56" s="45"/>
      <c r="D56" s="45"/>
    </row>
    <row r="57" spans="1:11" ht="14.45" customHeight="1">
      <c r="A57" s="45"/>
      <c r="B57" s="45"/>
      <c r="C57" s="45"/>
      <c r="D57" s="45"/>
    </row>
    <row r="58" spans="1:11" ht="14.45" customHeight="1">
      <c r="A58" s="45"/>
      <c r="B58" s="45"/>
      <c r="C58" s="45"/>
      <c r="D58" s="45"/>
    </row>
    <row r="59" spans="1:11">
      <c r="A59" s="45"/>
    </row>
  </sheetData>
  <phoneticPr fontId="0" type="noConversion"/>
  <pageMargins left="0.5" right="0.5" top="0.6" bottom="0.2" header="0.3" footer="0.5"/>
  <pageSetup scale="88" orientation="portrait" r:id="rId1"/>
  <headerFooter alignWithMargins="0">
    <oddHeader>&amp;C&amp;"Arial,Regular"&amp;11&amp;A</oddHeader>
  </headerFooter>
</worksheet>
</file>

<file path=xl/worksheets/sheet59.xml><?xml version="1.0" encoding="utf-8"?>
<worksheet xmlns="http://schemas.openxmlformats.org/spreadsheetml/2006/main" xmlns:r="http://schemas.openxmlformats.org/officeDocument/2006/relationships">
  <sheetPr transitionEvaluation="1" transitionEntry="1" codeName="Sheet44">
    <pageSetUpPr autoPageBreaks="0" fitToPage="1"/>
  </sheetPr>
  <dimension ref="A1:I55"/>
  <sheetViews>
    <sheetView showGridLines="0" showZeros="0" defaultGridColor="0" colorId="22" workbookViewId="0">
      <selection activeCell="A77" sqref="A77"/>
    </sheetView>
  </sheetViews>
  <sheetFormatPr defaultColWidth="15.83203125" defaultRowHeight="12.75"/>
  <cols>
    <col min="1" max="1" width="28.1640625" style="649" customWidth="1"/>
    <col min="2" max="2" width="16.83203125" style="653" bestFit="1" customWidth="1"/>
    <col min="3" max="3" width="13" style="649" customWidth="1"/>
    <col min="4" max="4" width="11.83203125" style="649" customWidth="1"/>
    <col min="5" max="5" width="15.1640625" style="649" customWidth="1"/>
    <col min="6" max="6" width="15.5" style="649" customWidth="1"/>
    <col min="7" max="7" width="14.33203125" style="649" customWidth="1"/>
    <col min="8" max="8" width="8.5" style="649" customWidth="1"/>
    <col min="9" max="9" width="11.83203125" style="649" customWidth="1"/>
    <col min="10" max="16384" width="15.83203125" style="649"/>
  </cols>
  <sheetData>
    <row r="1" spans="1:9">
      <c r="A1" s="700"/>
      <c r="B1" s="701"/>
      <c r="C1" s="702"/>
      <c r="D1" s="702"/>
      <c r="E1" s="702"/>
      <c r="F1" s="702"/>
      <c r="G1" s="702"/>
      <c r="H1" s="702"/>
      <c r="I1" s="702"/>
    </row>
    <row r="2" spans="1:9" s="650" customFormat="1" ht="15.95" customHeight="1">
      <c r="A2" s="778" t="s">
        <v>710</v>
      </c>
      <c r="B2" s="778"/>
      <c r="C2" s="778"/>
      <c r="D2" s="778"/>
      <c r="E2" s="778"/>
      <c r="F2" s="778"/>
      <c r="G2" s="778"/>
      <c r="H2" s="778"/>
      <c r="I2" s="703"/>
    </row>
    <row r="3" spans="1:9" s="650" customFormat="1" ht="16.5" customHeight="1">
      <c r="A3" s="779" t="str">
        <f>Data!B5&amp;" "&amp;"ACTUAL"</f>
        <v>2012/13 ACTUAL</v>
      </c>
      <c r="B3" s="779"/>
      <c r="C3" s="779"/>
      <c r="D3" s="779"/>
      <c r="E3" s="779"/>
      <c r="F3" s="779"/>
      <c r="G3" s="779"/>
      <c r="H3" s="779"/>
      <c r="I3" s="704"/>
    </row>
    <row r="4" spans="1:9">
      <c r="A4" s="702"/>
      <c r="B4" s="705"/>
      <c r="C4" s="702"/>
      <c r="D4" s="702"/>
      <c r="E4" s="702"/>
      <c r="F4" s="702"/>
      <c r="G4" s="702"/>
      <c r="H4" s="702"/>
      <c r="I4" s="702"/>
    </row>
    <row r="5" spans="1:9">
      <c r="A5" s="702"/>
      <c r="B5" s="705"/>
      <c r="C5" s="702"/>
      <c r="D5" s="702"/>
      <c r="E5" s="702"/>
      <c r="F5" s="702"/>
      <c r="G5" s="702"/>
      <c r="H5" s="702"/>
      <c r="I5" s="702"/>
    </row>
    <row r="6" spans="1:9">
      <c r="A6" s="702"/>
      <c r="B6" s="702"/>
      <c r="C6" s="702"/>
      <c r="D6" s="702"/>
      <c r="E6" s="702"/>
      <c r="F6" s="702"/>
      <c r="G6" s="702"/>
      <c r="H6" s="702"/>
      <c r="I6" s="702"/>
    </row>
    <row r="7" spans="1:9">
      <c r="A7" s="702"/>
      <c r="B7" s="777"/>
      <c r="C7" s="777"/>
      <c r="D7" s="777"/>
      <c r="E7" s="777"/>
      <c r="F7" s="777"/>
      <c r="G7" s="777"/>
      <c r="H7" s="777"/>
      <c r="I7" s="702"/>
    </row>
    <row r="8" spans="1:9" ht="39" customHeight="1">
      <c r="A8" s="706"/>
      <c r="B8" s="780" t="s">
        <v>551</v>
      </c>
      <c r="C8" s="775" t="s">
        <v>680</v>
      </c>
      <c r="D8" s="776"/>
      <c r="E8" s="781" t="s">
        <v>552</v>
      </c>
      <c r="F8" s="773" t="s">
        <v>553</v>
      </c>
      <c r="G8" s="773" t="s">
        <v>683</v>
      </c>
      <c r="H8" s="773" t="s">
        <v>684</v>
      </c>
      <c r="I8" s="773" t="s">
        <v>554</v>
      </c>
    </row>
    <row r="9" spans="1:9" ht="19.5" customHeight="1">
      <c r="A9" s="707" t="s">
        <v>555</v>
      </c>
      <c r="B9" s="774"/>
      <c r="C9" s="686" t="s">
        <v>679</v>
      </c>
      <c r="D9" s="685" t="s">
        <v>58</v>
      </c>
      <c r="E9" s="774"/>
      <c r="F9" s="774"/>
      <c r="G9" s="774"/>
      <c r="H9" s="774"/>
      <c r="I9" s="774"/>
    </row>
    <row r="10" spans="1:9" ht="3.95" customHeight="1">
      <c r="A10" s="708"/>
      <c r="B10" s="705"/>
      <c r="C10" s="702"/>
      <c r="D10" s="702"/>
      <c r="E10" s="702"/>
      <c r="F10" s="702"/>
      <c r="G10" s="702"/>
      <c r="H10" s="702"/>
      <c r="I10" s="702"/>
    </row>
    <row r="11" spans="1:9">
      <c r="A11" s="412" t="s">
        <v>556</v>
      </c>
      <c r="B11" s="709">
        <v>9.9700000000000006</v>
      </c>
      <c r="C11" s="709">
        <v>101.91</v>
      </c>
      <c r="D11" s="709">
        <v>49.65</v>
      </c>
      <c r="E11" s="709">
        <v>39</v>
      </c>
      <c r="F11" s="709">
        <v>8.5</v>
      </c>
      <c r="G11" s="709">
        <v>1.2</v>
      </c>
      <c r="H11" s="709">
        <v>2.25</v>
      </c>
      <c r="I11" s="709">
        <f t="shared" ref="I11:I46" si="0">SUM(B11:H11)</f>
        <v>212.48</v>
      </c>
    </row>
    <row r="12" spans="1:9">
      <c r="A12" s="270" t="s">
        <v>557</v>
      </c>
      <c r="B12" s="710">
        <v>21.179999999999996</v>
      </c>
      <c r="C12" s="710">
        <v>180.12</v>
      </c>
      <c r="D12" s="710">
        <v>101.33</v>
      </c>
      <c r="E12" s="710">
        <v>71.449999999999989</v>
      </c>
      <c r="F12" s="710">
        <v>21.53</v>
      </c>
      <c r="G12" s="710">
        <v>4.4400000000000004</v>
      </c>
      <c r="H12" s="710">
        <v>4.59</v>
      </c>
      <c r="I12" s="710">
        <f t="shared" si="0"/>
        <v>404.64</v>
      </c>
    </row>
    <row r="13" spans="1:9">
      <c r="A13" s="412" t="s">
        <v>558</v>
      </c>
      <c r="B13" s="709">
        <v>42.75</v>
      </c>
      <c r="C13" s="709">
        <v>582.69000000000005</v>
      </c>
      <c r="D13" s="709">
        <v>288.86</v>
      </c>
      <c r="E13" s="709">
        <v>117.53999999999999</v>
      </c>
      <c r="F13" s="709">
        <v>44.85</v>
      </c>
      <c r="G13" s="709">
        <v>18.25</v>
      </c>
      <c r="H13" s="709">
        <v>6</v>
      </c>
      <c r="I13" s="709">
        <f t="shared" si="0"/>
        <v>1100.94</v>
      </c>
    </row>
    <row r="14" spans="1:9">
      <c r="A14" s="270" t="s">
        <v>660</v>
      </c>
      <c r="B14" s="710">
        <v>50.86</v>
      </c>
      <c r="C14" s="710">
        <v>362.50000000000006</v>
      </c>
      <c r="D14" s="710">
        <v>258.26</v>
      </c>
      <c r="E14" s="710">
        <v>70.459999999999994</v>
      </c>
      <c r="F14" s="710">
        <v>52.86</v>
      </c>
      <c r="G14" s="710">
        <v>6.7</v>
      </c>
      <c r="H14" s="710">
        <v>5</v>
      </c>
      <c r="I14" s="710">
        <f t="shared" si="0"/>
        <v>806.64000000000021</v>
      </c>
    </row>
    <row r="15" spans="1:9">
      <c r="A15" s="412" t="s">
        <v>559</v>
      </c>
      <c r="B15" s="709">
        <v>13.5</v>
      </c>
      <c r="C15" s="709">
        <v>101.69999999999999</v>
      </c>
      <c r="D15" s="709">
        <v>62.000000000000007</v>
      </c>
      <c r="E15" s="709">
        <v>35.450000000000003</v>
      </c>
      <c r="F15" s="709">
        <v>13.5</v>
      </c>
      <c r="G15" s="709">
        <v>2.11</v>
      </c>
      <c r="H15" s="709">
        <v>2</v>
      </c>
      <c r="I15" s="709">
        <f t="shared" si="0"/>
        <v>230.26</v>
      </c>
    </row>
    <row r="16" spans="1:9">
      <c r="A16" s="270" t="s">
        <v>560</v>
      </c>
      <c r="B16" s="710">
        <v>10.42</v>
      </c>
      <c r="C16" s="710">
        <v>68.849999999999994</v>
      </c>
      <c r="D16" s="710">
        <v>37</v>
      </c>
      <c r="E16" s="710">
        <v>21.05</v>
      </c>
      <c r="F16" s="710">
        <v>9.5</v>
      </c>
      <c r="G16" s="710">
        <v>1.8</v>
      </c>
      <c r="H16" s="710">
        <v>2</v>
      </c>
      <c r="I16" s="710">
        <f t="shared" si="0"/>
        <v>150.62</v>
      </c>
    </row>
    <row r="17" spans="1:9">
      <c r="A17" s="412" t="s">
        <v>561</v>
      </c>
      <c r="B17" s="709">
        <v>11.25</v>
      </c>
      <c r="C17" s="709">
        <v>95.19</v>
      </c>
      <c r="D17" s="709">
        <v>58.320000000000007</v>
      </c>
      <c r="E17" s="709">
        <v>52.24</v>
      </c>
      <c r="F17" s="709">
        <v>12.17</v>
      </c>
      <c r="G17" s="709">
        <v>2.7</v>
      </c>
      <c r="H17" s="709">
        <v>3</v>
      </c>
      <c r="I17" s="709">
        <f t="shared" si="0"/>
        <v>234.86999999999998</v>
      </c>
    </row>
    <row r="18" spans="1:9">
      <c r="A18" s="270" t="s">
        <v>562</v>
      </c>
      <c r="B18" s="710">
        <v>68.947370000000006</v>
      </c>
      <c r="C18" s="710">
        <v>502.096</v>
      </c>
      <c r="D18" s="710">
        <v>405.92659999999995</v>
      </c>
      <c r="E18" s="710">
        <v>270.99290000000002</v>
      </c>
      <c r="F18" s="710">
        <v>64.159300000000002</v>
      </c>
      <c r="G18" s="710">
        <v>10.25</v>
      </c>
      <c r="H18" s="710">
        <v>8.0330999999999992</v>
      </c>
      <c r="I18" s="710">
        <f t="shared" si="0"/>
        <v>1330.40527</v>
      </c>
    </row>
    <row r="19" spans="1:9">
      <c r="A19" s="412" t="s">
        <v>563</v>
      </c>
      <c r="B19" s="709">
        <v>17.5</v>
      </c>
      <c r="C19" s="709">
        <v>261.31</v>
      </c>
      <c r="D19" s="709">
        <v>131.66929999999999</v>
      </c>
      <c r="E19" s="709">
        <v>89.61</v>
      </c>
      <c r="F19" s="709">
        <v>18</v>
      </c>
      <c r="G19" s="709">
        <v>7.1</v>
      </c>
      <c r="H19" s="709">
        <v>7</v>
      </c>
      <c r="I19" s="709">
        <f t="shared" si="0"/>
        <v>532.1893</v>
      </c>
    </row>
    <row r="20" spans="1:9">
      <c r="A20" s="270" t="s">
        <v>564</v>
      </c>
      <c r="B20" s="710">
        <v>41.11</v>
      </c>
      <c r="C20" s="710">
        <v>450.78999999999996</v>
      </c>
      <c r="D20" s="710">
        <v>214.56</v>
      </c>
      <c r="E20" s="710">
        <v>188.13</v>
      </c>
      <c r="F20" s="710">
        <v>62.629999999999995</v>
      </c>
      <c r="G20" s="710">
        <v>14.3</v>
      </c>
      <c r="H20" s="710">
        <v>9.33</v>
      </c>
      <c r="I20" s="710">
        <f t="shared" si="0"/>
        <v>980.85</v>
      </c>
    </row>
    <row r="21" spans="1:9">
      <c r="A21" s="412" t="s">
        <v>565</v>
      </c>
      <c r="B21" s="709">
        <v>24.15</v>
      </c>
      <c r="C21" s="709">
        <v>227.11999999999998</v>
      </c>
      <c r="D21" s="709">
        <v>108.34</v>
      </c>
      <c r="E21" s="709">
        <v>79.5</v>
      </c>
      <c r="F21" s="709">
        <v>24.45</v>
      </c>
      <c r="G21" s="709">
        <v>6.5</v>
      </c>
      <c r="H21" s="709">
        <v>7</v>
      </c>
      <c r="I21" s="709">
        <f t="shared" si="0"/>
        <v>477.06</v>
      </c>
    </row>
    <row r="22" spans="1:9">
      <c r="A22" s="270" t="s">
        <v>566</v>
      </c>
      <c r="B22" s="710">
        <v>11.45</v>
      </c>
      <c r="C22" s="710">
        <v>113.7</v>
      </c>
      <c r="D22" s="710">
        <v>60.4</v>
      </c>
      <c r="E22" s="710">
        <v>36.25</v>
      </c>
      <c r="F22" s="710">
        <v>18.600000000000001</v>
      </c>
      <c r="G22" s="710">
        <v>2</v>
      </c>
      <c r="H22" s="710">
        <v>2</v>
      </c>
      <c r="I22" s="710">
        <f t="shared" si="0"/>
        <v>244.4</v>
      </c>
    </row>
    <row r="23" spans="1:9">
      <c r="A23" s="412" t="s">
        <v>567</v>
      </c>
      <c r="B23" s="709">
        <v>11.75</v>
      </c>
      <c r="C23" s="709">
        <v>92.9</v>
      </c>
      <c r="D23" s="709">
        <v>78.3</v>
      </c>
      <c r="E23" s="709">
        <v>36.700000000000003</v>
      </c>
      <c r="F23" s="709">
        <v>11.100000000000001</v>
      </c>
      <c r="G23" s="709">
        <v>3.5</v>
      </c>
      <c r="H23" s="709">
        <v>2</v>
      </c>
      <c r="I23" s="709">
        <f t="shared" si="0"/>
        <v>236.24999999999997</v>
      </c>
    </row>
    <row r="24" spans="1:9">
      <c r="A24" s="270" t="s">
        <v>568</v>
      </c>
      <c r="B24" s="710">
        <v>30.7</v>
      </c>
      <c r="C24" s="710">
        <v>310.96000000000004</v>
      </c>
      <c r="D24" s="710">
        <v>194.06</v>
      </c>
      <c r="E24" s="710">
        <v>122.49</v>
      </c>
      <c r="F24" s="710">
        <v>32.5</v>
      </c>
      <c r="G24" s="710">
        <v>9.75</v>
      </c>
      <c r="H24" s="710">
        <v>9</v>
      </c>
      <c r="I24" s="710">
        <f t="shared" si="0"/>
        <v>709.46</v>
      </c>
    </row>
    <row r="25" spans="1:9">
      <c r="A25" s="412" t="s">
        <v>569</v>
      </c>
      <c r="B25" s="709">
        <v>83</v>
      </c>
      <c r="C25" s="709">
        <v>893.29</v>
      </c>
      <c r="D25" s="709">
        <v>520.29999999999995</v>
      </c>
      <c r="E25" s="709">
        <v>169.79</v>
      </c>
      <c r="F25" s="709">
        <v>122.60000000000001</v>
      </c>
      <c r="G25" s="709">
        <v>33.590000000000003</v>
      </c>
      <c r="H25" s="709">
        <v>16</v>
      </c>
      <c r="I25" s="709">
        <f t="shared" si="0"/>
        <v>1838.5699999999997</v>
      </c>
    </row>
    <row r="26" spans="1:9">
      <c r="A26" s="270" t="s">
        <v>570</v>
      </c>
      <c r="B26" s="710">
        <v>26.96</v>
      </c>
      <c r="C26" s="710">
        <v>214.09999999999997</v>
      </c>
      <c r="D26" s="710">
        <v>136.5</v>
      </c>
      <c r="E26" s="710">
        <v>114.81</v>
      </c>
      <c r="F26" s="710">
        <v>24.4</v>
      </c>
      <c r="G26" s="710">
        <v>6.1</v>
      </c>
      <c r="H26" s="710">
        <v>6</v>
      </c>
      <c r="I26" s="710">
        <f t="shared" si="0"/>
        <v>528.87</v>
      </c>
    </row>
    <row r="27" spans="1:9">
      <c r="A27" s="412" t="s">
        <v>571</v>
      </c>
      <c r="B27" s="709">
        <v>19.619999999999997</v>
      </c>
      <c r="C27" s="709">
        <v>227.40000000000003</v>
      </c>
      <c r="D27" s="709">
        <v>68</v>
      </c>
      <c r="E27" s="709">
        <v>38.869999999999997</v>
      </c>
      <c r="F27" s="709">
        <v>24</v>
      </c>
      <c r="G27" s="709">
        <v>9.8800000000000008</v>
      </c>
      <c r="H27" s="709">
        <v>5</v>
      </c>
      <c r="I27" s="709">
        <f t="shared" si="0"/>
        <v>392.77000000000004</v>
      </c>
    </row>
    <row r="28" spans="1:9">
      <c r="A28" s="270" t="s">
        <v>572</v>
      </c>
      <c r="B28" s="710">
        <v>15.4</v>
      </c>
      <c r="C28" s="710">
        <v>159.66999999999999</v>
      </c>
      <c r="D28" s="710">
        <v>92.302000000000007</v>
      </c>
      <c r="E28" s="710">
        <v>46.980000000000004</v>
      </c>
      <c r="F28" s="710">
        <v>17.875</v>
      </c>
      <c r="G28" s="710">
        <v>4.9000000000000004</v>
      </c>
      <c r="H28" s="710">
        <v>3.3</v>
      </c>
      <c r="I28" s="710">
        <f t="shared" si="0"/>
        <v>340.42700000000002</v>
      </c>
    </row>
    <row r="29" spans="1:9">
      <c r="A29" s="412" t="s">
        <v>573</v>
      </c>
      <c r="B29" s="709">
        <v>72.61</v>
      </c>
      <c r="C29" s="709">
        <v>810.88</v>
      </c>
      <c r="D29" s="709">
        <v>463.44000000000005</v>
      </c>
      <c r="E29" s="709">
        <v>162.55000000000001</v>
      </c>
      <c r="F29" s="709">
        <v>99.36</v>
      </c>
      <c r="G29" s="709">
        <v>29.36</v>
      </c>
      <c r="H29" s="709">
        <v>17.95</v>
      </c>
      <c r="I29" s="709">
        <f t="shared" si="0"/>
        <v>1656.1499999999999</v>
      </c>
    </row>
    <row r="30" spans="1:9">
      <c r="A30" s="270" t="s">
        <v>574</v>
      </c>
      <c r="B30" s="710">
        <v>9.4499999999999993</v>
      </c>
      <c r="C30" s="710">
        <v>79.570000000000007</v>
      </c>
      <c r="D30" s="710">
        <v>47.48</v>
      </c>
      <c r="E30" s="710">
        <v>39</v>
      </c>
      <c r="F30" s="710">
        <v>9.5</v>
      </c>
      <c r="G30" s="710">
        <v>2</v>
      </c>
      <c r="H30" s="710">
        <v>2</v>
      </c>
      <c r="I30" s="710">
        <f t="shared" si="0"/>
        <v>189</v>
      </c>
    </row>
    <row r="31" spans="1:9">
      <c r="A31" s="412" t="s">
        <v>575</v>
      </c>
      <c r="B31" s="709">
        <v>19.34</v>
      </c>
      <c r="C31" s="709">
        <v>223.18</v>
      </c>
      <c r="D31" s="709">
        <v>136.85</v>
      </c>
      <c r="E31" s="709">
        <v>73.73</v>
      </c>
      <c r="F31" s="709">
        <v>20.13</v>
      </c>
      <c r="G31" s="709">
        <v>5.19</v>
      </c>
      <c r="H31" s="709">
        <v>6.14</v>
      </c>
      <c r="I31" s="709">
        <f t="shared" si="0"/>
        <v>484.56</v>
      </c>
    </row>
    <row r="32" spans="1:9">
      <c r="A32" s="270" t="s">
        <v>576</v>
      </c>
      <c r="B32" s="710">
        <v>15.25</v>
      </c>
      <c r="C32" s="710">
        <v>157.62</v>
      </c>
      <c r="D32" s="710">
        <v>83.47</v>
      </c>
      <c r="E32" s="710">
        <v>63.07</v>
      </c>
      <c r="F32" s="710">
        <v>19.169999999999998</v>
      </c>
      <c r="G32" s="710">
        <v>3.7</v>
      </c>
      <c r="H32" s="710">
        <v>5</v>
      </c>
      <c r="I32" s="710">
        <f t="shared" si="0"/>
        <v>347.28000000000003</v>
      </c>
    </row>
    <row r="33" spans="1:9">
      <c r="A33" s="412" t="s">
        <v>577</v>
      </c>
      <c r="B33" s="709">
        <v>18.48</v>
      </c>
      <c r="C33" s="709">
        <v>138.31</v>
      </c>
      <c r="D33" s="709">
        <v>91.19</v>
      </c>
      <c r="E33" s="709">
        <v>98.68</v>
      </c>
      <c r="F33" s="709">
        <v>19.239999999999998</v>
      </c>
      <c r="G33" s="709">
        <v>4.05</v>
      </c>
      <c r="H33" s="709">
        <v>4.5</v>
      </c>
      <c r="I33" s="709">
        <f t="shared" si="0"/>
        <v>374.45</v>
      </c>
    </row>
    <row r="34" spans="1:9">
      <c r="A34" s="270" t="s">
        <v>578</v>
      </c>
      <c r="B34" s="710">
        <v>16.350000000000001</v>
      </c>
      <c r="C34" s="710">
        <v>147.91</v>
      </c>
      <c r="D34" s="710">
        <v>86.11</v>
      </c>
      <c r="E34" s="710">
        <v>79.69</v>
      </c>
      <c r="F34" s="710">
        <v>19.520000000000003</v>
      </c>
      <c r="G34" s="710">
        <v>4.25</v>
      </c>
      <c r="H34" s="710">
        <v>3</v>
      </c>
      <c r="I34" s="710">
        <f t="shared" si="0"/>
        <v>356.83</v>
      </c>
    </row>
    <row r="35" spans="1:9">
      <c r="A35" s="412" t="s">
        <v>579</v>
      </c>
      <c r="B35" s="709">
        <v>96.96</v>
      </c>
      <c r="C35" s="709">
        <v>1068.2199999999998</v>
      </c>
      <c r="D35" s="709">
        <v>433.96999999999997</v>
      </c>
      <c r="E35" s="709">
        <v>285.5</v>
      </c>
      <c r="F35" s="709">
        <v>125.32</v>
      </c>
      <c r="G35" s="709">
        <v>30.11</v>
      </c>
      <c r="H35" s="709">
        <v>17</v>
      </c>
      <c r="I35" s="709">
        <f t="shared" si="0"/>
        <v>2057.08</v>
      </c>
    </row>
    <row r="36" spans="1:9">
      <c r="A36" s="270" t="s">
        <v>580</v>
      </c>
      <c r="B36" s="710">
        <v>13.73</v>
      </c>
      <c r="C36" s="710">
        <v>121.6</v>
      </c>
      <c r="D36" s="710">
        <v>77.75</v>
      </c>
      <c r="E36" s="710">
        <v>63.42</v>
      </c>
      <c r="F36" s="710">
        <v>14.81</v>
      </c>
      <c r="G36" s="710">
        <v>2</v>
      </c>
      <c r="H36" s="710">
        <v>2.4</v>
      </c>
      <c r="I36" s="710">
        <f t="shared" si="0"/>
        <v>295.70999999999998</v>
      </c>
    </row>
    <row r="37" spans="1:9">
      <c r="A37" s="412" t="s">
        <v>581</v>
      </c>
      <c r="B37" s="709">
        <v>28</v>
      </c>
      <c r="C37" s="709">
        <v>242.33</v>
      </c>
      <c r="D37" s="709">
        <v>149.35</v>
      </c>
      <c r="E37" s="709">
        <v>106.8</v>
      </c>
      <c r="F37" s="709">
        <v>28</v>
      </c>
      <c r="G37" s="709">
        <v>8</v>
      </c>
      <c r="H37" s="709">
        <v>5</v>
      </c>
      <c r="I37" s="709">
        <f t="shared" si="0"/>
        <v>567.48</v>
      </c>
    </row>
    <row r="38" spans="1:9">
      <c r="A38" s="270" t="s">
        <v>582</v>
      </c>
      <c r="B38" s="710">
        <v>67.41</v>
      </c>
      <c r="C38" s="710">
        <v>686.09999999999991</v>
      </c>
      <c r="D38" s="710">
        <v>314.56000000000006</v>
      </c>
      <c r="E38" s="710">
        <v>128.13</v>
      </c>
      <c r="F38" s="710">
        <v>69.8</v>
      </c>
      <c r="G38" s="710">
        <v>18.100000000000001</v>
      </c>
      <c r="H38" s="710">
        <v>8</v>
      </c>
      <c r="I38" s="710">
        <f t="shared" si="0"/>
        <v>1292.0999999999997</v>
      </c>
    </row>
    <row r="39" spans="1:9">
      <c r="A39" s="412" t="s">
        <v>583</v>
      </c>
      <c r="B39" s="709">
        <v>11.41</v>
      </c>
      <c r="C39" s="709">
        <v>113.34</v>
      </c>
      <c r="D39" s="709">
        <v>68.75</v>
      </c>
      <c r="E39" s="709">
        <v>57.57</v>
      </c>
      <c r="F39" s="709">
        <v>13.3</v>
      </c>
      <c r="G39" s="709">
        <v>3</v>
      </c>
      <c r="H39" s="709">
        <v>5</v>
      </c>
      <c r="I39" s="709">
        <f t="shared" si="0"/>
        <v>272.37</v>
      </c>
    </row>
    <row r="40" spans="1:9">
      <c r="A40" s="270" t="s">
        <v>584</v>
      </c>
      <c r="B40" s="710">
        <v>60.20000000000001</v>
      </c>
      <c r="C40" s="710">
        <v>537.88</v>
      </c>
      <c r="D40" s="710">
        <v>326.95999999999998</v>
      </c>
      <c r="E40" s="710">
        <v>99.37</v>
      </c>
      <c r="F40" s="710">
        <v>92.509999999999991</v>
      </c>
      <c r="G40" s="710">
        <v>23.319999999999997</v>
      </c>
      <c r="H40" s="710">
        <v>12</v>
      </c>
      <c r="I40" s="710">
        <f t="shared" si="0"/>
        <v>1152.2399999999998</v>
      </c>
    </row>
    <row r="41" spans="1:9">
      <c r="A41" s="412" t="s">
        <v>585</v>
      </c>
      <c r="B41" s="709">
        <v>28.68</v>
      </c>
      <c r="C41" s="709">
        <v>340.8</v>
      </c>
      <c r="D41" s="709">
        <v>136.23000000000002</v>
      </c>
      <c r="E41" s="709">
        <v>137.85</v>
      </c>
      <c r="F41" s="709">
        <v>43.65</v>
      </c>
      <c r="G41" s="709">
        <v>14.330000000000002</v>
      </c>
      <c r="H41" s="709">
        <v>6.5</v>
      </c>
      <c r="I41" s="709">
        <f t="shared" si="0"/>
        <v>708.04000000000008</v>
      </c>
    </row>
    <row r="42" spans="1:9">
      <c r="A42" s="270" t="s">
        <v>586</v>
      </c>
      <c r="B42" s="710">
        <v>11.31</v>
      </c>
      <c r="C42" s="710">
        <v>113.42999999999999</v>
      </c>
      <c r="D42" s="710">
        <v>77.75</v>
      </c>
      <c r="E42" s="710">
        <v>61.36</v>
      </c>
      <c r="F42" s="710">
        <v>19.080000000000002</v>
      </c>
      <c r="G42" s="710">
        <v>2.8</v>
      </c>
      <c r="H42" s="710">
        <v>3</v>
      </c>
      <c r="I42" s="710">
        <f t="shared" si="0"/>
        <v>288.73</v>
      </c>
    </row>
    <row r="43" spans="1:9">
      <c r="A43" s="412" t="s">
        <v>587</v>
      </c>
      <c r="B43" s="709">
        <v>6.81</v>
      </c>
      <c r="C43" s="709">
        <v>72.28</v>
      </c>
      <c r="D43" s="709">
        <v>42.25</v>
      </c>
      <c r="E43" s="709">
        <v>32.07</v>
      </c>
      <c r="F43" s="709">
        <v>6.75</v>
      </c>
      <c r="G43" s="709">
        <v>3</v>
      </c>
      <c r="H43" s="709">
        <v>1</v>
      </c>
      <c r="I43" s="709">
        <f t="shared" si="0"/>
        <v>164.16</v>
      </c>
    </row>
    <row r="44" spans="1:9">
      <c r="A44" s="270" t="s">
        <v>588</v>
      </c>
      <c r="B44" s="710">
        <v>5.13</v>
      </c>
      <c r="C44" s="710">
        <v>59.03</v>
      </c>
      <c r="D44" s="710">
        <v>47</v>
      </c>
      <c r="E44" s="710">
        <v>33.93</v>
      </c>
      <c r="F44" s="710">
        <v>7.2499999999999991</v>
      </c>
      <c r="G44" s="710">
        <v>0.8</v>
      </c>
      <c r="H44" s="710">
        <v>2</v>
      </c>
      <c r="I44" s="710">
        <f t="shared" si="0"/>
        <v>155.14000000000001</v>
      </c>
    </row>
    <row r="45" spans="1:9">
      <c r="A45" s="412" t="s">
        <v>589</v>
      </c>
      <c r="B45" s="709">
        <v>10.700000000000001</v>
      </c>
      <c r="C45" s="709">
        <v>105.33</v>
      </c>
      <c r="D45" s="709">
        <v>82.17</v>
      </c>
      <c r="E45" s="709">
        <v>34.700000000000003</v>
      </c>
      <c r="F45" s="709">
        <v>11.43</v>
      </c>
      <c r="G45" s="709">
        <v>2.2000000000000002</v>
      </c>
      <c r="H45" s="709">
        <v>3</v>
      </c>
      <c r="I45" s="709">
        <f t="shared" si="0"/>
        <v>249.52999999999997</v>
      </c>
    </row>
    <row r="46" spans="1:9">
      <c r="A46" s="270" t="s">
        <v>590</v>
      </c>
      <c r="B46" s="710">
        <v>140.30000000000001</v>
      </c>
      <c r="C46" s="710">
        <v>2121.3000000000002</v>
      </c>
      <c r="D46" s="710">
        <v>1130.5</v>
      </c>
      <c r="E46" s="710">
        <v>547.6</v>
      </c>
      <c r="F46" s="710">
        <v>278.60000000000002</v>
      </c>
      <c r="G46" s="710">
        <v>85.5</v>
      </c>
      <c r="H46" s="710">
        <v>41</v>
      </c>
      <c r="I46" s="710">
        <f t="shared" si="0"/>
        <v>4344.8</v>
      </c>
    </row>
    <row r="47" spans="1:9" ht="6" customHeight="1">
      <c r="A47" s="148"/>
      <c r="B47" s="710"/>
      <c r="C47" s="710"/>
      <c r="D47" s="710"/>
      <c r="E47" s="710"/>
      <c r="F47" s="710"/>
      <c r="G47" s="710"/>
      <c r="H47" s="710"/>
      <c r="I47" s="710"/>
    </row>
    <row r="48" spans="1:9">
      <c r="A48" s="413" t="s">
        <v>351</v>
      </c>
      <c r="B48" s="711">
        <f t="shared" ref="B48:I48" si="1">SUM(B11:B46)</f>
        <v>1142.6373699999999</v>
      </c>
      <c r="C48" s="711">
        <f t="shared" si="1"/>
        <v>12085.406000000003</v>
      </c>
      <c r="D48" s="711">
        <f t="shared" si="1"/>
        <v>6661.5579000000016</v>
      </c>
      <c r="E48" s="711">
        <f t="shared" si="1"/>
        <v>3706.3328999999999</v>
      </c>
      <c r="F48" s="711">
        <f t="shared" si="1"/>
        <v>1480.6442999999999</v>
      </c>
      <c r="G48" s="711">
        <f t="shared" si="1"/>
        <v>386.78000000000003</v>
      </c>
      <c r="H48" s="711">
        <f t="shared" si="1"/>
        <v>243.9931</v>
      </c>
      <c r="I48" s="711">
        <f t="shared" si="1"/>
        <v>25707.351569999995</v>
      </c>
    </row>
    <row r="49" spans="1:9" ht="6" customHeight="1">
      <c r="A49" s="702"/>
      <c r="B49" s="712"/>
      <c r="C49" s="712"/>
      <c r="D49" s="712"/>
      <c r="E49" s="712"/>
      <c r="F49" s="712"/>
      <c r="G49" s="712"/>
      <c r="H49" s="712"/>
      <c r="I49" s="712"/>
    </row>
    <row r="50" spans="1:9">
      <c r="A50" s="713" t="s">
        <v>591</v>
      </c>
      <c r="B50" s="710">
        <v>2.66</v>
      </c>
      <c r="C50" s="710">
        <v>18.39</v>
      </c>
      <c r="D50" s="710">
        <v>8.1900000000000013</v>
      </c>
      <c r="E50" s="710">
        <v>3</v>
      </c>
      <c r="F50" s="710">
        <v>3.38</v>
      </c>
      <c r="G50" s="710">
        <v>1.5</v>
      </c>
      <c r="H50" s="710">
        <v>0</v>
      </c>
      <c r="I50" s="710">
        <f>SUM(B50:H50)</f>
        <v>37.120000000000005</v>
      </c>
    </row>
    <row r="51" spans="1:9">
      <c r="A51" s="714" t="s">
        <v>592</v>
      </c>
      <c r="B51" s="709">
        <v>12.2</v>
      </c>
      <c r="C51" s="709">
        <v>134.55000000000001</v>
      </c>
      <c r="D51" s="709">
        <v>8</v>
      </c>
      <c r="E51" s="709">
        <v>35.299999999999997</v>
      </c>
      <c r="F51" s="709">
        <v>10.7</v>
      </c>
      <c r="G51" s="709">
        <v>0</v>
      </c>
      <c r="H51" s="709">
        <v>4</v>
      </c>
      <c r="I51" s="709">
        <f>SUM(B51:H51)</f>
        <v>204.75</v>
      </c>
    </row>
    <row r="52" spans="1:9" ht="49.5" customHeight="1">
      <c r="A52" s="651"/>
      <c r="B52" s="651"/>
      <c r="C52" s="652">
        <v>0</v>
      </c>
      <c r="D52" s="651"/>
      <c r="E52" s="651"/>
      <c r="F52" s="651"/>
      <c r="G52" s="651"/>
      <c r="H52" s="651"/>
      <c r="I52" s="651"/>
    </row>
    <row r="53" spans="1:9">
      <c r="A53" s="151" t="s">
        <v>775</v>
      </c>
      <c r="B53" s="649"/>
      <c r="C53" s="653"/>
    </row>
    <row r="54" spans="1:9">
      <c r="A54" s="151" t="s">
        <v>701</v>
      </c>
      <c r="B54" s="649"/>
      <c r="C54" s="653"/>
    </row>
    <row r="55" spans="1:9">
      <c r="A55" s="307" t="s">
        <v>599</v>
      </c>
      <c r="B55" s="649"/>
      <c r="C55" s="653"/>
    </row>
  </sheetData>
  <mergeCells count="10">
    <mergeCell ref="H8:H9"/>
    <mergeCell ref="C8:D8"/>
    <mergeCell ref="I8:I9"/>
    <mergeCell ref="B7:H7"/>
    <mergeCell ref="A2:H2"/>
    <mergeCell ref="A3:H3"/>
    <mergeCell ref="B8:B9"/>
    <mergeCell ref="E8:E9"/>
    <mergeCell ref="F8:F9"/>
    <mergeCell ref="G8:G9"/>
  </mergeCells>
  <phoneticPr fontId="6" type="noConversion"/>
  <pageMargins left="0.51181102362204722" right="0.51181102362204722" top="0.59055118110236227" bottom="0.19685039370078741" header="0.31496062992125984" footer="0.51181102362204722"/>
  <pageSetup scale="87" orientation="portrait" r:id="rId1"/>
  <headerFooter alignWithMargins="0">
    <oddHeader>&amp;C&amp;"Arial,Regular"&amp;11&amp;A</oddHeader>
  </headerFooter>
</worksheet>
</file>

<file path=xl/worksheets/sheet6.xml><?xml version="1.0" encoding="utf-8"?>
<worksheet xmlns="http://schemas.openxmlformats.org/spreadsheetml/2006/main" xmlns:r="http://schemas.openxmlformats.org/officeDocument/2006/relationships">
  <sheetPr codeName="Sheet4"/>
  <dimension ref="A1:G55"/>
  <sheetViews>
    <sheetView showGridLines="0" showZeros="0" workbookViewId="0"/>
  </sheetViews>
  <sheetFormatPr defaultColWidth="15.83203125" defaultRowHeight="12"/>
  <cols>
    <col min="1" max="1" width="34.83203125" style="1" customWidth="1"/>
    <col min="2" max="3" width="18.83203125" style="1" customWidth="1"/>
    <col min="4" max="4" width="1.83203125" style="1" customWidth="1"/>
    <col min="5" max="6" width="18.83203125" style="1" customWidth="1"/>
    <col min="7" max="7" width="21.1640625" style="1" customWidth="1"/>
    <col min="8" max="16384" width="15.83203125" style="1"/>
  </cols>
  <sheetData>
    <row r="1" spans="1:7" ht="6.95" customHeight="1">
      <c r="A1" s="6"/>
      <c r="B1" s="6"/>
      <c r="C1" s="6"/>
      <c r="D1" s="7"/>
      <c r="E1" s="7"/>
    </row>
    <row r="2" spans="1:7" ht="15.95" customHeight="1">
      <c r="A2" s="71"/>
      <c r="B2" s="8" t="s">
        <v>20</v>
      </c>
      <c r="C2" s="9"/>
      <c r="D2" s="9"/>
      <c r="E2" s="82"/>
      <c r="F2" s="92"/>
      <c r="G2" s="92" t="s">
        <v>22</v>
      </c>
    </row>
    <row r="3" spans="1:7" ht="15.95" customHeight="1">
      <c r="A3" s="73"/>
      <c r="B3" s="10" t="str">
        <f>STATDATE</f>
        <v>ACTUAL SEPTEMBER 30, 2012</v>
      </c>
      <c r="C3" s="11"/>
      <c r="D3" s="11"/>
      <c r="E3" s="84"/>
      <c r="F3" s="84"/>
      <c r="G3" s="84"/>
    </row>
    <row r="4" spans="1:7" ht="15.95" customHeight="1">
      <c r="D4" s="7"/>
      <c r="E4" s="7"/>
    </row>
    <row r="5" spans="1:7" ht="15.95" customHeight="1"/>
    <row r="6" spans="1:7" ht="15.95" customHeight="1">
      <c r="B6" s="668"/>
      <c r="C6" s="669"/>
      <c r="D6" s="206"/>
      <c r="E6" s="549"/>
    </row>
    <row r="7" spans="1:7" ht="15.95" customHeight="1">
      <c r="B7" s="670" t="s">
        <v>610</v>
      </c>
      <c r="C7" s="671"/>
      <c r="D7" s="206"/>
      <c r="E7" s="550" t="s">
        <v>68</v>
      </c>
    </row>
    <row r="8" spans="1:7" ht="15.95" customHeight="1">
      <c r="A8" s="40"/>
      <c r="B8" s="17" t="s">
        <v>197</v>
      </c>
      <c r="C8" s="156"/>
      <c r="D8" s="17"/>
      <c r="E8" s="85" t="s">
        <v>421</v>
      </c>
    </row>
    <row r="9" spans="1:7" ht="15.95" customHeight="1">
      <c r="A9" s="93" t="s">
        <v>94</v>
      </c>
      <c r="B9" s="88" t="s">
        <v>36</v>
      </c>
      <c r="C9" s="88" t="s">
        <v>68</v>
      </c>
      <c r="D9" s="95"/>
      <c r="E9" s="88" t="s">
        <v>185</v>
      </c>
    </row>
    <row r="10" spans="1:7" ht="5.0999999999999996" customHeight="1">
      <c r="A10" s="5"/>
      <c r="B10" s="96"/>
      <c r="C10" s="5"/>
      <c r="D10" s="97"/>
    </row>
    <row r="11" spans="1:7" ht="14.1" customHeight="1">
      <c r="A11" s="330" t="s">
        <v>236</v>
      </c>
      <c r="B11" s="337">
        <v>0</v>
      </c>
      <c r="C11" s="337">
        <f>SUM('- 6 -'!B11:H11,B11)</f>
        <v>1501.5</v>
      </c>
      <c r="D11" s="98"/>
      <c r="E11" s="337">
        <f>C11</f>
        <v>1501.5</v>
      </c>
    </row>
    <row r="12" spans="1:7" ht="14.1" customHeight="1">
      <c r="A12" s="26" t="s">
        <v>237</v>
      </c>
      <c r="B12" s="79">
        <v>152.80000000000001</v>
      </c>
      <c r="C12" s="79">
        <f>SUM('- 6 -'!B12:H12,B12)</f>
        <v>2286.8000000000002</v>
      </c>
      <c r="D12" s="98"/>
      <c r="E12" s="79">
        <f t="shared" ref="E12:E46" si="0">C12</f>
        <v>2286.8000000000002</v>
      </c>
    </row>
    <row r="13" spans="1:7" ht="14.1" customHeight="1">
      <c r="A13" s="330" t="s">
        <v>238</v>
      </c>
      <c r="B13" s="337">
        <v>379.7</v>
      </c>
      <c r="C13" s="337">
        <f>SUM('- 6 -'!B13:H13,B13)</f>
        <v>7848.5</v>
      </c>
      <c r="D13" s="98"/>
      <c r="E13" s="337">
        <f t="shared" si="0"/>
        <v>7848.5</v>
      </c>
    </row>
    <row r="14" spans="1:7" ht="14.1" customHeight="1">
      <c r="A14" s="26" t="s">
        <v>656</v>
      </c>
      <c r="B14" s="79">
        <v>0</v>
      </c>
      <c r="C14" s="79">
        <f>SUM('- 6 -'!B14:H14,B14)</f>
        <v>5094</v>
      </c>
      <c r="D14" s="98"/>
      <c r="E14" s="79">
        <f t="shared" si="0"/>
        <v>5094</v>
      </c>
    </row>
    <row r="15" spans="1:7" ht="14.1" customHeight="1">
      <c r="A15" s="330" t="s">
        <v>239</v>
      </c>
      <c r="B15" s="337">
        <v>20</v>
      </c>
      <c r="C15" s="337">
        <f>SUM('- 6 -'!B15:H15,B15)</f>
        <v>1544</v>
      </c>
      <c r="D15" s="98"/>
      <c r="E15" s="337">
        <f t="shared" si="0"/>
        <v>1544</v>
      </c>
    </row>
    <row r="16" spans="1:7" ht="14.1" customHeight="1">
      <c r="A16" s="26" t="s">
        <v>240</v>
      </c>
      <c r="B16" s="79">
        <v>6</v>
      </c>
      <c r="C16" s="79">
        <f>SUM('- 6 -'!B16:H16,B16)</f>
        <v>992.5</v>
      </c>
      <c r="D16" s="98"/>
      <c r="E16" s="79">
        <f t="shared" si="0"/>
        <v>992.5</v>
      </c>
    </row>
    <row r="17" spans="1:5" ht="14.1" customHeight="1">
      <c r="A17" s="330" t="s">
        <v>241</v>
      </c>
      <c r="B17" s="337">
        <v>31.571428571428573</v>
      </c>
      <c r="C17" s="337">
        <f>SUM('- 6 -'!B17:H17,B17)</f>
        <v>1295.4714285714288</v>
      </c>
      <c r="D17" s="98"/>
      <c r="E17" s="337">
        <f t="shared" si="0"/>
        <v>1295.4714285714288</v>
      </c>
    </row>
    <row r="18" spans="1:5" ht="14.1" customHeight="1">
      <c r="A18" s="26" t="s">
        <v>242</v>
      </c>
      <c r="B18" s="79">
        <v>0</v>
      </c>
      <c r="C18" s="79">
        <f>SUM('- 6 -'!B18:H18,B18)</f>
        <v>5776</v>
      </c>
      <c r="D18" s="98"/>
      <c r="E18" s="79">
        <f t="shared" si="0"/>
        <v>5776</v>
      </c>
    </row>
    <row r="19" spans="1:5" ht="14.1" customHeight="1">
      <c r="A19" s="330" t="s">
        <v>243</v>
      </c>
      <c r="B19" s="337">
        <v>98.699999999999989</v>
      </c>
      <c r="C19" s="337">
        <f>SUM('- 6 -'!B19:H19,B19)</f>
        <v>4189.3</v>
      </c>
      <c r="D19" s="98"/>
      <c r="E19" s="337">
        <f t="shared" si="0"/>
        <v>4189.3</v>
      </c>
    </row>
    <row r="20" spans="1:5" ht="14.1" customHeight="1">
      <c r="A20" s="26" t="s">
        <v>244</v>
      </c>
      <c r="B20" s="79">
        <v>417</v>
      </c>
      <c r="C20" s="79">
        <f>SUM('- 6 -'!B20:H20,B20)</f>
        <v>7390.5</v>
      </c>
      <c r="D20" s="98"/>
      <c r="E20" s="79">
        <f t="shared" si="0"/>
        <v>7390.5</v>
      </c>
    </row>
    <row r="21" spans="1:5" ht="14.1" customHeight="1">
      <c r="A21" s="330" t="s">
        <v>245</v>
      </c>
      <c r="B21" s="337">
        <v>0</v>
      </c>
      <c r="C21" s="337">
        <f>SUM('- 6 -'!B21:H21,B21)</f>
        <v>2758.5</v>
      </c>
      <c r="D21" s="98"/>
      <c r="E21" s="337">
        <f t="shared" si="0"/>
        <v>2758.5</v>
      </c>
    </row>
    <row r="22" spans="1:5" ht="14.1" customHeight="1">
      <c r="A22" s="26" t="s">
        <v>246</v>
      </c>
      <c r="B22" s="79">
        <v>0</v>
      </c>
      <c r="C22" s="79">
        <f>SUM('- 6 -'!B22:H22,B22)</f>
        <v>1595.5</v>
      </c>
      <c r="D22" s="98"/>
      <c r="E22" s="79">
        <f t="shared" si="0"/>
        <v>1595.5</v>
      </c>
    </row>
    <row r="23" spans="1:5" ht="14.1" customHeight="1">
      <c r="A23" s="330" t="s">
        <v>247</v>
      </c>
      <c r="B23" s="337">
        <v>26</v>
      </c>
      <c r="C23" s="337">
        <f>SUM('- 6 -'!B23:H23,B23)</f>
        <v>1185.5</v>
      </c>
      <c r="D23" s="98"/>
      <c r="E23" s="337">
        <f t="shared" si="0"/>
        <v>1185.5</v>
      </c>
    </row>
    <row r="24" spans="1:5" ht="14.1" customHeight="1">
      <c r="A24" s="26" t="s">
        <v>248</v>
      </c>
      <c r="B24" s="79">
        <v>343</v>
      </c>
      <c r="C24" s="79">
        <f>SUM('- 6 -'!B24:H24,B24)</f>
        <v>4243.7</v>
      </c>
      <c r="D24" s="98"/>
      <c r="E24" s="79">
        <f t="shared" si="0"/>
        <v>4243.7</v>
      </c>
    </row>
    <row r="25" spans="1:5" ht="14.1" customHeight="1">
      <c r="A25" s="330" t="s">
        <v>249</v>
      </c>
      <c r="B25" s="337">
        <v>154</v>
      </c>
      <c r="C25" s="337">
        <f>SUM('- 6 -'!B25:H25,B25)</f>
        <v>13705.8</v>
      </c>
      <c r="D25" s="98"/>
      <c r="E25" s="337">
        <f t="shared" si="0"/>
        <v>13705.8</v>
      </c>
    </row>
    <row r="26" spans="1:5" ht="14.1" customHeight="1">
      <c r="A26" s="26" t="s">
        <v>250</v>
      </c>
      <c r="B26" s="79">
        <v>155.29</v>
      </c>
      <c r="C26" s="79">
        <f>SUM('- 6 -'!B26:H26,B26)</f>
        <v>3107.5</v>
      </c>
      <c r="D26" s="98"/>
      <c r="E26" s="79">
        <f t="shared" si="0"/>
        <v>3107.5</v>
      </c>
    </row>
    <row r="27" spans="1:5" ht="14.1" customHeight="1">
      <c r="A27" s="330" t="s">
        <v>251</v>
      </c>
      <c r="B27" s="337">
        <v>197.14</v>
      </c>
      <c r="C27" s="337">
        <f>SUM('- 6 -'!B27:H27,B27)</f>
        <v>2739.04</v>
      </c>
      <c r="D27" s="98"/>
      <c r="E27" s="337">
        <f t="shared" si="0"/>
        <v>2739.04</v>
      </c>
    </row>
    <row r="28" spans="1:5" ht="14.1" customHeight="1">
      <c r="A28" s="26" t="s">
        <v>252</v>
      </c>
      <c r="B28" s="79">
        <v>0</v>
      </c>
      <c r="C28" s="79">
        <f>SUM('- 6 -'!B28:H28,B28)</f>
        <v>1984.5</v>
      </c>
      <c r="D28" s="98"/>
      <c r="E28" s="79">
        <f t="shared" si="0"/>
        <v>1984.5</v>
      </c>
    </row>
    <row r="29" spans="1:5" ht="14.1" customHeight="1">
      <c r="A29" s="330" t="s">
        <v>253</v>
      </c>
      <c r="B29" s="337">
        <v>0</v>
      </c>
      <c r="C29" s="337">
        <f>SUM('- 6 -'!B29:H29,B29)</f>
        <v>12172.400000000001</v>
      </c>
      <c r="D29" s="98"/>
      <c r="E29" s="337">
        <f t="shared" si="0"/>
        <v>12172.400000000001</v>
      </c>
    </row>
    <row r="30" spans="1:5" ht="14.1" customHeight="1">
      <c r="A30" s="26" t="s">
        <v>254</v>
      </c>
      <c r="B30" s="79">
        <v>0</v>
      </c>
      <c r="C30" s="79">
        <f>SUM('- 6 -'!B30:H30,B30)</f>
        <v>1077.8</v>
      </c>
      <c r="D30" s="98"/>
      <c r="E30" s="79">
        <f t="shared" si="0"/>
        <v>1077.8</v>
      </c>
    </row>
    <row r="31" spans="1:5" ht="14.1" customHeight="1">
      <c r="A31" s="330" t="s">
        <v>255</v>
      </c>
      <c r="B31" s="337">
        <v>98</v>
      </c>
      <c r="C31" s="337">
        <f>SUM('- 6 -'!B31:H31,B31)</f>
        <v>3181</v>
      </c>
      <c r="D31" s="98"/>
      <c r="E31" s="337">
        <f t="shared" si="0"/>
        <v>3181</v>
      </c>
    </row>
    <row r="32" spans="1:5" ht="14.1" customHeight="1">
      <c r="A32" s="26" t="s">
        <v>256</v>
      </c>
      <c r="B32" s="79">
        <v>64.7</v>
      </c>
      <c r="C32" s="79">
        <f>SUM('- 6 -'!B32:H32,B32)</f>
        <v>2062.5</v>
      </c>
      <c r="D32" s="98"/>
      <c r="E32" s="79">
        <f t="shared" si="0"/>
        <v>2062.5</v>
      </c>
    </row>
    <row r="33" spans="1:7" ht="14.1" customHeight="1">
      <c r="A33" s="330" t="s">
        <v>257</v>
      </c>
      <c r="B33" s="337">
        <v>60.1</v>
      </c>
      <c r="C33" s="337">
        <f>SUM('- 6 -'!B33:H33,B33)</f>
        <v>2024</v>
      </c>
      <c r="D33" s="98"/>
      <c r="E33" s="337">
        <f t="shared" si="0"/>
        <v>2024</v>
      </c>
    </row>
    <row r="34" spans="1:7" ht="14.1" customHeight="1">
      <c r="A34" s="26" t="s">
        <v>258</v>
      </c>
      <c r="B34" s="79">
        <v>21.83</v>
      </c>
      <c r="C34" s="79">
        <f>SUM('- 6 -'!B34:H34,B34)</f>
        <v>2038.87</v>
      </c>
      <c r="D34" s="98"/>
      <c r="E34" s="79">
        <f t="shared" si="0"/>
        <v>2038.87</v>
      </c>
    </row>
    <row r="35" spans="1:7" ht="14.1" customHeight="1">
      <c r="A35" s="330" t="s">
        <v>259</v>
      </c>
      <c r="B35" s="337">
        <v>516</v>
      </c>
      <c r="C35" s="337">
        <f>SUM('- 6 -'!B35:H35,B35)</f>
        <v>15784</v>
      </c>
      <c r="D35" s="98"/>
      <c r="E35" s="337">
        <f t="shared" si="0"/>
        <v>15784</v>
      </c>
    </row>
    <row r="36" spans="1:7" ht="14.1" customHeight="1">
      <c r="A36" s="26" t="s">
        <v>260</v>
      </c>
      <c r="B36" s="79">
        <v>12.7</v>
      </c>
      <c r="C36" s="79">
        <f>SUM('- 6 -'!B36:H36,B36)</f>
        <v>1649.5</v>
      </c>
      <c r="D36" s="98"/>
      <c r="E36" s="79">
        <f t="shared" si="0"/>
        <v>1649.5</v>
      </c>
    </row>
    <row r="37" spans="1:7" ht="14.1" customHeight="1">
      <c r="A37" s="330" t="s">
        <v>261</v>
      </c>
      <c r="B37" s="337">
        <v>0</v>
      </c>
      <c r="C37" s="337">
        <f>SUM('- 6 -'!B37:H37,B37)</f>
        <v>3728.5</v>
      </c>
      <c r="D37" s="98"/>
      <c r="E37" s="337">
        <f t="shared" si="0"/>
        <v>3728.5</v>
      </c>
    </row>
    <row r="38" spans="1:7" ht="14.1" customHeight="1">
      <c r="A38" s="26" t="s">
        <v>262</v>
      </c>
      <c r="B38" s="79">
        <v>112</v>
      </c>
      <c r="C38" s="79">
        <f>SUM('- 6 -'!B38:H38,B38)</f>
        <v>10351.6</v>
      </c>
      <c r="D38" s="98"/>
      <c r="E38" s="79">
        <f t="shared" si="0"/>
        <v>10351.6</v>
      </c>
    </row>
    <row r="39" spans="1:7" ht="14.1" customHeight="1">
      <c r="A39" s="330" t="s">
        <v>263</v>
      </c>
      <c r="B39" s="337">
        <v>46</v>
      </c>
      <c r="C39" s="337">
        <f>SUM('- 6 -'!B39:H39,B39)</f>
        <v>1586</v>
      </c>
      <c r="D39" s="98"/>
      <c r="E39" s="337">
        <f t="shared" si="0"/>
        <v>1586</v>
      </c>
    </row>
    <row r="40" spans="1:7" ht="14.1" customHeight="1">
      <c r="A40" s="26" t="s">
        <v>264</v>
      </c>
      <c r="B40" s="79">
        <v>297.5</v>
      </c>
      <c r="C40" s="79">
        <f>SUM('- 6 -'!B40:H40,B40)</f>
        <v>8035.7</v>
      </c>
      <c r="D40" s="98"/>
      <c r="E40" s="79">
        <f t="shared" si="0"/>
        <v>8035.7</v>
      </c>
    </row>
    <row r="41" spans="1:7" ht="14.1" customHeight="1">
      <c r="A41" s="330" t="s">
        <v>265</v>
      </c>
      <c r="B41" s="337">
        <v>0</v>
      </c>
      <c r="C41" s="337">
        <f>SUM('- 6 -'!B41:H41,B41)</f>
        <v>4474</v>
      </c>
      <c r="D41" s="98"/>
      <c r="E41" s="337">
        <f t="shared" si="0"/>
        <v>4474</v>
      </c>
    </row>
    <row r="42" spans="1:7" ht="14.1" customHeight="1">
      <c r="A42" s="26" t="s">
        <v>266</v>
      </c>
      <c r="B42" s="79">
        <v>160</v>
      </c>
      <c r="C42" s="79">
        <f>SUM('- 6 -'!B42:H42,B42)</f>
        <v>1428.7</v>
      </c>
      <c r="D42" s="98"/>
      <c r="E42" s="79">
        <f t="shared" si="0"/>
        <v>1428.7</v>
      </c>
    </row>
    <row r="43" spans="1:7" ht="14.1" customHeight="1">
      <c r="A43" s="330" t="s">
        <v>267</v>
      </c>
      <c r="B43" s="337">
        <v>22</v>
      </c>
      <c r="C43" s="337">
        <f>SUM('- 6 -'!B43:H43,B43)</f>
        <v>975.5</v>
      </c>
      <c r="D43" s="98"/>
      <c r="E43" s="337">
        <f t="shared" si="0"/>
        <v>975.5</v>
      </c>
    </row>
    <row r="44" spans="1:7" ht="14.1" customHeight="1">
      <c r="A44" s="26" t="s">
        <v>268</v>
      </c>
      <c r="B44" s="79">
        <v>0</v>
      </c>
      <c r="C44" s="79">
        <f>SUM('- 6 -'!B44:H44,B44)</f>
        <v>715.5</v>
      </c>
      <c r="D44" s="98"/>
      <c r="E44" s="79">
        <f t="shared" si="0"/>
        <v>715.5</v>
      </c>
    </row>
    <row r="45" spans="1:7" ht="14.1" customHeight="1">
      <c r="A45" s="330" t="s">
        <v>269</v>
      </c>
      <c r="B45" s="337">
        <v>31</v>
      </c>
      <c r="C45" s="337">
        <f>SUM('- 6 -'!B45:H45,B45)</f>
        <v>1610</v>
      </c>
      <c r="D45" s="98"/>
      <c r="E45" s="337">
        <f t="shared" si="0"/>
        <v>1610</v>
      </c>
    </row>
    <row r="46" spans="1:7" ht="14.1" customHeight="1">
      <c r="A46" s="26" t="s">
        <v>270</v>
      </c>
      <c r="B46" s="79">
        <v>622.6</v>
      </c>
      <c r="C46" s="79">
        <f>SUM('- 6 -'!B46:H46,B46)</f>
        <v>30127</v>
      </c>
      <c r="D46" s="98"/>
      <c r="E46" s="79">
        <f t="shared" si="0"/>
        <v>30127</v>
      </c>
    </row>
    <row r="47" spans="1:7" ht="5.0999999999999996" customHeight="1">
      <c r="A47"/>
      <c r="B47"/>
      <c r="C47"/>
      <c r="D47"/>
      <c r="E47"/>
      <c r="F47"/>
      <c r="G47"/>
    </row>
    <row r="48" spans="1:7" ht="14.1" customHeight="1">
      <c r="A48" s="332" t="s">
        <v>271</v>
      </c>
      <c r="B48" s="340">
        <f>SUM(B11:B46)</f>
        <v>4045.6314285714279</v>
      </c>
      <c r="C48" s="340">
        <f>SUM(C11:C46)</f>
        <v>172261.18142857144</v>
      </c>
      <c r="D48" s="99"/>
      <c r="E48" s="340">
        <f>SUM(E11:E46)</f>
        <v>172261.18142857144</v>
      </c>
    </row>
    <row r="49" spans="1:7" ht="5.0999999999999996" customHeight="1">
      <c r="A49" s="28" t="s">
        <v>17</v>
      </c>
      <c r="B49" s="80"/>
      <c r="C49" s="80"/>
      <c r="D49" s="97"/>
      <c r="E49" s="80"/>
    </row>
    <row r="50" spans="1:7" ht="14.1" customHeight="1">
      <c r="A50" s="26" t="s">
        <v>272</v>
      </c>
      <c r="B50" s="79">
        <v>0</v>
      </c>
      <c r="C50" s="79">
        <f>SUM('- 6 -'!B50:H50,B50)</f>
        <v>167</v>
      </c>
      <c r="D50" s="98"/>
      <c r="E50" s="79">
        <f>C50</f>
        <v>167</v>
      </c>
    </row>
    <row r="51" spans="1:7" ht="14.1" customHeight="1">
      <c r="A51" s="330" t="s">
        <v>273</v>
      </c>
      <c r="B51" s="337">
        <v>654</v>
      </c>
      <c r="C51" s="337">
        <f>SUM('- 6 -'!B51:H51,B51)</f>
        <v>722.88</v>
      </c>
      <c r="D51" s="98"/>
      <c r="E51" s="337">
        <f>C51</f>
        <v>722.88</v>
      </c>
    </row>
    <row r="52" spans="1:7" ht="50.1" customHeight="1">
      <c r="A52" s="585"/>
      <c r="B52" s="585"/>
      <c r="C52" s="585"/>
      <c r="D52" s="585"/>
      <c r="E52" s="585"/>
      <c r="F52" s="585"/>
      <c r="G52" s="585"/>
    </row>
    <row r="53" spans="1:7">
      <c r="A53" s="151" t="s">
        <v>712</v>
      </c>
    </row>
    <row r="54" spans="1:7">
      <c r="A54" s="32" t="s">
        <v>711</v>
      </c>
    </row>
    <row r="55" spans="1:7">
      <c r="A55" s="32"/>
    </row>
  </sheetData>
  <phoneticPr fontId="6" type="noConversion"/>
  <pageMargins left="0.51181102362204722" right="0.51181102362204722" top="0.59055118110236227" bottom="0.19685039370078741" header="0.31496062992125984" footer="0.51181102362204722"/>
  <pageSetup scale="88" orientation="portrait" r:id="rId1"/>
  <headerFooter alignWithMargins="0">
    <oddHeader>&amp;C&amp;"Arial,Regular"&amp;11&amp;A</oddHeader>
  </headerFooter>
</worksheet>
</file>

<file path=xl/worksheets/sheet60.xml><?xml version="1.0" encoding="utf-8"?>
<worksheet xmlns="http://schemas.openxmlformats.org/spreadsheetml/2006/main" xmlns:r="http://schemas.openxmlformats.org/officeDocument/2006/relationships">
  <sheetPr codeName="Sheet55"/>
  <dimension ref="A1:M57"/>
  <sheetViews>
    <sheetView showGridLines="0" workbookViewId="0"/>
  </sheetViews>
  <sheetFormatPr defaultColWidth="19.83203125" defaultRowHeight="12"/>
  <cols>
    <col min="1" max="1" width="30.83203125" style="615" customWidth="1"/>
    <col min="2" max="2" width="17" style="615" customWidth="1"/>
    <col min="3" max="3" width="12" style="615" customWidth="1"/>
    <col min="4" max="4" width="16.83203125" style="615" customWidth="1"/>
    <col min="5" max="5" width="11.5" style="615" customWidth="1"/>
    <col min="6" max="6" width="13.33203125" style="615" customWidth="1"/>
    <col min="7" max="7" width="12.5" style="615" customWidth="1"/>
    <col min="8" max="9" width="19.83203125" style="615"/>
    <col min="10" max="10" width="25.5" style="615" bestFit="1" customWidth="1"/>
    <col min="11" max="11" width="21.1640625" style="615" bestFit="1" customWidth="1"/>
    <col min="12" max="16384" width="19.83203125" style="615"/>
  </cols>
  <sheetData>
    <row r="1" spans="1:13" ht="6.95" customHeight="1">
      <c r="A1" s="613"/>
      <c r="B1" s="614"/>
      <c r="C1" s="614"/>
    </row>
    <row r="2" spans="1:13" ht="15.95" customHeight="1">
      <c r="A2" s="616" t="s">
        <v>593</v>
      </c>
      <c r="B2" s="617"/>
      <c r="C2" s="617"/>
      <c r="D2" s="617"/>
      <c r="E2" s="617"/>
      <c r="F2" s="617"/>
      <c r="G2" s="617"/>
    </row>
    <row r="3" spans="1:13" ht="15.95" customHeight="1">
      <c r="A3" s="618" t="str">
        <f>+'- 67 -'!A3</f>
        <v>2011/12 AND 2012/13 ACTUAL</v>
      </c>
      <c r="B3" s="619"/>
      <c r="C3" s="619"/>
      <c r="D3" s="619"/>
      <c r="E3" s="619"/>
      <c r="F3" s="619"/>
      <c r="G3" s="619"/>
    </row>
    <row r="4" spans="1:13" ht="15.95" customHeight="1">
      <c r="B4" s="614"/>
      <c r="C4" s="614"/>
      <c r="J4" s="676"/>
      <c r="K4" s="676"/>
      <c r="L4" s="676"/>
      <c r="M4" s="676"/>
    </row>
    <row r="5" spans="1:13" ht="12" customHeight="1">
      <c r="B5" s="614"/>
      <c r="C5" s="614"/>
      <c r="J5" s="676"/>
      <c r="K5" s="676"/>
      <c r="L5" s="676"/>
      <c r="M5" s="676"/>
    </row>
    <row r="6" spans="1:13" ht="15.75" customHeight="1">
      <c r="B6" s="633" t="s">
        <v>594</v>
      </c>
      <c r="C6" s="634"/>
      <c r="D6" s="635"/>
      <c r="E6" s="634"/>
      <c r="F6" s="633" t="s">
        <v>594</v>
      </c>
      <c r="G6" s="635"/>
      <c r="J6" s="677"/>
      <c r="K6" s="676" t="str">
        <f>+'- 15 -'!E6</f>
        <v>STUDENT SUPPORT</v>
      </c>
      <c r="L6" s="676" t="str">
        <f>+'- 16 -'!G6</f>
        <v>INSTRUCTIONAL &amp; OTHER</v>
      </c>
      <c r="M6" s="676"/>
    </row>
    <row r="7" spans="1:13">
      <c r="B7" s="636" t="s">
        <v>595</v>
      </c>
      <c r="C7" s="637"/>
      <c r="D7" s="638"/>
      <c r="E7" s="637"/>
      <c r="F7" s="636" t="s">
        <v>595</v>
      </c>
      <c r="G7" s="638"/>
      <c r="J7" s="677" t="str">
        <f>+'- 15 -'!B7</f>
        <v>REGULAR INSTRUCTION</v>
      </c>
      <c r="K7" s="676" t="str">
        <f>+'- 15 -'!E7</f>
        <v>SERVICES</v>
      </c>
      <c r="L7" s="676" t="str">
        <f>+'- 16 -'!G7</f>
        <v>SUPPORT SERVICES</v>
      </c>
      <c r="M7" s="676"/>
    </row>
    <row r="8" spans="1:13" ht="13.5">
      <c r="A8" s="620"/>
      <c r="B8" s="639" t="s">
        <v>681</v>
      </c>
      <c r="C8" s="640"/>
      <c r="D8" s="641"/>
      <c r="E8" s="640"/>
      <c r="F8" s="639" t="s">
        <v>596</v>
      </c>
      <c r="G8" s="641"/>
      <c r="J8" s="677"/>
      <c r="K8" s="676"/>
      <c r="L8" s="676"/>
      <c r="M8" s="676"/>
    </row>
    <row r="9" spans="1:13" ht="29.25" customHeight="1">
      <c r="A9" s="621" t="s">
        <v>94</v>
      </c>
      <c r="B9" s="622" t="str">
        <f>+'- 67 -'!B9</f>
        <v>2011/12</v>
      </c>
      <c r="C9" s="696" t="s">
        <v>708</v>
      </c>
      <c r="D9" s="622" t="str">
        <f>+'- 67 -'!C9</f>
        <v>2012/13</v>
      </c>
      <c r="E9" s="696" t="s">
        <v>708</v>
      </c>
      <c r="F9" s="648" t="str">
        <f>+B9</f>
        <v>2011/12</v>
      </c>
      <c r="G9" s="648" t="str">
        <f>+D9</f>
        <v>2012/13</v>
      </c>
      <c r="J9" s="676"/>
      <c r="K9" s="676"/>
      <c r="L9" s="676"/>
      <c r="M9" s="676"/>
    </row>
    <row r="10" spans="1:13" ht="5.0999999999999996" customHeight="1">
      <c r="A10" s="623"/>
      <c r="B10" s="624"/>
      <c r="C10" s="624"/>
      <c r="D10" s="613"/>
      <c r="E10" s="613"/>
      <c r="F10" s="613"/>
      <c r="J10" s="676"/>
      <c r="K10" s="676"/>
      <c r="L10" s="676"/>
      <c r="M10" s="676"/>
    </row>
    <row r="11" spans="1:13" ht="14.1" customHeight="1">
      <c r="A11" s="642" t="s">
        <v>236</v>
      </c>
      <c r="B11" s="643">
        <v>11551603</v>
      </c>
      <c r="C11" s="644">
        <v>76.833222411754818</v>
      </c>
      <c r="D11" s="643">
        <v>11941766</v>
      </c>
      <c r="E11" s="644">
        <f>+D11/'- 3 -'!F11*100</f>
        <v>76.413257032051447</v>
      </c>
      <c r="F11" s="643">
        <v>8063.9462478184987</v>
      </c>
      <c r="G11" s="643">
        <f>+D11/'- 7 -'!E11</f>
        <v>7953.2241092241093</v>
      </c>
      <c r="I11" s="625" t="str">
        <f>IF(D11=M11,"",M11-D11)</f>
        <v/>
      </c>
      <c r="J11" s="677">
        <f>+'- 15 -'!B11</f>
        <v>9436110</v>
      </c>
      <c r="K11" s="676">
        <f>+'- 15 -'!E11</f>
        <v>2182734</v>
      </c>
      <c r="L11" s="676">
        <f>+'- 16 -'!G11</f>
        <v>322922</v>
      </c>
      <c r="M11" s="677">
        <f>+J11+K11+L11</f>
        <v>11941766</v>
      </c>
    </row>
    <row r="12" spans="1:13" ht="14.1" customHeight="1">
      <c r="A12" s="626" t="s">
        <v>237</v>
      </c>
      <c r="B12" s="627">
        <v>21448783</v>
      </c>
      <c r="C12" s="628">
        <v>76.60673620357619</v>
      </c>
      <c r="D12" s="627">
        <v>22183902</v>
      </c>
      <c r="E12" s="628">
        <f>+D12/'- 3 -'!F12*100</f>
        <v>76.650442412593705</v>
      </c>
      <c r="F12" s="627">
        <v>9168.8110220063954</v>
      </c>
      <c r="G12" s="627">
        <f>+D12/'- 7 -'!E12</f>
        <v>9700.8492216197301</v>
      </c>
      <c r="I12" s="625" t="str">
        <f>IF(D12=M12,"",M12-D12)</f>
        <v/>
      </c>
      <c r="J12" s="677">
        <f>+'- 15 -'!B12</f>
        <v>17049076</v>
      </c>
      <c r="K12" s="676">
        <f>+'- 15 -'!E12</f>
        <v>4444757</v>
      </c>
      <c r="L12" s="676">
        <f>+'- 16 -'!G12</f>
        <v>690069</v>
      </c>
      <c r="M12" s="677">
        <f t="shared" ref="M12:M48" si="0">+J12+K12+L12</f>
        <v>22183902</v>
      </c>
    </row>
    <row r="13" spans="1:13" ht="14.1" customHeight="1">
      <c r="A13" s="642" t="s">
        <v>238</v>
      </c>
      <c r="B13" s="643">
        <v>61777058</v>
      </c>
      <c r="C13" s="644">
        <v>84.565561382662125</v>
      </c>
      <c r="D13" s="643">
        <v>67730272</v>
      </c>
      <c r="E13" s="644">
        <f>+D13/'- 3 -'!F13*100</f>
        <v>84.502954073171992</v>
      </c>
      <c r="F13" s="643">
        <v>8118.9457221711127</v>
      </c>
      <c r="G13" s="643">
        <f>+D13/'- 7 -'!E13</f>
        <v>8629.7091163916666</v>
      </c>
      <c r="I13" s="625" t="str">
        <f t="shared" ref="I13:I48" si="1">IF(D13=M13,"",M13-D13)</f>
        <v/>
      </c>
      <c r="J13" s="677">
        <f>+'- 15 -'!B13</f>
        <v>47544320</v>
      </c>
      <c r="K13" s="676">
        <f>+'- 15 -'!E13</f>
        <v>17781477</v>
      </c>
      <c r="L13" s="676">
        <f>+'- 16 -'!G13</f>
        <v>2404475</v>
      </c>
      <c r="M13" s="678">
        <f t="shared" si="0"/>
        <v>67730272</v>
      </c>
    </row>
    <row r="14" spans="1:13" ht="14.1" customHeight="1">
      <c r="A14" s="626" t="s">
        <v>656</v>
      </c>
      <c r="B14" s="627">
        <v>47861204</v>
      </c>
      <c r="C14" s="628">
        <v>73.179133823654823</v>
      </c>
      <c r="D14" s="627">
        <v>50344037</v>
      </c>
      <c r="E14" s="628">
        <f>+D14/'- 3 -'!F14*100</f>
        <v>73.035308274666292</v>
      </c>
      <c r="F14" s="627">
        <v>9665.0250403877217</v>
      </c>
      <c r="G14" s="627">
        <f>+D14/'- 7 -'!E14</f>
        <v>9883.0068708284252</v>
      </c>
      <c r="I14" s="625" t="str">
        <f t="shared" si="1"/>
        <v/>
      </c>
      <c r="J14" s="677">
        <f>+'- 15 -'!B14</f>
        <v>38926002</v>
      </c>
      <c r="K14" s="676">
        <f>+'- 15 -'!E14</f>
        <v>8974496</v>
      </c>
      <c r="L14" s="676">
        <f>+'- 16 -'!G14</f>
        <v>2443539</v>
      </c>
      <c r="M14" s="677">
        <f t="shared" si="0"/>
        <v>50344037</v>
      </c>
    </row>
    <row r="15" spans="1:13" ht="14.1" customHeight="1">
      <c r="A15" s="642" t="s">
        <v>239</v>
      </c>
      <c r="B15" s="643">
        <v>13437502</v>
      </c>
      <c r="C15" s="644">
        <v>74.701386290748033</v>
      </c>
      <c r="D15" s="643">
        <v>13696835</v>
      </c>
      <c r="E15" s="644">
        <f>+D15/'- 3 -'!F15*100</f>
        <v>73.959783903290955</v>
      </c>
      <c r="F15" s="643">
        <v>8765.4938030006524</v>
      </c>
      <c r="G15" s="643">
        <f>+D15/'- 7 -'!E15</f>
        <v>8871.0071243523307</v>
      </c>
      <c r="I15" s="625" t="str">
        <f t="shared" si="1"/>
        <v/>
      </c>
      <c r="J15" s="677">
        <f>+'- 15 -'!B15</f>
        <v>9887283</v>
      </c>
      <c r="K15" s="676">
        <f>+'- 15 -'!E15</f>
        <v>3229675</v>
      </c>
      <c r="L15" s="676">
        <f>+'- 16 -'!G15</f>
        <v>579877</v>
      </c>
      <c r="M15" s="677">
        <f t="shared" si="0"/>
        <v>13696835</v>
      </c>
    </row>
    <row r="16" spans="1:13" ht="14.1" customHeight="1">
      <c r="A16" s="626" t="s">
        <v>240</v>
      </c>
      <c r="B16" s="627">
        <v>9365299</v>
      </c>
      <c r="C16" s="628">
        <v>74.958294024505975</v>
      </c>
      <c r="D16" s="627">
        <v>9521668</v>
      </c>
      <c r="E16" s="628">
        <f>+D16/'- 3 -'!F16*100</f>
        <v>75.131024253364345</v>
      </c>
      <c r="F16" s="627">
        <v>9464.678120262759</v>
      </c>
      <c r="G16" s="627">
        <f>+D16/'- 7 -'!E16</f>
        <v>9593.6201511335021</v>
      </c>
      <c r="I16" s="625" t="str">
        <f t="shared" si="1"/>
        <v/>
      </c>
      <c r="J16" s="677">
        <f>+'- 15 -'!B16</f>
        <v>7090349</v>
      </c>
      <c r="K16" s="676">
        <f>+'- 15 -'!E16</f>
        <v>2070639</v>
      </c>
      <c r="L16" s="676">
        <f>+'- 16 -'!G16</f>
        <v>360680</v>
      </c>
      <c r="M16" s="677">
        <f t="shared" si="0"/>
        <v>9521668</v>
      </c>
    </row>
    <row r="17" spans="1:13" ht="14.1" customHeight="1">
      <c r="A17" s="642" t="s">
        <v>241</v>
      </c>
      <c r="B17" s="643">
        <v>11503766</v>
      </c>
      <c r="C17" s="644">
        <v>73.744732263162504</v>
      </c>
      <c r="D17" s="643">
        <v>11604810</v>
      </c>
      <c r="E17" s="644">
        <f>+D17/'- 3 -'!F17*100</f>
        <v>73.680729853069778</v>
      </c>
      <c r="F17" s="643">
        <v>8698.4998109640837</v>
      </c>
      <c r="G17" s="643">
        <f>+D17/'- 7 -'!E17</f>
        <v>8957.9822017357146</v>
      </c>
      <c r="I17" s="625" t="str">
        <f t="shared" si="1"/>
        <v/>
      </c>
      <c r="J17" s="677">
        <f>+'- 15 -'!B17</f>
        <v>9276321</v>
      </c>
      <c r="K17" s="676">
        <f>+'- 15 -'!E17</f>
        <v>1937590</v>
      </c>
      <c r="L17" s="676">
        <f>+'- 16 -'!G17</f>
        <v>390899</v>
      </c>
      <c r="M17" s="677">
        <f t="shared" si="0"/>
        <v>11604810</v>
      </c>
    </row>
    <row r="18" spans="1:13" ht="14.1" customHeight="1">
      <c r="A18" s="626" t="s">
        <v>242</v>
      </c>
      <c r="B18" s="627">
        <v>69444923</v>
      </c>
      <c r="C18" s="628">
        <v>66.403242780545767</v>
      </c>
      <c r="D18" s="627">
        <v>71740844</v>
      </c>
      <c r="E18" s="628">
        <f>+D18/'- 3 -'!F18*100</f>
        <v>66.141356447931955</v>
      </c>
      <c r="F18" s="627">
        <v>12014.484697496582</v>
      </c>
      <c r="G18" s="627">
        <f>+D18/'- 7 -'!E18</f>
        <v>12420.506232686981</v>
      </c>
      <c r="I18" s="625" t="str">
        <f t="shared" si="1"/>
        <v/>
      </c>
      <c r="J18" s="677">
        <f>+'- 15 -'!B18</f>
        <v>48360199</v>
      </c>
      <c r="K18" s="676">
        <f>+'- 15 -'!E18</f>
        <v>17156104</v>
      </c>
      <c r="L18" s="676">
        <f>+'- 16 -'!G18</f>
        <v>6224541</v>
      </c>
      <c r="M18" s="677">
        <f t="shared" si="0"/>
        <v>71740844</v>
      </c>
    </row>
    <row r="19" spans="1:13" ht="14.1" customHeight="1">
      <c r="A19" s="642" t="s">
        <v>243</v>
      </c>
      <c r="B19" s="643">
        <v>30111680</v>
      </c>
      <c r="C19" s="644">
        <v>81.1959028099091</v>
      </c>
      <c r="D19" s="643">
        <v>31307733</v>
      </c>
      <c r="E19" s="644">
        <f>+D19/'- 3 -'!F19*100</f>
        <v>80.472891510908909</v>
      </c>
      <c r="F19" s="643">
        <v>7272.6499855086468</v>
      </c>
      <c r="G19" s="643">
        <f>+D19/'- 7 -'!E19</f>
        <v>7473.2611653498197</v>
      </c>
      <c r="I19" s="625" t="str">
        <f t="shared" si="1"/>
        <v/>
      </c>
      <c r="J19" s="677">
        <f>+'- 15 -'!B19</f>
        <v>23553761</v>
      </c>
      <c r="K19" s="676">
        <f>+'- 15 -'!E19</f>
        <v>6728241</v>
      </c>
      <c r="L19" s="676">
        <f>+'- 16 -'!G19</f>
        <v>1025731</v>
      </c>
      <c r="M19" s="677">
        <f t="shared" si="0"/>
        <v>31307733</v>
      </c>
    </row>
    <row r="20" spans="1:13" ht="14.1" customHeight="1">
      <c r="A20" s="626" t="s">
        <v>244</v>
      </c>
      <c r="B20" s="627">
        <v>50455605</v>
      </c>
      <c r="C20" s="628">
        <v>80.454295747050836</v>
      </c>
      <c r="D20" s="627">
        <v>54074839</v>
      </c>
      <c r="E20" s="628">
        <f>+D20/'- 3 -'!F20*100</f>
        <v>80.082588608704725</v>
      </c>
      <c r="F20" s="627">
        <v>6914.5683157461972</v>
      </c>
      <c r="G20" s="627">
        <f>+D20/'- 7 -'!E20</f>
        <v>7316.8038698328937</v>
      </c>
      <c r="I20" s="625" t="str">
        <f t="shared" si="1"/>
        <v/>
      </c>
      <c r="J20" s="677">
        <f>+'- 15 -'!B20</f>
        <v>42099490</v>
      </c>
      <c r="K20" s="676">
        <f>+'- 15 -'!E20</f>
        <v>9735531</v>
      </c>
      <c r="L20" s="676">
        <f>+'- 16 -'!G20</f>
        <v>2239818</v>
      </c>
      <c r="M20" s="677">
        <f t="shared" si="0"/>
        <v>54074839</v>
      </c>
    </row>
    <row r="21" spans="1:13" ht="14.1" customHeight="1">
      <c r="A21" s="642" t="s">
        <v>245</v>
      </c>
      <c r="B21" s="643">
        <v>24158740</v>
      </c>
      <c r="C21" s="644">
        <v>77.433894095934576</v>
      </c>
      <c r="D21" s="643">
        <v>24921664</v>
      </c>
      <c r="E21" s="644">
        <f>+D21/'- 3 -'!F21*100</f>
        <v>76.900473548157677</v>
      </c>
      <c r="F21" s="643">
        <v>8497.6222300386908</v>
      </c>
      <c r="G21" s="643">
        <f>+D21/'- 7 -'!E21</f>
        <v>9034.4984593075951</v>
      </c>
      <c r="I21" s="625" t="str">
        <f t="shared" si="1"/>
        <v/>
      </c>
      <c r="J21" s="677">
        <f>+'- 15 -'!B21</f>
        <v>17680143</v>
      </c>
      <c r="K21" s="676">
        <f>+'- 15 -'!E21</f>
        <v>5714198</v>
      </c>
      <c r="L21" s="676">
        <f>+'- 16 -'!G21</f>
        <v>1527323</v>
      </c>
      <c r="M21" s="677">
        <f t="shared" si="0"/>
        <v>24921664</v>
      </c>
    </row>
    <row r="22" spans="1:13" ht="14.1" customHeight="1">
      <c r="A22" s="626" t="s">
        <v>246</v>
      </c>
      <c r="B22" s="627">
        <v>13771423</v>
      </c>
      <c r="C22" s="628">
        <v>78.54873702176134</v>
      </c>
      <c r="D22" s="627">
        <v>14179655</v>
      </c>
      <c r="E22" s="628">
        <f>+D22/'- 3 -'!F22*100</f>
        <v>79.11899580039767</v>
      </c>
      <c r="F22" s="627">
        <v>8798.5069000766671</v>
      </c>
      <c r="G22" s="627">
        <f>+D22/'- 7 -'!E22</f>
        <v>8887.2798495769348</v>
      </c>
      <c r="I22" s="625" t="str">
        <f t="shared" si="1"/>
        <v/>
      </c>
      <c r="J22" s="677">
        <f>+'- 15 -'!B22</f>
        <v>9180717</v>
      </c>
      <c r="K22" s="676">
        <f>+'- 15 -'!E22</f>
        <v>4494842</v>
      </c>
      <c r="L22" s="676">
        <f>+'- 16 -'!G22</f>
        <v>504096</v>
      </c>
      <c r="M22" s="677">
        <f t="shared" si="0"/>
        <v>14179655</v>
      </c>
    </row>
    <row r="23" spans="1:13" ht="14.1" customHeight="1">
      <c r="A23" s="642" t="s">
        <v>247</v>
      </c>
      <c r="B23" s="643">
        <v>11006651</v>
      </c>
      <c r="C23" s="644">
        <v>75.127036427358959</v>
      </c>
      <c r="D23" s="643">
        <v>11566988</v>
      </c>
      <c r="E23" s="644">
        <f>+D23/'- 3 -'!F23*100</f>
        <v>74.571330449458586</v>
      </c>
      <c r="F23" s="643">
        <v>9222.1625471302887</v>
      </c>
      <c r="G23" s="643">
        <f>+D23/'- 7 -'!E23</f>
        <v>9757.0544074230274</v>
      </c>
      <c r="I23" s="625" t="str">
        <f t="shared" si="1"/>
        <v/>
      </c>
      <c r="J23" s="677">
        <f>+'- 15 -'!B23</f>
        <v>8276084</v>
      </c>
      <c r="K23" s="676">
        <f>+'- 15 -'!E23</f>
        <v>2816756</v>
      </c>
      <c r="L23" s="676">
        <f>+'- 16 -'!G23</f>
        <v>474148</v>
      </c>
      <c r="M23" s="677">
        <f t="shared" si="0"/>
        <v>11566988</v>
      </c>
    </row>
    <row r="24" spans="1:13" ht="14.1" customHeight="1">
      <c r="A24" s="626" t="s">
        <v>248</v>
      </c>
      <c r="B24" s="627">
        <v>38339110</v>
      </c>
      <c r="C24" s="628">
        <v>79.501153311890889</v>
      </c>
      <c r="D24" s="627">
        <v>39912158</v>
      </c>
      <c r="E24" s="628">
        <f>+D24/'- 3 -'!F24*100</f>
        <v>79.448035801796252</v>
      </c>
      <c r="F24" s="627">
        <v>8851.2316749393976</v>
      </c>
      <c r="G24" s="627">
        <f>+D24/'- 7 -'!E24</f>
        <v>9405.037585126187</v>
      </c>
      <c r="I24" s="625" t="str">
        <f t="shared" si="1"/>
        <v/>
      </c>
      <c r="J24" s="677">
        <f>+'- 15 -'!B24</f>
        <v>29901438</v>
      </c>
      <c r="K24" s="676">
        <f>+'- 15 -'!E24</f>
        <v>8585943</v>
      </c>
      <c r="L24" s="676">
        <f>+'- 16 -'!G24</f>
        <v>1424777</v>
      </c>
      <c r="M24" s="677">
        <f t="shared" si="0"/>
        <v>39912158</v>
      </c>
    </row>
    <row r="25" spans="1:13" ht="14.1" customHeight="1">
      <c r="A25" s="642" t="s">
        <v>249</v>
      </c>
      <c r="B25" s="643">
        <v>117693084</v>
      </c>
      <c r="C25" s="644">
        <v>81.586536423888163</v>
      </c>
      <c r="D25" s="643">
        <v>121081225</v>
      </c>
      <c r="E25" s="644">
        <f>+D25/'- 3 -'!F25*100</f>
        <v>81.44369844603996</v>
      </c>
      <c r="F25" s="643">
        <v>8540.862409288824</v>
      </c>
      <c r="G25" s="643">
        <f>+D25/'- 7 -'!E25</f>
        <v>8834.3055494754044</v>
      </c>
      <c r="I25" s="625" t="str">
        <f t="shared" si="1"/>
        <v/>
      </c>
      <c r="J25" s="677">
        <f>+'- 15 -'!B25</f>
        <v>81650954</v>
      </c>
      <c r="K25" s="676">
        <f>+'- 15 -'!E25</f>
        <v>31887896</v>
      </c>
      <c r="L25" s="676">
        <f>+'- 16 -'!G25</f>
        <v>7542375</v>
      </c>
      <c r="M25" s="677">
        <f t="shared" si="0"/>
        <v>121081225</v>
      </c>
    </row>
    <row r="26" spans="1:13" ht="14.1" customHeight="1">
      <c r="A26" s="626" t="s">
        <v>250</v>
      </c>
      <c r="B26" s="627">
        <v>26881216</v>
      </c>
      <c r="C26" s="628">
        <v>74.965615123472517</v>
      </c>
      <c r="D26" s="627">
        <v>27855633</v>
      </c>
      <c r="E26" s="628">
        <f>+D26/'- 3 -'!F26*100</f>
        <v>74.955923528020747</v>
      </c>
      <c r="F26" s="627">
        <v>8647.6487051632612</v>
      </c>
      <c r="G26" s="627">
        <f>+D26/'- 7 -'!E26</f>
        <v>8964.000965406276</v>
      </c>
      <c r="I26" s="625" t="str">
        <f t="shared" si="1"/>
        <v/>
      </c>
      <c r="J26" s="677">
        <f>+'- 15 -'!B26</f>
        <v>21200020</v>
      </c>
      <c r="K26" s="676">
        <f>+'- 15 -'!E26</f>
        <v>5301996</v>
      </c>
      <c r="L26" s="676">
        <f>+'- 16 -'!G26</f>
        <v>1353617</v>
      </c>
      <c r="M26" s="677">
        <f t="shared" si="0"/>
        <v>27855633</v>
      </c>
    </row>
    <row r="27" spans="1:13" ht="14.1" customHeight="1">
      <c r="A27" s="642" t="s">
        <v>251</v>
      </c>
      <c r="B27" s="643">
        <v>31066511</v>
      </c>
      <c r="C27" s="644">
        <v>78.021697540978181</v>
      </c>
      <c r="D27" s="643">
        <v>29249757</v>
      </c>
      <c r="E27" s="644">
        <f>+D27/'- 3 -'!F27*100</f>
        <v>80.28574221244476</v>
      </c>
      <c r="F27" s="643">
        <v>11113.837870711552</v>
      </c>
      <c r="G27" s="643">
        <f>+D27/'- 7 -'!E27</f>
        <v>10678.835285355453</v>
      </c>
      <c r="I27" s="625" t="str">
        <f t="shared" si="1"/>
        <v/>
      </c>
      <c r="J27" s="677">
        <f>+'- 15 -'!B27</f>
        <v>20416565</v>
      </c>
      <c r="K27" s="676">
        <f>+'- 15 -'!E27</f>
        <v>6751250</v>
      </c>
      <c r="L27" s="676">
        <f>+'- 16 -'!G27</f>
        <v>2081942</v>
      </c>
      <c r="M27" s="677">
        <f t="shared" si="0"/>
        <v>29249757</v>
      </c>
    </row>
    <row r="28" spans="1:13" ht="14.1" customHeight="1">
      <c r="A28" s="626" t="s">
        <v>252</v>
      </c>
      <c r="B28" s="627">
        <v>18176265</v>
      </c>
      <c r="C28" s="628">
        <v>73.986849615372492</v>
      </c>
      <c r="D28" s="627">
        <v>18618866</v>
      </c>
      <c r="E28" s="628">
        <f>+D28/'- 3 -'!F28*100</f>
        <v>73.834216780628907</v>
      </c>
      <c r="F28" s="627">
        <v>9074.520718921618</v>
      </c>
      <c r="G28" s="627">
        <f>+D28/'- 7 -'!E28</f>
        <v>9382.1446208112866</v>
      </c>
      <c r="I28" s="625" t="str">
        <f t="shared" si="1"/>
        <v/>
      </c>
      <c r="J28" s="677">
        <f>+'- 15 -'!B28</f>
        <v>14641405</v>
      </c>
      <c r="K28" s="676">
        <f>+'- 15 -'!E28</f>
        <v>3324480</v>
      </c>
      <c r="L28" s="676">
        <f>+'- 16 -'!G28</f>
        <v>652981</v>
      </c>
      <c r="M28" s="677">
        <f t="shared" si="0"/>
        <v>18618866</v>
      </c>
    </row>
    <row r="29" spans="1:13" ht="14.1" customHeight="1">
      <c r="A29" s="642" t="s">
        <v>253</v>
      </c>
      <c r="B29" s="643">
        <v>109524881</v>
      </c>
      <c r="C29" s="644">
        <v>81.668187947259639</v>
      </c>
      <c r="D29" s="643">
        <v>111726215</v>
      </c>
      <c r="E29" s="644">
        <f>+D29/'- 3 -'!F29*100</f>
        <v>81.521133440877065</v>
      </c>
      <c r="F29" s="643">
        <v>8988.9433209677954</v>
      </c>
      <c r="G29" s="643">
        <f>+D29/'- 7 -'!E29</f>
        <v>9178.6512930892823</v>
      </c>
      <c r="I29" s="625" t="str">
        <f t="shared" si="1"/>
        <v/>
      </c>
      <c r="J29" s="677">
        <f>+'- 15 -'!B29</f>
        <v>77058084</v>
      </c>
      <c r="K29" s="676">
        <f>+'- 15 -'!E29</f>
        <v>28627905</v>
      </c>
      <c r="L29" s="676">
        <f>+'- 16 -'!G29</f>
        <v>6040226</v>
      </c>
      <c r="M29" s="677">
        <f t="shared" si="0"/>
        <v>111726215</v>
      </c>
    </row>
    <row r="30" spans="1:13" ht="14.1" customHeight="1">
      <c r="A30" s="626" t="s">
        <v>254</v>
      </c>
      <c r="B30" s="627">
        <v>9484843</v>
      </c>
      <c r="C30" s="628">
        <v>73.690942452442528</v>
      </c>
      <c r="D30" s="627">
        <v>9885014</v>
      </c>
      <c r="E30" s="628">
        <f>+D30/'- 3 -'!F30*100</f>
        <v>74.301067348165958</v>
      </c>
      <c r="F30" s="627">
        <v>8638.2905282331503</v>
      </c>
      <c r="G30" s="627">
        <f>+D30/'- 7 -'!E30</f>
        <v>9171.4733716830578</v>
      </c>
      <c r="I30" s="625" t="str">
        <f t="shared" si="1"/>
        <v/>
      </c>
      <c r="J30" s="677">
        <f>+'- 15 -'!B30</f>
        <v>7933939</v>
      </c>
      <c r="K30" s="676">
        <f>+'- 15 -'!E30</f>
        <v>1507279</v>
      </c>
      <c r="L30" s="676">
        <f>+'- 16 -'!G30</f>
        <v>443796</v>
      </c>
      <c r="M30" s="677">
        <f t="shared" si="0"/>
        <v>9885014</v>
      </c>
    </row>
    <row r="31" spans="1:13" ht="14.1" customHeight="1">
      <c r="A31" s="642" t="s">
        <v>255</v>
      </c>
      <c r="B31" s="643">
        <v>25786329</v>
      </c>
      <c r="C31" s="644">
        <v>80.565580908356736</v>
      </c>
      <c r="D31" s="643">
        <v>26140492</v>
      </c>
      <c r="E31" s="644">
        <f>+D31/'- 3 -'!F31*100</f>
        <v>80.200213272100058</v>
      </c>
      <c r="F31" s="643">
        <v>8062.0068782241678</v>
      </c>
      <c r="G31" s="643">
        <f>+D31/'- 7 -'!E31</f>
        <v>8217.6963219113495</v>
      </c>
      <c r="I31" s="625" t="str">
        <f t="shared" si="1"/>
        <v/>
      </c>
      <c r="J31" s="677">
        <f>+'- 15 -'!B31</f>
        <v>18781574</v>
      </c>
      <c r="K31" s="676">
        <f>+'- 15 -'!E31</f>
        <v>6221649</v>
      </c>
      <c r="L31" s="676">
        <f>+'- 16 -'!G31</f>
        <v>1137269</v>
      </c>
      <c r="M31" s="677">
        <f t="shared" si="0"/>
        <v>26140492</v>
      </c>
    </row>
    <row r="32" spans="1:13" ht="14.1" customHeight="1">
      <c r="A32" s="626" t="s">
        <v>256</v>
      </c>
      <c r="B32" s="627">
        <v>17666691</v>
      </c>
      <c r="C32" s="628">
        <v>75.507611327698925</v>
      </c>
      <c r="D32" s="627">
        <v>18420414</v>
      </c>
      <c r="E32" s="628">
        <f>+D32/'- 3 -'!F32*100</f>
        <v>75.507809348788072</v>
      </c>
      <c r="F32" s="627">
        <v>8565.6683636363632</v>
      </c>
      <c r="G32" s="627">
        <f>+D32/'- 7 -'!E32</f>
        <v>8931.1098181818179</v>
      </c>
      <c r="I32" s="625" t="str">
        <f t="shared" si="1"/>
        <v/>
      </c>
      <c r="J32" s="677">
        <f>+'- 15 -'!B32</f>
        <v>14290048</v>
      </c>
      <c r="K32" s="676">
        <f>+'- 15 -'!E32</f>
        <v>3450162</v>
      </c>
      <c r="L32" s="676">
        <f>+'- 16 -'!G32</f>
        <v>680204</v>
      </c>
      <c r="M32" s="677">
        <f t="shared" si="0"/>
        <v>18420414</v>
      </c>
    </row>
    <row r="33" spans="1:13" ht="14.1" customHeight="1">
      <c r="A33" s="642" t="s">
        <v>257</v>
      </c>
      <c r="B33" s="643">
        <v>17645057</v>
      </c>
      <c r="C33" s="644">
        <v>72.136029019480546</v>
      </c>
      <c r="D33" s="643">
        <v>18261571</v>
      </c>
      <c r="E33" s="644">
        <f>+D33/'- 3 -'!F33*100</f>
        <v>72.428971872728738</v>
      </c>
      <c r="F33" s="643">
        <v>8660.1506748466254</v>
      </c>
      <c r="G33" s="643">
        <f>+D33/'- 7 -'!E33</f>
        <v>9022.515316205534</v>
      </c>
      <c r="I33" s="625" t="str">
        <f t="shared" si="1"/>
        <v/>
      </c>
      <c r="J33" s="677">
        <f>+'- 15 -'!B33</f>
        <v>14103501</v>
      </c>
      <c r="K33" s="676">
        <f>+'- 15 -'!E33</f>
        <v>3464790</v>
      </c>
      <c r="L33" s="676">
        <f>+'- 16 -'!G33</f>
        <v>693280</v>
      </c>
      <c r="M33" s="677">
        <f t="shared" si="0"/>
        <v>18261571</v>
      </c>
    </row>
    <row r="34" spans="1:13" ht="14.1" customHeight="1">
      <c r="A34" s="626" t="s">
        <v>258</v>
      </c>
      <c r="B34" s="627">
        <v>16670374</v>
      </c>
      <c r="C34" s="628">
        <v>73.761747467300992</v>
      </c>
      <c r="D34" s="627">
        <v>17802217</v>
      </c>
      <c r="E34" s="628">
        <f>+D34/'- 3 -'!F34*100</f>
        <v>73.595079533144499</v>
      </c>
      <c r="F34" s="627">
        <v>8363.2037325038891</v>
      </c>
      <c r="G34" s="627">
        <f>+D34/'- 7 -'!E34</f>
        <v>8731.4134790349563</v>
      </c>
      <c r="I34" s="625" t="str">
        <f t="shared" si="1"/>
        <v/>
      </c>
      <c r="J34" s="677">
        <f>+'- 15 -'!B34</f>
        <v>13886877</v>
      </c>
      <c r="K34" s="676">
        <f>+'- 15 -'!E34</f>
        <v>3397554</v>
      </c>
      <c r="L34" s="676">
        <f>+'- 16 -'!G34</f>
        <v>517786</v>
      </c>
      <c r="M34" s="677">
        <f t="shared" si="0"/>
        <v>17802217</v>
      </c>
    </row>
    <row r="35" spans="1:13" ht="14.1" customHeight="1">
      <c r="A35" s="642" t="s">
        <v>259</v>
      </c>
      <c r="B35" s="643">
        <v>129404298</v>
      </c>
      <c r="C35" s="644">
        <v>81.594974410862548</v>
      </c>
      <c r="D35" s="643">
        <v>132938655</v>
      </c>
      <c r="E35" s="644">
        <f>+D35/'- 3 -'!F35*100</f>
        <v>81.200029966253766</v>
      </c>
      <c r="F35" s="643">
        <v>8208.0681234340809</v>
      </c>
      <c r="G35" s="643">
        <f>+D35/'- 7 -'!E35</f>
        <v>8422.3679042067924</v>
      </c>
      <c r="I35" s="625" t="str">
        <f t="shared" si="1"/>
        <v/>
      </c>
      <c r="J35" s="677">
        <f>+'- 15 -'!B35</f>
        <v>94507854</v>
      </c>
      <c r="K35" s="676">
        <f>+'- 15 -'!E35</f>
        <v>31556239</v>
      </c>
      <c r="L35" s="676">
        <f>+'- 16 -'!G35</f>
        <v>6874562</v>
      </c>
      <c r="M35" s="677">
        <f t="shared" si="0"/>
        <v>132938655</v>
      </c>
    </row>
    <row r="36" spans="1:13" ht="14.1" customHeight="1">
      <c r="A36" s="626" t="s">
        <v>260</v>
      </c>
      <c r="B36" s="627">
        <v>15242547</v>
      </c>
      <c r="C36" s="628">
        <v>75.514325656302546</v>
      </c>
      <c r="D36" s="627">
        <v>15299200</v>
      </c>
      <c r="E36" s="628">
        <f>+D36/'- 3 -'!F36*100</f>
        <v>74.949066262162219</v>
      </c>
      <c r="F36" s="627">
        <v>9132.7423606950269</v>
      </c>
      <c r="G36" s="627">
        <f>+D36/'- 7 -'!E36</f>
        <v>9275.0530463776904</v>
      </c>
      <c r="I36" s="625" t="str">
        <f t="shared" si="1"/>
        <v/>
      </c>
      <c r="J36" s="677">
        <f>+'- 15 -'!B36</f>
        <v>11801346</v>
      </c>
      <c r="K36" s="676">
        <f>+'- 15 -'!E36</f>
        <v>2793459</v>
      </c>
      <c r="L36" s="676">
        <f>+'- 16 -'!G36</f>
        <v>704395</v>
      </c>
      <c r="M36" s="677">
        <f t="shared" si="0"/>
        <v>15299200</v>
      </c>
    </row>
    <row r="37" spans="1:13" ht="14.1" customHeight="1">
      <c r="A37" s="642" t="s">
        <v>261</v>
      </c>
      <c r="B37" s="643">
        <v>29233935</v>
      </c>
      <c r="C37" s="644">
        <v>78.668713266918388</v>
      </c>
      <c r="D37" s="643">
        <v>30519629</v>
      </c>
      <c r="E37" s="644">
        <f>+D37/'- 3 -'!F37*100</f>
        <v>77.914741804077522</v>
      </c>
      <c r="F37" s="643">
        <v>7949.4044867437115</v>
      </c>
      <c r="G37" s="643">
        <f>+D37/'- 7 -'!E37</f>
        <v>8185.4979214161194</v>
      </c>
      <c r="I37" s="625" t="str">
        <f t="shared" si="1"/>
        <v/>
      </c>
      <c r="J37" s="677">
        <f>+'- 15 -'!B37</f>
        <v>22013976</v>
      </c>
      <c r="K37" s="676">
        <f>+'- 15 -'!E37</f>
        <v>7313591</v>
      </c>
      <c r="L37" s="676">
        <f>+'- 16 -'!G37</f>
        <v>1192062</v>
      </c>
      <c r="M37" s="677">
        <f t="shared" si="0"/>
        <v>30519629</v>
      </c>
    </row>
    <row r="38" spans="1:13" ht="14.1" customHeight="1">
      <c r="A38" s="626" t="s">
        <v>262</v>
      </c>
      <c r="B38" s="627">
        <v>82907627</v>
      </c>
      <c r="C38" s="628">
        <v>81.951202380426849</v>
      </c>
      <c r="D38" s="627">
        <v>88626658</v>
      </c>
      <c r="E38" s="628">
        <f>+D38/'- 3 -'!F38*100</f>
        <v>82.001776312610147</v>
      </c>
      <c r="F38" s="627">
        <v>8162.127569504607</v>
      </c>
      <c r="G38" s="627">
        <f>+D38/'- 7 -'!E38</f>
        <v>8561.6385872715327</v>
      </c>
      <c r="I38" s="625" t="str">
        <f t="shared" si="1"/>
        <v/>
      </c>
      <c r="J38" s="677">
        <f>+'- 15 -'!B38</f>
        <v>64197522</v>
      </c>
      <c r="K38" s="676">
        <f>+'- 15 -'!E38</f>
        <v>20543124</v>
      </c>
      <c r="L38" s="676">
        <f>+'- 16 -'!G38</f>
        <v>3886012</v>
      </c>
      <c r="M38" s="677">
        <f t="shared" si="0"/>
        <v>88626658</v>
      </c>
    </row>
    <row r="39" spans="1:13" ht="14.1" customHeight="1">
      <c r="A39" s="642" t="s">
        <v>263</v>
      </c>
      <c r="B39" s="643">
        <v>13880865</v>
      </c>
      <c r="C39" s="644">
        <v>73.292642611175978</v>
      </c>
      <c r="D39" s="643">
        <v>14213646</v>
      </c>
      <c r="E39" s="644">
        <f>+D39/'- 3 -'!F39*100</f>
        <v>73.018218021369691</v>
      </c>
      <c r="F39" s="643">
        <v>8735.0481404568636</v>
      </c>
      <c r="G39" s="643">
        <f>+D39/'- 7 -'!E39</f>
        <v>8961.9457755359399</v>
      </c>
      <c r="I39" s="625" t="str">
        <f t="shared" si="1"/>
        <v/>
      </c>
      <c r="J39" s="677">
        <f>+'- 15 -'!B39</f>
        <v>10672314</v>
      </c>
      <c r="K39" s="676">
        <f>+'- 15 -'!E39</f>
        <v>2675148</v>
      </c>
      <c r="L39" s="676">
        <f>+'- 16 -'!G39</f>
        <v>866184</v>
      </c>
      <c r="M39" s="677">
        <f t="shared" si="0"/>
        <v>14213646</v>
      </c>
    </row>
    <row r="40" spans="1:13" ht="14.1" customHeight="1">
      <c r="A40" s="626" t="s">
        <v>264</v>
      </c>
      <c r="B40" s="627">
        <v>74021605</v>
      </c>
      <c r="C40" s="628">
        <v>82.34226264378519</v>
      </c>
      <c r="D40" s="627">
        <v>75352231</v>
      </c>
      <c r="E40" s="628">
        <f>+D40/'- 3 -'!F40*100</f>
        <v>82.02280715143246</v>
      </c>
      <c r="F40" s="627">
        <v>9028.1259909745095</v>
      </c>
      <c r="G40" s="627">
        <f>+D40/'- 7 -'!E40</f>
        <v>9377.1831949923471</v>
      </c>
      <c r="I40" s="625" t="str">
        <f t="shared" si="1"/>
        <v/>
      </c>
      <c r="J40" s="677">
        <f>+'- 15 -'!B40</f>
        <v>52784511</v>
      </c>
      <c r="K40" s="676">
        <f>+'- 15 -'!E40</f>
        <v>19187562</v>
      </c>
      <c r="L40" s="676">
        <f>+'- 16 -'!G40</f>
        <v>3380158</v>
      </c>
      <c r="M40" s="677">
        <f t="shared" si="0"/>
        <v>75352231</v>
      </c>
    </row>
    <row r="41" spans="1:13" ht="14.1" customHeight="1">
      <c r="A41" s="642" t="s">
        <v>265</v>
      </c>
      <c r="B41" s="643">
        <v>41390517</v>
      </c>
      <c r="C41" s="644">
        <v>76.680178067712546</v>
      </c>
      <c r="D41" s="643">
        <v>42809656</v>
      </c>
      <c r="E41" s="644">
        <f>+D41/'- 3 -'!F41*100</f>
        <v>75.568261654057608</v>
      </c>
      <c r="F41" s="643">
        <v>9101.8179219351296</v>
      </c>
      <c r="G41" s="643">
        <f>+D41/'- 7 -'!E41</f>
        <v>9568.5417970496201</v>
      </c>
      <c r="I41" s="625" t="str">
        <f t="shared" si="1"/>
        <v/>
      </c>
      <c r="J41" s="677">
        <f>+'- 15 -'!B41</f>
        <v>30513524</v>
      </c>
      <c r="K41" s="676">
        <f>+'- 15 -'!E41</f>
        <v>10817986</v>
      </c>
      <c r="L41" s="676">
        <f>+'- 16 -'!G41</f>
        <v>1478146</v>
      </c>
      <c r="M41" s="677">
        <f t="shared" si="0"/>
        <v>42809656</v>
      </c>
    </row>
    <row r="42" spans="1:13" ht="14.1" customHeight="1">
      <c r="A42" s="626" t="s">
        <v>266</v>
      </c>
      <c r="B42" s="627">
        <v>14640635</v>
      </c>
      <c r="C42" s="628">
        <v>76.581462848590732</v>
      </c>
      <c r="D42" s="627">
        <v>14832415</v>
      </c>
      <c r="E42" s="628">
        <f>+D42/'- 3 -'!F42*100</f>
        <v>75.993230684543974</v>
      </c>
      <c r="F42" s="627">
        <v>10001.80010930455</v>
      </c>
      <c r="G42" s="627">
        <f>+D42/'- 7 -'!E42</f>
        <v>10381.756141947224</v>
      </c>
      <c r="I42" s="625" t="str">
        <f t="shared" si="1"/>
        <v/>
      </c>
      <c r="J42" s="677">
        <f>+'- 15 -'!B42</f>
        <v>11096574</v>
      </c>
      <c r="K42" s="676">
        <f>+'- 15 -'!E42</f>
        <v>3275280</v>
      </c>
      <c r="L42" s="676">
        <f>+'- 16 -'!G42</f>
        <v>460561</v>
      </c>
      <c r="M42" s="677">
        <f t="shared" si="0"/>
        <v>14832415</v>
      </c>
    </row>
    <row r="43" spans="1:13" ht="14.1" customHeight="1">
      <c r="A43" s="642" t="s">
        <v>267</v>
      </c>
      <c r="B43" s="643">
        <v>8423643</v>
      </c>
      <c r="C43" s="644">
        <v>76.196364834321514</v>
      </c>
      <c r="D43" s="643">
        <v>8740617</v>
      </c>
      <c r="E43" s="644">
        <f>+D43/'- 3 -'!F43*100</f>
        <v>76.736335531489786</v>
      </c>
      <c r="F43" s="643">
        <v>8659.1724917763149</v>
      </c>
      <c r="G43" s="643">
        <f>+D43/'- 7 -'!E43</f>
        <v>8960.1404407995906</v>
      </c>
      <c r="I43" s="625" t="str">
        <f t="shared" si="1"/>
        <v/>
      </c>
      <c r="J43" s="677">
        <f>+'- 15 -'!B43</f>
        <v>6434370</v>
      </c>
      <c r="K43" s="676">
        <f>+'- 15 -'!E43</f>
        <v>1954038</v>
      </c>
      <c r="L43" s="676">
        <f>+'- 16 -'!G43</f>
        <v>352209</v>
      </c>
      <c r="M43" s="677">
        <f t="shared" si="0"/>
        <v>8740617</v>
      </c>
    </row>
    <row r="44" spans="1:13" ht="14.1" customHeight="1">
      <c r="A44" s="626" t="s">
        <v>268</v>
      </c>
      <c r="B44" s="627">
        <v>7051839</v>
      </c>
      <c r="C44" s="628">
        <v>72.937832730865352</v>
      </c>
      <c r="D44" s="627">
        <v>7194402</v>
      </c>
      <c r="E44" s="628">
        <f>+D44/'- 3 -'!F44*100</f>
        <v>73.838903476577329</v>
      </c>
      <c r="F44" s="627">
        <v>9855.8197064989527</v>
      </c>
      <c r="G44" s="627">
        <f>+D44/'- 7 -'!E44</f>
        <v>10055.069182389938</v>
      </c>
      <c r="I44" s="625" t="str">
        <f t="shared" si="1"/>
        <v/>
      </c>
      <c r="J44" s="677">
        <f>+'- 15 -'!B44</f>
        <v>5499075</v>
      </c>
      <c r="K44" s="676">
        <f>+'- 15 -'!E44</f>
        <v>1463485</v>
      </c>
      <c r="L44" s="676">
        <f>+'- 16 -'!G44</f>
        <v>231842</v>
      </c>
      <c r="M44" s="677">
        <f t="shared" si="0"/>
        <v>7194402</v>
      </c>
    </row>
    <row r="45" spans="1:13" ht="14.1" customHeight="1">
      <c r="A45" s="642" t="s">
        <v>269</v>
      </c>
      <c r="B45" s="643">
        <v>12143165</v>
      </c>
      <c r="C45" s="644">
        <v>80.349912729918515</v>
      </c>
      <c r="D45" s="643">
        <v>12702784</v>
      </c>
      <c r="E45" s="644">
        <f>+D45/'- 3 -'!F45*100</f>
        <v>80.040790433100938</v>
      </c>
      <c r="F45" s="643">
        <v>7328.4037417018708</v>
      </c>
      <c r="G45" s="643">
        <f>+D45/'- 7 -'!E45</f>
        <v>7889.927950310559</v>
      </c>
      <c r="I45" s="625" t="str">
        <f t="shared" si="1"/>
        <v/>
      </c>
      <c r="J45" s="677">
        <f>+'- 15 -'!B45</f>
        <v>9737817</v>
      </c>
      <c r="K45" s="676">
        <f>+'- 15 -'!E45</f>
        <v>2491638</v>
      </c>
      <c r="L45" s="676">
        <f>+'- 16 -'!G45</f>
        <v>473329</v>
      </c>
      <c r="M45" s="677">
        <f t="shared" si="0"/>
        <v>12702784</v>
      </c>
    </row>
    <row r="46" spans="1:13" ht="14.1" customHeight="1">
      <c r="A46" s="626" t="s">
        <v>270</v>
      </c>
      <c r="B46" s="627">
        <v>265843965</v>
      </c>
      <c r="C46" s="628">
        <v>81.176723271105175</v>
      </c>
      <c r="D46" s="627">
        <v>275381174</v>
      </c>
      <c r="E46" s="628">
        <f>+D46/'- 3 -'!F46*100</f>
        <v>81.367617707782642</v>
      </c>
      <c r="F46" s="627">
        <v>8789.1890685595445</v>
      </c>
      <c r="G46" s="627">
        <f>+D46/'- 7 -'!E46</f>
        <v>9140.6769343114156</v>
      </c>
      <c r="I46" s="625" t="str">
        <f t="shared" si="1"/>
        <v/>
      </c>
      <c r="J46" s="677">
        <f>+'- 15 -'!B46</f>
        <v>183313983</v>
      </c>
      <c r="K46" s="676">
        <f>+'- 15 -'!E46</f>
        <v>82137546</v>
      </c>
      <c r="L46" s="676">
        <f>+'- 16 -'!G46</f>
        <v>9929645</v>
      </c>
      <c r="M46" s="677">
        <f t="shared" si="0"/>
        <v>275381174</v>
      </c>
    </row>
    <row r="47" spans="1:13" ht="5.0999999999999996" customHeight="1">
      <c r="B47" s="625"/>
      <c r="C47" s="625"/>
      <c r="D47" s="625"/>
      <c r="E47" s="625"/>
      <c r="F47" s="625"/>
      <c r="G47" s="625"/>
      <c r="I47" s="625" t="str">
        <f t="shared" si="1"/>
        <v/>
      </c>
      <c r="J47" s="677">
        <f>+'- 15 -'!B47</f>
        <v>0</v>
      </c>
      <c r="K47" s="676">
        <f>+'- 15 -'!E47</f>
        <v>0</v>
      </c>
      <c r="L47" s="676">
        <f>+'- 16 -'!G47</f>
        <v>0</v>
      </c>
      <c r="M47" s="677">
        <f t="shared" si="0"/>
        <v>0</v>
      </c>
    </row>
    <row r="48" spans="1:13" ht="14.1" customHeight="1">
      <c r="A48" s="645" t="s">
        <v>271</v>
      </c>
      <c r="B48" s="646">
        <v>1499013239</v>
      </c>
      <c r="C48" s="647">
        <v>78.901230961814321</v>
      </c>
      <c r="D48" s="646">
        <f>SUM(D11:D46)</f>
        <v>1552379642</v>
      </c>
      <c r="E48" s="647">
        <f>+D48/'- 3 -'!F48*100</f>
        <v>78.796128175080966</v>
      </c>
      <c r="F48" s="646">
        <v>8702.5179314407887</v>
      </c>
      <c r="G48" s="646">
        <f>+D48/'- 7 -'!E48</f>
        <v>9011.7786788992762</v>
      </c>
      <c r="I48" s="625" t="str">
        <f t="shared" si="1"/>
        <v/>
      </c>
      <c r="J48" s="677">
        <f>+'- 15 -'!B48</f>
        <v>1104797126</v>
      </c>
      <c r="K48" s="676">
        <f>+'- 15 -'!E48</f>
        <v>375997040</v>
      </c>
      <c r="L48" s="676">
        <f>+'- 16 -'!G48</f>
        <v>71585476</v>
      </c>
      <c r="M48" s="677">
        <f t="shared" si="0"/>
        <v>1552379642</v>
      </c>
    </row>
    <row r="49" spans="1:7" ht="5.0999999999999996" customHeight="1">
      <c r="B49" s="625"/>
      <c r="C49" s="625"/>
      <c r="D49" s="625"/>
      <c r="E49" s="625"/>
      <c r="F49" s="625"/>
      <c r="G49" s="625"/>
    </row>
    <row r="50" spans="1:7" ht="49.5" customHeight="1">
      <c r="A50" s="629"/>
      <c r="B50" s="630"/>
      <c r="C50" s="630"/>
      <c r="D50" s="630"/>
      <c r="E50" s="630"/>
      <c r="F50" s="630"/>
      <c r="G50" s="630"/>
    </row>
    <row r="51" spans="1:7">
      <c r="A51" s="631" t="s">
        <v>597</v>
      </c>
      <c r="B51" s="625"/>
      <c r="C51" s="625"/>
      <c r="D51" s="625"/>
      <c r="E51" s="625"/>
      <c r="F51" s="625"/>
      <c r="G51" s="625"/>
    </row>
    <row r="52" spans="1:7">
      <c r="A52" s="631" t="s">
        <v>598</v>
      </c>
      <c r="B52" s="625"/>
      <c r="C52" s="625"/>
      <c r="D52" s="625"/>
      <c r="E52" s="625"/>
      <c r="F52" s="625"/>
      <c r="G52" s="625"/>
    </row>
    <row r="53" spans="1:7" ht="10.5" customHeight="1">
      <c r="A53" s="631" t="s">
        <v>709</v>
      </c>
      <c r="B53" s="631"/>
      <c r="C53" s="631"/>
    </row>
    <row r="54" spans="1:7" ht="12" customHeight="1">
      <c r="B54" s="631"/>
      <c r="C54" s="631"/>
    </row>
    <row r="55" spans="1:7" ht="12" customHeight="1">
      <c r="A55" s="632"/>
      <c r="B55" s="631"/>
      <c r="C55" s="631"/>
    </row>
    <row r="56" spans="1:7" ht="12" customHeight="1">
      <c r="A56" s="632"/>
      <c r="B56" s="631"/>
      <c r="C56" s="631"/>
    </row>
    <row r="57" spans="1:7" ht="14.45" customHeight="1">
      <c r="A57" s="631"/>
    </row>
  </sheetData>
  <phoneticPr fontId="20" type="noConversion"/>
  <pageMargins left="0.51181102362204722" right="0.51181102362204722" top="0.59055118110236227" bottom="0.19685039370078741" header="0.31496062992125984" footer="0.51181102362204722"/>
  <pageSetup scale="95" orientation="portrait" r:id="rId1"/>
  <headerFooter alignWithMargins="0">
    <oddHeader>&amp;C&amp;"Arial,Regular"&amp;10&amp;A</oddHeader>
  </headerFooter>
</worksheet>
</file>

<file path=xl/worksheets/sheet61.xml><?xml version="1.0" encoding="utf-8"?>
<worksheet xmlns="http://schemas.openxmlformats.org/spreadsheetml/2006/main" xmlns:r="http://schemas.openxmlformats.org/officeDocument/2006/relationships">
  <sheetPr codeName="Sheet61">
    <pageSetUpPr fitToPage="1"/>
  </sheetPr>
  <dimension ref="A1:I58"/>
  <sheetViews>
    <sheetView showGridLines="0" showZeros="0" workbookViewId="0"/>
  </sheetViews>
  <sheetFormatPr defaultColWidth="12.83203125" defaultRowHeight="12"/>
  <cols>
    <col min="1" max="1" width="30.83203125" style="1" customWidth="1"/>
    <col min="2" max="8" width="12.83203125" style="1" customWidth="1"/>
    <col min="9" max="16384" width="12.83203125" style="1"/>
  </cols>
  <sheetData>
    <row r="1" spans="1:9" ht="6.95" customHeight="1">
      <c r="A1" s="6"/>
      <c r="B1" s="7"/>
      <c r="C1" s="7"/>
    </row>
    <row r="2" spans="1:9" ht="15.95" customHeight="1">
      <c r="A2" s="278" t="s">
        <v>364</v>
      </c>
      <c r="B2" s="279"/>
      <c r="C2" s="279"/>
      <c r="D2" s="279"/>
      <c r="E2" s="279"/>
      <c r="F2" s="160"/>
      <c r="G2" s="160"/>
      <c r="H2" s="160"/>
      <c r="I2" s="160"/>
    </row>
    <row r="3" spans="1:9" ht="15.95" customHeight="1">
      <c r="A3" s="280" t="str">
        <f>B9&amp;" AND "&amp;C9&amp;" ACTUAL"</f>
        <v>2011/12 AND 2012/13 ACTUAL</v>
      </c>
      <c r="B3" s="281"/>
      <c r="C3" s="282"/>
      <c r="D3" s="282"/>
      <c r="E3" s="282"/>
      <c r="F3" s="283"/>
      <c r="G3" s="283"/>
      <c r="H3" s="283"/>
      <c r="I3" s="283"/>
    </row>
    <row r="4" spans="1:9" ht="15.95" customHeight="1">
      <c r="B4" s="38"/>
      <c r="C4" s="7"/>
    </row>
    <row r="5" spans="1:9" ht="15.95" customHeight="1">
      <c r="B5" s="259"/>
      <c r="C5" s="7"/>
    </row>
    <row r="6" spans="1:9" ht="15.95" customHeight="1">
      <c r="B6" s="451" t="s">
        <v>122</v>
      </c>
      <c r="C6" s="452"/>
      <c r="D6" s="453"/>
      <c r="E6" s="454"/>
      <c r="F6" s="451" t="s">
        <v>127</v>
      </c>
      <c r="G6" s="452"/>
      <c r="H6" s="461"/>
      <c r="I6" s="462"/>
    </row>
    <row r="7" spans="1:9" ht="15.95" customHeight="1">
      <c r="B7" s="455" t="s">
        <v>87</v>
      </c>
      <c r="C7" s="456"/>
      <c r="D7" s="455" t="s">
        <v>12</v>
      </c>
      <c r="E7" s="456"/>
      <c r="F7" s="455" t="s">
        <v>363</v>
      </c>
      <c r="G7" s="456"/>
      <c r="H7" s="455" t="s">
        <v>161</v>
      </c>
      <c r="I7" s="456"/>
    </row>
    <row r="8" spans="1:9" ht="15.95" customHeight="1">
      <c r="A8" s="75"/>
      <c r="B8" s="457" t="s">
        <v>412</v>
      </c>
      <c r="C8" s="458"/>
      <c r="D8" s="457" t="s">
        <v>13</v>
      </c>
      <c r="E8" s="458"/>
      <c r="F8" s="457" t="s">
        <v>97</v>
      </c>
      <c r="G8" s="458"/>
      <c r="H8" s="457" t="s">
        <v>362</v>
      </c>
      <c r="I8" s="458"/>
    </row>
    <row r="9" spans="1:9" ht="15.95" customHeight="1">
      <c r="A9" s="42" t="s">
        <v>94</v>
      </c>
      <c r="B9" s="666" t="str">
        <f>PrevY</f>
        <v>2011/12</v>
      </c>
      <c r="C9" s="667" t="str">
        <f>+CurrY</f>
        <v>2012/13</v>
      </c>
      <c r="D9" s="666" t="str">
        <f>+B9</f>
        <v>2011/12</v>
      </c>
      <c r="E9" s="667" t="s">
        <v>733</v>
      </c>
      <c r="F9" s="667">
        <v>2011</v>
      </c>
      <c r="G9" s="667" t="s">
        <v>734</v>
      </c>
      <c r="H9" s="667">
        <f>+F9</f>
        <v>2011</v>
      </c>
      <c r="I9" s="667" t="s">
        <v>735</v>
      </c>
    </row>
    <row r="10" spans="1:9" ht="5.0999999999999996" customHeight="1">
      <c r="A10" s="5"/>
      <c r="C10" s="284"/>
    </row>
    <row r="11" spans="1:9" ht="14.1" customHeight="1">
      <c r="A11" s="410" t="s">
        <v>236</v>
      </c>
      <c r="B11" s="410">
        <v>10495</v>
      </c>
      <c r="C11" s="410">
        <f>'- 4 -'!E11</f>
        <v>10408</v>
      </c>
      <c r="D11" s="411">
        <v>13.396614607687271</v>
      </c>
      <c r="E11" s="411">
        <f>'- 9 -'!C11</f>
        <v>13.860426474660761</v>
      </c>
      <c r="F11" s="410">
        <v>281078</v>
      </c>
      <c r="G11" s="410">
        <f>'- 56 -'!F11</f>
        <v>340743</v>
      </c>
      <c r="H11" s="411">
        <v>16.260223607697586</v>
      </c>
      <c r="I11" s="411">
        <f>'- 54 -'!G11</f>
        <v>14.633477902941767</v>
      </c>
    </row>
    <row r="12" spans="1:9" ht="14.1" customHeight="1">
      <c r="A12" s="171" t="s">
        <v>237</v>
      </c>
      <c r="B12" s="171">
        <v>11969</v>
      </c>
      <c r="C12" s="171">
        <f>'- 4 -'!E12</f>
        <v>12656</v>
      </c>
      <c r="D12" s="271">
        <v>11.995590082814141</v>
      </c>
      <c r="E12" s="271">
        <f>'- 9 -'!C12</f>
        <v>11.790667697860274</v>
      </c>
      <c r="F12" s="171">
        <v>222424</v>
      </c>
      <c r="G12" s="171">
        <f>'- 56 -'!F12</f>
        <v>260717</v>
      </c>
      <c r="H12" s="271">
        <v>19.737489474605759</v>
      </c>
      <c r="I12" s="271">
        <f>'- 54 -'!G12</f>
        <v>17.849989827623453</v>
      </c>
    </row>
    <row r="13" spans="1:9" ht="14.1" customHeight="1">
      <c r="A13" s="410" t="s">
        <v>238</v>
      </c>
      <c r="B13" s="410">
        <v>9601</v>
      </c>
      <c r="C13" s="410">
        <f>'- 4 -'!E13</f>
        <v>10212</v>
      </c>
      <c r="D13" s="411">
        <v>13.038039753255655</v>
      </c>
      <c r="E13" s="411">
        <f>'- 9 -'!C13</f>
        <v>12.752664760171584</v>
      </c>
      <c r="F13" s="410">
        <v>267002</v>
      </c>
      <c r="G13" s="410">
        <f>'- 56 -'!F13</f>
        <v>297596</v>
      </c>
      <c r="H13" s="411">
        <v>16.273409900912203</v>
      </c>
      <c r="I13" s="411">
        <f>'- 54 -'!G13</f>
        <v>15.378816344401205</v>
      </c>
    </row>
    <row r="14" spans="1:9" ht="14.1" customHeight="1">
      <c r="A14" s="171" t="s">
        <v>656</v>
      </c>
      <c r="B14" s="171">
        <v>13207</v>
      </c>
      <c r="C14" s="171">
        <f>'- 4 -'!E14</f>
        <v>13532</v>
      </c>
      <c r="D14" s="271">
        <v>12.727459648401357</v>
      </c>
      <c r="E14" s="271">
        <f>'- 9 -'!C14</f>
        <v>12.698175291654202</v>
      </c>
      <c r="F14" s="171">
        <v>283590</v>
      </c>
      <c r="G14" s="171">
        <f>'- 56 -'!F14</f>
        <v>327836</v>
      </c>
      <c r="H14" s="271">
        <v>0</v>
      </c>
      <c r="I14" s="271">
        <f>'- 54 -'!G14</f>
        <v>0</v>
      </c>
    </row>
    <row r="15" spans="1:9" ht="14.1" customHeight="1">
      <c r="A15" s="410" t="s">
        <v>239</v>
      </c>
      <c r="B15" s="410">
        <v>11734</v>
      </c>
      <c r="C15" s="410">
        <f>'- 4 -'!E15</f>
        <v>11994</v>
      </c>
      <c r="D15" s="411">
        <v>13.602484472049689</v>
      </c>
      <c r="E15" s="411">
        <f>'- 9 -'!C15</f>
        <v>13.798033958891869</v>
      </c>
      <c r="F15" s="410">
        <v>450100</v>
      </c>
      <c r="G15" s="410">
        <f>'- 56 -'!F15</f>
        <v>507300</v>
      </c>
      <c r="H15" s="411">
        <v>11.079687843625338</v>
      </c>
      <c r="I15" s="411">
        <f>'- 54 -'!G15</f>
        <v>10.715970197555372</v>
      </c>
    </row>
    <row r="16" spans="1:9" ht="14.1" customHeight="1">
      <c r="A16" s="171" t="s">
        <v>240</v>
      </c>
      <c r="B16" s="171">
        <v>12627</v>
      </c>
      <c r="C16" s="171">
        <f>'- 4 -'!E16</f>
        <v>12769</v>
      </c>
      <c r="D16" s="271">
        <v>13.149501661129568</v>
      </c>
      <c r="E16" s="271">
        <f>'- 9 -'!C16</f>
        <v>12.999345121152588</v>
      </c>
      <c r="F16" s="171">
        <v>143513</v>
      </c>
      <c r="G16" s="171">
        <f>'- 56 -'!F16</f>
        <v>156527</v>
      </c>
      <c r="H16" s="271">
        <v>17.996747644464619</v>
      </c>
      <c r="I16" s="271">
        <f>'- 54 -'!G16</f>
        <v>17.81814584473975</v>
      </c>
    </row>
    <row r="17" spans="1:9" ht="14.1" customHeight="1">
      <c r="A17" s="410" t="s">
        <v>241</v>
      </c>
      <c r="B17" s="410">
        <v>11795</v>
      </c>
      <c r="C17" s="410">
        <f>'- 4 -'!E17</f>
        <v>12158</v>
      </c>
      <c r="D17" s="411">
        <v>13.104439159730479</v>
      </c>
      <c r="E17" s="411">
        <f>'- 9 -'!C17</f>
        <v>12.872331364978425</v>
      </c>
      <c r="F17" s="410">
        <v>405673</v>
      </c>
      <c r="G17" s="410">
        <f>'- 56 -'!F17</f>
        <v>466048</v>
      </c>
      <c r="H17" s="411">
        <v>13.351661643482291</v>
      </c>
      <c r="I17" s="411">
        <f>'- 54 -'!G17</f>
        <v>12.171161460132527</v>
      </c>
    </row>
    <row r="18" spans="1:9" ht="14.1" customHeight="1">
      <c r="A18" s="171" t="s">
        <v>242</v>
      </c>
      <c r="B18" s="171">
        <v>18093</v>
      </c>
      <c r="C18" s="171">
        <f>'- 4 -'!E18</f>
        <v>18779</v>
      </c>
      <c r="D18" s="271">
        <v>11.828469692628822</v>
      </c>
      <c r="E18" s="271">
        <f>'- 9 -'!C18</f>
        <v>11.324131966367878</v>
      </c>
      <c r="F18" s="171">
        <v>65258</v>
      </c>
      <c r="G18" s="171">
        <f>'- 56 -'!F18</f>
        <v>72484</v>
      </c>
      <c r="H18" s="271">
        <v>17.591001652337656</v>
      </c>
      <c r="I18" s="271">
        <f>'- 54 -'!G18</f>
        <v>16.50000118268143</v>
      </c>
    </row>
    <row r="19" spans="1:9" ht="14.1" customHeight="1">
      <c r="A19" s="410" t="s">
        <v>243</v>
      </c>
      <c r="B19" s="410">
        <v>8957</v>
      </c>
      <c r="C19" s="410">
        <f>'- 4 -'!E19</f>
        <v>9287</v>
      </c>
      <c r="D19" s="411">
        <v>15.118121736590352</v>
      </c>
      <c r="E19" s="411">
        <f>'- 9 -'!C19</f>
        <v>15.244350642261926</v>
      </c>
      <c r="F19" s="410">
        <v>171006</v>
      </c>
      <c r="G19" s="410">
        <f>'- 56 -'!F19</f>
        <v>188101</v>
      </c>
      <c r="H19" s="411">
        <v>21.020000803050859</v>
      </c>
      <c r="I19" s="411">
        <f>'- 54 -'!G19</f>
        <v>19.124400503801382</v>
      </c>
    </row>
    <row r="20" spans="1:9" ht="14.1" customHeight="1">
      <c r="A20" s="171" t="s">
        <v>244</v>
      </c>
      <c r="B20" s="171">
        <v>8594</v>
      </c>
      <c r="C20" s="171">
        <f>'- 4 -'!E20</f>
        <v>9137</v>
      </c>
      <c r="D20" s="271">
        <v>15.667203435319376</v>
      </c>
      <c r="E20" s="271">
        <f>'- 9 -'!C20</f>
        <v>15.336169329736459</v>
      </c>
      <c r="F20" s="171">
        <v>172748</v>
      </c>
      <c r="G20" s="171">
        <f>'- 56 -'!F20</f>
        <v>196027</v>
      </c>
      <c r="H20" s="271">
        <v>17.78746939748978</v>
      </c>
      <c r="I20" s="271">
        <f>'- 54 -'!G20</f>
        <v>16.402942930568337</v>
      </c>
    </row>
    <row r="21" spans="1:9" ht="14.1" customHeight="1">
      <c r="A21" s="410" t="s">
        <v>245</v>
      </c>
      <c r="B21" s="410">
        <v>10974</v>
      </c>
      <c r="C21" s="410">
        <f>'- 4 -'!E21</f>
        <v>11748</v>
      </c>
      <c r="D21" s="411">
        <v>13.026345933562427</v>
      </c>
      <c r="E21" s="411">
        <f>'- 9 -'!C21</f>
        <v>12.580380352989467</v>
      </c>
      <c r="F21" s="410">
        <v>267246</v>
      </c>
      <c r="G21" s="410">
        <f>'- 56 -'!F21</f>
        <v>307690</v>
      </c>
      <c r="H21" s="411">
        <v>15.40026891699341</v>
      </c>
      <c r="I21" s="411">
        <f>'- 54 -'!G21</f>
        <v>14.362763623388398</v>
      </c>
    </row>
    <row r="22" spans="1:9" ht="14.1" customHeight="1">
      <c r="A22" s="171" t="s">
        <v>246</v>
      </c>
      <c r="B22" s="171">
        <v>11201</v>
      </c>
      <c r="C22" s="171">
        <f>'- 4 -'!E22</f>
        <v>11233</v>
      </c>
      <c r="D22" s="271">
        <v>13.993741618238714</v>
      </c>
      <c r="E22" s="271">
        <f>'- 9 -'!C22</f>
        <v>13.572947681837515</v>
      </c>
      <c r="F22" s="171">
        <v>109227</v>
      </c>
      <c r="G22" s="171">
        <f>'- 56 -'!F22</f>
        <v>117664</v>
      </c>
      <c r="H22" s="271">
        <v>22.601921231333268</v>
      </c>
      <c r="I22" s="271">
        <f>'- 54 -'!G22</f>
        <v>21.62422031121281</v>
      </c>
    </row>
    <row r="23" spans="1:9" ht="14.1" customHeight="1">
      <c r="A23" s="410" t="s">
        <v>247</v>
      </c>
      <c r="B23" s="410">
        <v>12275</v>
      </c>
      <c r="C23" s="410">
        <f>'- 4 -'!E23</f>
        <v>13084</v>
      </c>
      <c r="D23" s="411">
        <v>11.712463199214916</v>
      </c>
      <c r="E23" s="411">
        <f>'- 9 -'!C23</f>
        <v>11.998987854251011</v>
      </c>
      <c r="F23" s="410">
        <v>186080</v>
      </c>
      <c r="G23" s="410">
        <f>'- 56 -'!F23</f>
        <v>186803</v>
      </c>
      <c r="H23" s="411">
        <v>19.07583416637717</v>
      </c>
      <c r="I23" s="411">
        <f>'- 54 -'!G23</f>
        <v>19.710203785160186</v>
      </c>
    </row>
    <row r="24" spans="1:9" ht="14.1" customHeight="1">
      <c r="A24" s="171" t="s">
        <v>248</v>
      </c>
      <c r="B24" s="171">
        <v>11133</v>
      </c>
      <c r="C24" s="171">
        <f>'- 4 -'!E24</f>
        <v>11838</v>
      </c>
      <c r="D24" s="271">
        <v>13.310082045293919</v>
      </c>
      <c r="E24" s="271">
        <f>'- 9 -'!C24</f>
        <v>12.795332569498884</v>
      </c>
      <c r="F24" s="171">
        <v>323683</v>
      </c>
      <c r="G24" s="171">
        <f>'- 56 -'!F24</f>
        <v>367776</v>
      </c>
      <c r="H24" s="271">
        <v>14.290681012303951</v>
      </c>
      <c r="I24" s="271">
        <f>'- 54 -'!G24</f>
        <v>13.560320069760674</v>
      </c>
    </row>
    <row r="25" spans="1:9" ht="14.1" customHeight="1">
      <c r="A25" s="410" t="s">
        <v>249</v>
      </c>
      <c r="B25" s="410">
        <v>10468</v>
      </c>
      <c r="C25" s="410">
        <f>'- 4 -'!E25</f>
        <v>10847</v>
      </c>
      <c r="D25" s="411">
        <v>14.354017145654733</v>
      </c>
      <c r="E25" s="411">
        <f>'- 9 -'!C25</f>
        <v>14.302351062830667</v>
      </c>
      <c r="F25" s="410">
        <v>322805</v>
      </c>
      <c r="G25" s="410">
        <f>'- 56 -'!F25</f>
        <v>378173</v>
      </c>
      <c r="H25" s="411">
        <v>14.207083257968403</v>
      </c>
      <c r="I25" s="411">
        <f>'- 54 -'!G25</f>
        <v>12.76324340447392</v>
      </c>
    </row>
    <row r="26" spans="1:9" ht="14.1" customHeight="1">
      <c r="A26" s="171" t="s">
        <v>250</v>
      </c>
      <c r="B26" s="171">
        <v>11535</v>
      </c>
      <c r="C26" s="171">
        <f>'- 4 -'!E26</f>
        <v>11959</v>
      </c>
      <c r="D26" s="271">
        <v>13.262650396791534</v>
      </c>
      <c r="E26" s="271">
        <f>'- 9 -'!C26</f>
        <v>13.25951527564431</v>
      </c>
      <c r="F26" s="171">
        <v>200580</v>
      </c>
      <c r="G26" s="171">
        <f>'- 56 -'!F26</f>
        <v>234526</v>
      </c>
      <c r="H26" s="271">
        <v>21.310099571369033</v>
      </c>
      <c r="I26" s="271">
        <f>'- 54 -'!G26</f>
        <v>18.958390553674487</v>
      </c>
    </row>
    <row r="27" spans="1:9" ht="14.1" customHeight="1">
      <c r="A27" s="410" t="s">
        <v>251</v>
      </c>
      <c r="B27" s="410">
        <v>14245</v>
      </c>
      <c r="C27" s="410">
        <f>'- 4 -'!E27</f>
        <v>13301</v>
      </c>
      <c r="D27" s="411">
        <v>11.544624788336845</v>
      </c>
      <c r="E27" s="411">
        <f>'- 9 -'!C27</f>
        <v>11.270841906015963</v>
      </c>
      <c r="F27" s="410">
        <v>144246</v>
      </c>
      <c r="G27" s="410">
        <f>'- 56 -'!F27</f>
        <v>164673</v>
      </c>
      <c r="H27" s="411">
        <v>21.734583333079545</v>
      </c>
      <c r="I27" s="411">
        <f>'- 54 -'!G27</f>
        <v>18.266735356602293</v>
      </c>
    </row>
    <row r="28" spans="1:9" ht="14.1" customHeight="1">
      <c r="A28" s="171" t="s">
        <v>252</v>
      </c>
      <c r="B28" s="171">
        <v>12265</v>
      </c>
      <c r="C28" s="171">
        <f>'- 4 -'!E28</f>
        <v>12707</v>
      </c>
      <c r="D28" s="271">
        <v>12.28080931943593</v>
      </c>
      <c r="E28" s="271">
        <f>'- 9 -'!C28</f>
        <v>11.849883561234849</v>
      </c>
      <c r="F28" s="171">
        <v>276207</v>
      </c>
      <c r="G28" s="171">
        <f>'- 56 -'!F28</f>
        <v>317147</v>
      </c>
      <c r="H28" s="271">
        <v>15.799986367024479</v>
      </c>
      <c r="I28" s="271">
        <f>'- 54 -'!G28</f>
        <v>14.822389746303783</v>
      </c>
    </row>
    <row r="29" spans="1:9" ht="14.1" customHeight="1">
      <c r="A29" s="410" t="s">
        <v>253</v>
      </c>
      <c r="B29" s="410">
        <v>11007</v>
      </c>
      <c r="C29" s="410">
        <f>'- 4 -'!E29</f>
        <v>11259</v>
      </c>
      <c r="D29" s="411">
        <v>13.964128130193112</v>
      </c>
      <c r="E29" s="411">
        <f>'- 9 -'!C29</f>
        <v>14.092666774723877</v>
      </c>
      <c r="F29" s="410">
        <v>409243</v>
      </c>
      <c r="G29" s="410">
        <f>'- 56 -'!F29</f>
        <v>467686</v>
      </c>
      <c r="H29" s="411">
        <v>14.171129536129861</v>
      </c>
      <c r="I29" s="411">
        <f>'- 54 -'!G29</f>
        <v>12.877250662813736</v>
      </c>
    </row>
    <row r="30" spans="1:9" ht="14.1" customHeight="1">
      <c r="A30" s="171" t="s">
        <v>254</v>
      </c>
      <c r="B30" s="171">
        <v>11722</v>
      </c>
      <c r="C30" s="171">
        <f>'- 4 -'!E30</f>
        <v>12344</v>
      </c>
      <c r="D30" s="271">
        <v>13.071428571428571</v>
      </c>
      <c r="E30" s="271">
        <f>'- 9 -'!C30</f>
        <v>12.529644268774701</v>
      </c>
      <c r="F30" s="171">
        <v>231885</v>
      </c>
      <c r="G30" s="171">
        <f>'- 56 -'!F30</f>
        <v>273276</v>
      </c>
      <c r="H30" s="271">
        <v>18.890004331886431</v>
      </c>
      <c r="I30" s="271">
        <f>'- 54 -'!G30</f>
        <v>16.943112729889908</v>
      </c>
    </row>
    <row r="31" spans="1:9" ht="14.1" customHeight="1">
      <c r="A31" s="410" t="s">
        <v>255</v>
      </c>
      <c r="B31" s="410">
        <v>10007</v>
      </c>
      <c r="C31" s="410">
        <f>'- 4 -'!E31</f>
        <v>10246</v>
      </c>
      <c r="D31" s="411">
        <v>13.593285167870803</v>
      </c>
      <c r="E31" s="411">
        <f>'- 9 -'!C31</f>
        <v>13.336407848398457</v>
      </c>
      <c r="F31" s="410">
        <v>257290</v>
      </c>
      <c r="G31" s="410">
        <f>'- 56 -'!F31</f>
        <v>284341</v>
      </c>
      <c r="H31" s="411">
        <v>16.849638303999118</v>
      </c>
      <c r="I31" s="411">
        <f>'- 54 -'!G31</f>
        <v>15.45326209450042</v>
      </c>
    </row>
    <row r="32" spans="1:9" ht="14.1" customHeight="1">
      <c r="A32" s="171" t="s">
        <v>256</v>
      </c>
      <c r="B32" s="171">
        <v>11344</v>
      </c>
      <c r="C32" s="171">
        <f>'- 4 -'!E32</f>
        <v>11828</v>
      </c>
      <c r="D32" s="271">
        <v>12.805786663355269</v>
      </c>
      <c r="E32" s="271">
        <f>'- 9 -'!C32</f>
        <v>12.371041266794625</v>
      </c>
      <c r="F32" s="171">
        <v>308251</v>
      </c>
      <c r="G32" s="171">
        <f>'- 56 -'!F32</f>
        <v>353238</v>
      </c>
      <c r="H32" s="271">
        <v>14.800594313118088</v>
      </c>
      <c r="I32" s="271">
        <f>'- 54 -'!G32</f>
        <v>13.705118650003305</v>
      </c>
    </row>
    <row r="33" spans="1:9" ht="14.1" customHeight="1">
      <c r="A33" s="410" t="s">
        <v>257</v>
      </c>
      <c r="B33" s="410">
        <v>12005</v>
      </c>
      <c r="C33" s="410">
        <f>'- 4 -'!E33</f>
        <v>12457</v>
      </c>
      <c r="D33" s="411">
        <v>13.13414555534068</v>
      </c>
      <c r="E33" s="411">
        <f>'- 9 -'!C33</f>
        <v>13.171938045034493</v>
      </c>
      <c r="F33" s="410">
        <v>275524</v>
      </c>
      <c r="G33" s="410">
        <f>'- 56 -'!F33</f>
        <v>327209</v>
      </c>
      <c r="H33" s="411">
        <v>17.128675060382932</v>
      </c>
      <c r="I33" s="411">
        <f>'- 54 -'!G33</f>
        <v>15.222615790973432</v>
      </c>
    </row>
    <row r="34" spans="1:9" ht="14.1" customHeight="1">
      <c r="A34" s="171" t="s">
        <v>258</v>
      </c>
      <c r="B34" s="171">
        <v>11338</v>
      </c>
      <c r="C34" s="171">
        <f>'- 4 -'!E34</f>
        <v>11864</v>
      </c>
      <c r="D34" s="271">
        <v>13.241878695276689</v>
      </c>
      <c r="E34" s="271">
        <f>'- 9 -'!C34</f>
        <v>12.663002297993913</v>
      </c>
      <c r="F34" s="171">
        <v>294942</v>
      </c>
      <c r="G34" s="171">
        <f>'- 56 -'!F34</f>
        <v>345374</v>
      </c>
      <c r="H34" s="271">
        <v>18.46967131856848</v>
      </c>
      <c r="I34" s="271">
        <f>'- 54 -'!G34</f>
        <v>16.252378172249536</v>
      </c>
    </row>
    <row r="35" spans="1:9" ht="14.1" customHeight="1">
      <c r="A35" s="410" t="s">
        <v>259</v>
      </c>
      <c r="B35" s="410">
        <v>10060</v>
      </c>
      <c r="C35" s="410">
        <f>'- 4 -'!E35</f>
        <v>10372</v>
      </c>
      <c r="D35" s="411">
        <v>14.276076897304248</v>
      </c>
      <c r="E35" s="411">
        <f>'- 9 -'!C35</f>
        <v>13.978285127260492</v>
      </c>
      <c r="F35" s="410">
        <v>274647</v>
      </c>
      <c r="G35" s="410">
        <f>'- 56 -'!F35</f>
        <v>317084</v>
      </c>
      <c r="H35" s="411">
        <v>15.81319500556242</v>
      </c>
      <c r="I35" s="411">
        <f>'- 54 -'!G35</f>
        <v>14.229430792843869</v>
      </c>
    </row>
    <row r="36" spans="1:9" ht="14.1" customHeight="1">
      <c r="A36" s="171" t="s">
        <v>260</v>
      </c>
      <c r="B36" s="171">
        <v>12094</v>
      </c>
      <c r="C36" s="171">
        <f>'- 4 -'!E36</f>
        <v>12375</v>
      </c>
      <c r="D36" s="271">
        <v>12.46918192005977</v>
      </c>
      <c r="E36" s="271">
        <f>'- 9 -'!C36</f>
        <v>12.583918217882211</v>
      </c>
      <c r="F36" s="171">
        <v>305689</v>
      </c>
      <c r="G36" s="171">
        <f>'- 56 -'!F36</f>
        <v>368678</v>
      </c>
      <c r="H36" s="271">
        <v>16.790204899083534</v>
      </c>
      <c r="I36" s="271">
        <f>'- 54 -'!G36</f>
        <v>14.853946723177192</v>
      </c>
    </row>
    <row r="37" spans="1:9" ht="14.1" customHeight="1">
      <c r="A37" s="410" t="s">
        <v>261</v>
      </c>
      <c r="B37" s="410">
        <v>10105</v>
      </c>
      <c r="C37" s="410">
        <f>'- 4 -'!E37</f>
        <v>10506</v>
      </c>
      <c r="D37" s="411">
        <v>14.480626870373287</v>
      </c>
      <c r="E37" s="411">
        <f>'- 9 -'!C37</f>
        <v>14.281063275624328</v>
      </c>
      <c r="F37" s="410">
        <v>208049</v>
      </c>
      <c r="G37" s="410">
        <f>'- 56 -'!F37</f>
        <v>241693</v>
      </c>
      <c r="H37" s="411">
        <v>15.991872465850269</v>
      </c>
      <c r="I37" s="411">
        <f>'- 54 -'!G37</f>
        <v>14.84616126729183</v>
      </c>
    </row>
    <row r="38" spans="1:9" ht="14.1" customHeight="1">
      <c r="A38" s="171" t="s">
        <v>262</v>
      </c>
      <c r="B38" s="171">
        <v>9960</v>
      </c>
      <c r="C38" s="171">
        <f>'- 4 -'!E38</f>
        <v>10441</v>
      </c>
      <c r="D38" s="271">
        <v>14.529953653373006</v>
      </c>
      <c r="E38" s="271">
        <f>'- 9 -'!C38</f>
        <v>14.104918926284235</v>
      </c>
      <c r="F38" s="171">
        <v>229098</v>
      </c>
      <c r="G38" s="171">
        <f>'- 56 -'!F38</f>
        <v>253452</v>
      </c>
      <c r="H38" s="271">
        <v>17.385442281349981</v>
      </c>
      <c r="I38" s="271">
        <f>'- 54 -'!G38</f>
        <v>16.207341577020323</v>
      </c>
    </row>
    <row r="39" spans="1:9" ht="14.1" customHeight="1">
      <c r="A39" s="410" t="s">
        <v>263</v>
      </c>
      <c r="B39" s="410">
        <v>11918</v>
      </c>
      <c r="C39" s="410">
        <f>'- 4 -'!E39</f>
        <v>12274</v>
      </c>
      <c r="D39" s="411">
        <v>12.999836387434554</v>
      </c>
      <c r="E39" s="411">
        <f>'- 9 -'!C39</f>
        <v>13.026694045174539</v>
      </c>
      <c r="F39" s="410">
        <v>356056</v>
      </c>
      <c r="G39" s="410">
        <f>'- 56 -'!F39</f>
        <v>411560</v>
      </c>
      <c r="H39" s="411">
        <v>15.197590880923656</v>
      </c>
      <c r="I39" s="411">
        <f>'- 54 -'!G39</f>
        <v>14.584021483105188</v>
      </c>
    </row>
    <row r="40" spans="1:9" ht="14.1" customHeight="1">
      <c r="A40" s="171" t="s">
        <v>264</v>
      </c>
      <c r="B40" s="171">
        <v>10964</v>
      </c>
      <c r="C40" s="171">
        <f>'- 4 -'!E40</f>
        <v>11432</v>
      </c>
      <c r="D40" s="271">
        <v>14.001263682781467</v>
      </c>
      <c r="E40" s="271">
        <f>'- 9 -'!C40</f>
        <v>13.847015439757374</v>
      </c>
      <c r="F40" s="171">
        <v>393537</v>
      </c>
      <c r="G40" s="171">
        <f>'- 56 -'!F40</f>
        <v>460518</v>
      </c>
      <c r="H40" s="271">
        <v>14.077534892091405</v>
      </c>
      <c r="I40" s="271">
        <f>'- 54 -'!G40</f>
        <v>12.583316157433099</v>
      </c>
    </row>
    <row r="41" spans="1:9" ht="14.1" customHeight="1">
      <c r="A41" s="410" t="s">
        <v>265</v>
      </c>
      <c r="B41" s="410">
        <v>11870</v>
      </c>
      <c r="C41" s="410">
        <f>'- 4 -'!E41</f>
        <v>12662</v>
      </c>
      <c r="D41" s="411">
        <v>12.727756164460242</v>
      </c>
      <c r="E41" s="411">
        <f>'- 9 -'!C41</f>
        <v>12.585799482390007</v>
      </c>
      <c r="F41" s="410">
        <v>326546</v>
      </c>
      <c r="G41" s="410">
        <f>'- 56 -'!F41</f>
        <v>380895</v>
      </c>
      <c r="H41" s="411">
        <v>16.489849022298277</v>
      </c>
      <c r="I41" s="411">
        <f>'- 54 -'!G41</f>
        <v>14.833116448910015</v>
      </c>
    </row>
    <row r="42" spans="1:9" ht="14.1" customHeight="1">
      <c r="A42" s="171" t="s">
        <v>266</v>
      </c>
      <c r="B42" s="171">
        <v>13060</v>
      </c>
      <c r="C42" s="171">
        <f>'- 4 -'!E42</f>
        <v>13661</v>
      </c>
      <c r="D42" s="271">
        <v>12.170948698761121</v>
      </c>
      <c r="E42" s="271">
        <f>'- 9 -'!C42</f>
        <v>11.811342592592593</v>
      </c>
      <c r="F42" s="171">
        <v>191941</v>
      </c>
      <c r="G42" s="171">
        <f>'- 56 -'!F42</f>
        <v>232150</v>
      </c>
      <c r="H42" s="271">
        <v>21.210105703935742</v>
      </c>
      <c r="I42" s="271">
        <f>'- 54 -'!G42</f>
        <v>18.678140521394276</v>
      </c>
    </row>
    <row r="43" spans="1:9" ht="14.1" customHeight="1">
      <c r="A43" s="410" t="s">
        <v>267</v>
      </c>
      <c r="B43" s="410">
        <v>11364</v>
      </c>
      <c r="C43" s="410">
        <f>'- 4 -'!E43</f>
        <v>11677</v>
      </c>
      <c r="D43" s="411">
        <v>13.066487575554065</v>
      </c>
      <c r="E43" s="411">
        <f>'- 9 -'!C43</f>
        <v>13.008401120149355</v>
      </c>
      <c r="F43" s="410">
        <v>294611</v>
      </c>
      <c r="G43" s="410">
        <f>'- 56 -'!F43</f>
        <v>348361</v>
      </c>
      <c r="H43" s="411">
        <v>17.561963451040366</v>
      </c>
      <c r="I43" s="411">
        <f>'- 54 -'!G43</f>
        <v>15.797757219516564</v>
      </c>
    </row>
    <row r="44" spans="1:9" ht="14.1" customHeight="1">
      <c r="A44" s="171" t="s">
        <v>268</v>
      </c>
      <c r="B44" s="171">
        <v>13513</v>
      </c>
      <c r="C44" s="171">
        <f>'- 4 -'!E44</f>
        <v>13618</v>
      </c>
      <c r="D44" s="271">
        <v>11.516175760502174</v>
      </c>
      <c r="E44" s="271">
        <f>'- 9 -'!C44</f>
        <v>11.492129778348859</v>
      </c>
      <c r="F44" s="171">
        <v>171103</v>
      </c>
      <c r="G44" s="171">
        <f>'- 56 -'!F44</f>
        <v>182473</v>
      </c>
      <c r="H44" s="271">
        <v>19.725150319648225</v>
      </c>
      <c r="I44" s="271">
        <f>'- 54 -'!G44</f>
        <v>19.318488330085227</v>
      </c>
    </row>
    <row r="45" spans="1:9" ht="14.1" customHeight="1">
      <c r="A45" s="410" t="s">
        <v>269</v>
      </c>
      <c r="B45" s="410">
        <v>9121</v>
      </c>
      <c r="C45" s="410">
        <f>'- 4 -'!E45</f>
        <v>9857</v>
      </c>
      <c r="D45" s="411">
        <v>14.917176809506662</v>
      </c>
      <c r="E45" s="411">
        <f>'- 9 -'!C45</f>
        <v>14.566181127295756</v>
      </c>
      <c r="F45" s="410">
        <v>218959</v>
      </c>
      <c r="G45" s="410">
        <f>'- 56 -'!F45</f>
        <v>237925</v>
      </c>
      <c r="H45" s="411">
        <v>17.9818897121751</v>
      </c>
      <c r="I45" s="411">
        <f>'- 54 -'!G45</f>
        <v>17.976475772334258</v>
      </c>
    </row>
    <row r="46" spans="1:9" ht="14.1" customHeight="1">
      <c r="A46" s="171" t="s">
        <v>270</v>
      </c>
      <c r="B46" s="171">
        <v>10827</v>
      </c>
      <c r="C46" s="171">
        <f>'- 4 -'!E46</f>
        <v>11234</v>
      </c>
      <c r="D46" s="271">
        <v>13.920609351988217</v>
      </c>
      <c r="E46" s="271">
        <f>'- 9 -'!C46</f>
        <v>13.694713396063458</v>
      </c>
      <c r="F46" s="171">
        <v>279949</v>
      </c>
      <c r="G46" s="171">
        <f>'- 56 -'!F46</f>
        <v>312832</v>
      </c>
      <c r="H46" s="271">
        <v>16.513226807077594</v>
      </c>
      <c r="I46" s="271">
        <f>'- 54 -'!G46</f>
        <v>15.563316941711673</v>
      </c>
    </row>
    <row r="47" spans="1:9" ht="5.0999999999999996" customHeight="1">
      <c r="A47"/>
      <c r="B47"/>
      <c r="C47"/>
      <c r="D47" s="459"/>
      <c r="E47" s="459"/>
      <c r="F47"/>
      <c r="G47"/>
      <c r="H47" s="459"/>
      <c r="I47" s="459"/>
    </row>
    <row r="48" spans="1:9" ht="14.1" customHeight="1">
      <c r="A48" s="413" t="s">
        <v>271</v>
      </c>
      <c r="B48" s="414">
        <v>11030</v>
      </c>
      <c r="C48" s="414">
        <f>'- 4 -'!E48</f>
        <v>11437</v>
      </c>
      <c r="D48" s="460">
        <v>13.665833496304678</v>
      </c>
      <c r="E48" s="460">
        <f>'- 9 -'!C48</f>
        <v>13.462047355043353</v>
      </c>
      <c r="F48" s="414">
        <v>278077.70765977941</v>
      </c>
      <c r="G48" s="414">
        <f>'- 56 -'!F48</f>
        <v>317648.67153662862</v>
      </c>
      <c r="H48" s="460">
        <v>15.966978298275526</v>
      </c>
      <c r="I48" s="460">
        <f>'- 54 -'!G48</f>
        <v>14.657406684072306</v>
      </c>
    </row>
    <row r="49" spans="1:9" ht="5.0999999999999996" customHeight="1">
      <c r="A49" s="148"/>
      <c r="B49" s="172"/>
      <c r="C49" s="172"/>
      <c r="D49" s="273"/>
      <c r="E49" s="273"/>
      <c r="F49" s="172"/>
      <c r="G49" s="172"/>
      <c r="H49" s="273"/>
      <c r="I49" s="273"/>
    </row>
    <row r="50" spans="1:9" ht="14.1" customHeight="1">
      <c r="A50" s="171" t="s">
        <v>272</v>
      </c>
      <c r="B50" s="171">
        <v>17798</v>
      </c>
      <c r="C50" s="171">
        <f>'- 4 -'!E50</f>
        <v>18923</v>
      </c>
      <c r="D50" s="271">
        <v>8.5700757575757578</v>
      </c>
      <c r="E50" s="271">
        <f>'- 9 -'!C50</f>
        <v>8.329177057356608</v>
      </c>
      <c r="F50" s="171"/>
      <c r="G50" s="171"/>
      <c r="H50" s="271">
        <v>0</v>
      </c>
      <c r="I50" s="271">
        <f>'- 54 -'!G50</f>
        <v>0</v>
      </c>
    </row>
    <row r="51" spans="1:9" ht="14.1" customHeight="1">
      <c r="A51" s="410" t="s">
        <v>273</v>
      </c>
      <c r="B51" s="410">
        <v>13472</v>
      </c>
      <c r="C51" s="410">
        <f>'- 4 -'!E51</f>
        <v>13222</v>
      </c>
      <c r="D51" s="411">
        <v>16.885676741130094</v>
      </c>
      <c r="E51" s="411">
        <f>'- 9 -'!C51</f>
        <v>15.364080765143465</v>
      </c>
      <c r="F51" s="410"/>
      <c r="G51" s="410"/>
      <c r="H51" s="411">
        <v>0</v>
      </c>
      <c r="I51" s="411">
        <f>'- 54 -'!G51</f>
        <v>0</v>
      </c>
    </row>
    <row r="52" spans="1:9" ht="50.1" customHeight="1">
      <c r="A52" s="30"/>
      <c r="B52" s="30"/>
      <c r="C52" s="30"/>
      <c r="D52" s="30"/>
      <c r="E52" s="30"/>
      <c r="F52" s="30"/>
      <c r="G52" s="30"/>
      <c r="H52" s="30"/>
      <c r="I52" s="30"/>
    </row>
    <row r="53" spans="1:9" ht="15" customHeight="1">
      <c r="A53" s="45" t="s">
        <v>617</v>
      </c>
      <c r="B53" s="45"/>
      <c r="C53" s="45"/>
    </row>
    <row r="54" spans="1:9" ht="12" customHeight="1">
      <c r="A54" s="45" t="s">
        <v>618</v>
      </c>
      <c r="B54" s="45"/>
      <c r="C54" s="45"/>
    </row>
    <row r="55" spans="1:9" ht="12" customHeight="1">
      <c r="A55" s="151" t="s">
        <v>707</v>
      </c>
      <c r="B55" s="45"/>
      <c r="C55" s="45"/>
    </row>
    <row r="56" spans="1:9" ht="12" customHeight="1">
      <c r="A56" s="151" t="s">
        <v>715</v>
      </c>
      <c r="B56" s="45"/>
      <c r="C56" s="45"/>
    </row>
    <row r="57" spans="1:9" ht="12" customHeight="1">
      <c r="A57" s="45"/>
      <c r="B57" s="45"/>
      <c r="C57" s="45"/>
    </row>
    <row r="58" spans="1:9" ht="12" customHeight="1">
      <c r="B58" s="45"/>
      <c r="C58" s="45"/>
    </row>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62.xml><?xml version="1.0" encoding="utf-8"?>
<worksheet xmlns="http://schemas.openxmlformats.org/spreadsheetml/2006/main" xmlns:r="http://schemas.openxmlformats.org/officeDocument/2006/relationships">
  <sheetPr transitionEvaluation="1" codeName="Sheet49"/>
  <dimension ref="A1:T91"/>
  <sheetViews>
    <sheetView showGridLines="0" defaultGridColor="0" colorId="22" workbookViewId="0">
      <pane xSplit="1" ySplit="10" topLeftCell="B11" activePane="bottomRight" state="frozen"/>
      <selection pane="topRight"/>
      <selection pane="bottomLeft"/>
      <selection pane="bottomRight" activeCell="B39" sqref="B39"/>
    </sheetView>
  </sheetViews>
  <sheetFormatPr defaultColWidth="15.83203125" defaultRowHeight="12"/>
  <cols>
    <col min="1" max="1" width="5.83203125" style="1" customWidth="1"/>
    <col min="2" max="2" width="30.83203125" style="1" customWidth="1"/>
    <col min="3" max="13" width="15.83203125" style="1" customWidth="1"/>
    <col min="14" max="14" width="3.5" style="1" customWidth="1"/>
    <col min="15" max="15" width="15.83203125" style="1"/>
    <col min="16" max="16" width="5.83203125" style="1" customWidth="1"/>
    <col min="17" max="18" width="15.83203125" style="1"/>
    <col min="19" max="19" width="3" style="1" customWidth="1"/>
    <col min="20" max="16384" width="15.83203125" style="1"/>
  </cols>
  <sheetData>
    <row r="1" spans="1:20" ht="6" customHeight="1">
      <c r="A1" s="6"/>
      <c r="B1" s="234"/>
      <c r="C1" s="234"/>
      <c r="D1" s="234"/>
      <c r="E1" s="234"/>
      <c r="F1" s="234"/>
      <c r="G1" s="234"/>
      <c r="H1" s="234"/>
      <c r="I1" s="234"/>
      <c r="J1" s="234"/>
      <c r="K1" s="234"/>
      <c r="L1" s="234"/>
      <c r="M1" s="234"/>
    </row>
    <row r="2" spans="1:20">
      <c r="A2" s="234"/>
      <c r="B2" s="206"/>
      <c r="C2" s="206"/>
      <c r="D2" s="206"/>
      <c r="E2" s="206"/>
      <c r="F2" s="206"/>
      <c r="G2" s="206"/>
      <c r="H2" s="206"/>
      <c r="I2" s="206"/>
      <c r="J2" s="206"/>
      <c r="K2" s="206"/>
      <c r="L2" s="206"/>
      <c r="M2" s="206"/>
    </row>
    <row r="3" spans="1:20">
      <c r="A3" s="315" t="s">
        <v>110</v>
      </c>
      <c r="B3" s="1" t="s">
        <v>182</v>
      </c>
      <c r="C3" s="234"/>
      <c r="D3" s="234"/>
      <c r="E3" s="234"/>
      <c r="F3" s="234"/>
      <c r="G3" s="234"/>
      <c r="H3" s="234"/>
      <c r="I3" s="234"/>
      <c r="J3" s="234"/>
      <c r="K3" s="234"/>
      <c r="L3" s="234"/>
      <c r="M3" s="234"/>
    </row>
    <row r="4" spans="1:20">
      <c r="A4" s="1" t="s">
        <v>609</v>
      </c>
      <c r="B4" s="321" t="s">
        <v>713</v>
      </c>
      <c r="C4" s="206"/>
      <c r="D4" s="206"/>
      <c r="E4" s="206"/>
      <c r="F4" s="206"/>
      <c r="G4" s="206"/>
      <c r="H4" s="206"/>
      <c r="I4" s="206"/>
      <c r="J4" s="206"/>
      <c r="K4" s="206"/>
      <c r="L4" s="206"/>
      <c r="M4" s="206"/>
      <c r="O4" s="1" t="s">
        <v>745</v>
      </c>
    </row>
    <row r="5" spans="1:20">
      <c r="A5" s="1" t="s">
        <v>608</v>
      </c>
      <c r="B5" s="321" t="s">
        <v>732</v>
      </c>
      <c r="C5" s="316" t="s">
        <v>73</v>
      </c>
      <c r="D5" s="317"/>
      <c r="E5" s="317"/>
      <c r="F5" s="317"/>
      <c r="G5" s="317"/>
      <c r="H5" s="317"/>
      <c r="I5" s="317"/>
      <c r="J5" s="317"/>
      <c r="K5" s="317"/>
      <c r="L5" s="317"/>
      <c r="M5" s="318"/>
      <c r="O5" s="1" t="s">
        <v>688</v>
      </c>
    </row>
    <row r="6" spans="1:20">
      <c r="A6" s="1" t="s">
        <v>14</v>
      </c>
      <c r="B6" s="665">
        <v>2012</v>
      </c>
      <c r="O6" s="1" t="s">
        <v>744</v>
      </c>
      <c r="T6" s="1" t="s">
        <v>723</v>
      </c>
    </row>
    <row r="7" spans="1:20">
      <c r="A7" s="1" t="s">
        <v>15</v>
      </c>
      <c r="B7" s="319" t="str">
        <f>TEXT((B6+1),"0")</f>
        <v>2013</v>
      </c>
      <c r="C7" s="90"/>
      <c r="M7" s="3" t="s">
        <v>389</v>
      </c>
      <c r="O7" s="1" t="s">
        <v>685</v>
      </c>
      <c r="Q7" s="5" t="s">
        <v>720</v>
      </c>
      <c r="T7" s="3" t="s">
        <v>68</v>
      </c>
    </row>
    <row r="8" spans="1:20">
      <c r="C8" s="320" t="s">
        <v>92</v>
      </c>
      <c r="D8" s="7"/>
      <c r="E8" s="7"/>
      <c r="F8" s="7"/>
      <c r="G8" s="7"/>
      <c r="H8" s="7"/>
      <c r="I8" s="7"/>
      <c r="J8" s="7">
        <v>700</v>
      </c>
      <c r="K8" s="3" t="s">
        <v>68</v>
      </c>
      <c r="L8" s="3" t="s">
        <v>367</v>
      </c>
      <c r="M8" s="3" t="s">
        <v>377</v>
      </c>
      <c r="O8" s="1" t="s">
        <v>686</v>
      </c>
      <c r="Q8" s="716" t="s">
        <v>603</v>
      </c>
      <c r="R8" s="1" t="s">
        <v>605</v>
      </c>
      <c r="T8" s="3" t="s">
        <v>93</v>
      </c>
    </row>
    <row r="9" spans="1:20">
      <c r="A9" s="321" t="s">
        <v>278</v>
      </c>
      <c r="B9" s="1" t="s">
        <v>279</v>
      </c>
      <c r="C9" s="1">
        <v>100</v>
      </c>
      <c r="D9" s="1">
        <v>200</v>
      </c>
      <c r="E9" s="1">
        <v>300</v>
      </c>
      <c r="F9" s="1">
        <v>400</v>
      </c>
      <c r="G9" s="1">
        <v>500</v>
      </c>
      <c r="H9" s="1">
        <v>600</v>
      </c>
      <c r="I9" s="1">
        <v>700</v>
      </c>
      <c r="J9" s="3" t="s">
        <v>107</v>
      </c>
      <c r="K9" s="3" t="s">
        <v>108</v>
      </c>
      <c r="L9" s="3" t="s">
        <v>187</v>
      </c>
      <c r="M9" s="3" t="s">
        <v>213</v>
      </c>
      <c r="O9" s="1" t="s">
        <v>687</v>
      </c>
      <c r="Q9" s="716" t="s">
        <v>148</v>
      </c>
      <c r="R9" s="1" t="s">
        <v>148</v>
      </c>
      <c r="T9" s="556" t="s">
        <v>743</v>
      </c>
    </row>
    <row r="10" spans="1:20" ht="3.95" customHeight="1"/>
    <row r="11" spans="1:20" ht="10.9" customHeight="1">
      <c r="A11" s="319" t="s">
        <v>280</v>
      </c>
      <c r="B11" s="1" t="s">
        <v>236</v>
      </c>
      <c r="C11" s="1">
        <v>41740</v>
      </c>
      <c r="D11" s="1">
        <v>0</v>
      </c>
      <c r="E11" s="1">
        <v>0</v>
      </c>
      <c r="F11" s="1">
        <v>0</v>
      </c>
      <c r="G11" s="1">
        <v>0</v>
      </c>
      <c r="H11" s="1">
        <v>5230</v>
      </c>
      <c r="I11" s="1">
        <v>0</v>
      </c>
      <c r="J11" s="1">
        <v>0</v>
      </c>
      <c r="K11" s="65">
        <f t="shared" ref="K11:K42" si="0">SUM(C11:I11)-J11</f>
        <v>46970</v>
      </c>
      <c r="L11" s="65">
        <v>16665</v>
      </c>
      <c r="M11" s="65">
        <v>0</v>
      </c>
      <c r="O11" s="1">
        <v>340743</v>
      </c>
      <c r="Q11" s="1">
        <v>7581331</v>
      </c>
      <c r="R11" s="1">
        <v>7077000</v>
      </c>
      <c r="T11" s="1">
        <v>257649</v>
      </c>
    </row>
    <row r="12" spans="1:20" ht="10.9" customHeight="1">
      <c r="A12" s="319" t="s">
        <v>281</v>
      </c>
      <c r="B12" s="1" t="s">
        <v>237</v>
      </c>
      <c r="C12" s="1">
        <v>375347</v>
      </c>
      <c r="D12" s="1">
        <v>0</v>
      </c>
      <c r="E12" s="1">
        <v>-19210</v>
      </c>
      <c r="F12" s="1">
        <v>0</v>
      </c>
      <c r="G12" s="1">
        <v>0</v>
      </c>
      <c r="H12" s="1">
        <v>0</v>
      </c>
      <c r="I12" s="1">
        <v>750</v>
      </c>
      <c r="J12" s="1">
        <v>0</v>
      </c>
      <c r="K12" s="65">
        <f t="shared" si="0"/>
        <v>356887</v>
      </c>
      <c r="L12" s="65">
        <v>28130</v>
      </c>
      <c r="M12" s="65">
        <v>0</v>
      </c>
      <c r="O12" s="1">
        <v>260717</v>
      </c>
      <c r="Q12" s="1">
        <v>13262830</v>
      </c>
      <c r="R12" s="1">
        <v>10525875</v>
      </c>
      <c r="T12" s="1">
        <v>385464</v>
      </c>
    </row>
    <row r="13" spans="1:20" ht="10.9" customHeight="1">
      <c r="A13" s="319" t="s">
        <v>282</v>
      </c>
      <c r="B13" s="1" t="s">
        <v>238</v>
      </c>
      <c r="C13" s="1">
        <v>131365</v>
      </c>
      <c r="D13" s="1">
        <v>0</v>
      </c>
      <c r="E13" s="1">
        <v>0</v>
      </c>
      <c r="F13" s="1">
        <v>0</v>
      </c>
      <c r="G13" s="1">
        <v>0</v>
      </c>
      <c r="H13" s="1">
        <v>0</v>
      </c>
      <c r="I13" s="1">
        <v>0</v>
      </c>
      <c r="J13" s="1">
        <v>0</v>
      </c>
      <c r="K13" s="65">
        <f t="shared" si="0"/>
        <v>131365</v>
      </c>
      <c r="L13" s="65">
        <v>54040</v>
      </c>
      <c r="M13" s="65">
        <v>0</v>
      </c>
      <c r="O13" s="1">
        <v>297596</v>
      </c>
      <c r="Q13" s="1">
        <v>36438520</v>
      </c>
      <c r="R13" s="1">
        <v>34590520</v>
      </c>
      <c r="T13" s="1">
        <v>1044633</v>
      </c>
    </row>
    <row r="14" spans="1:20" ht="10.9" customHeight="1">
      <c r="A14" s="319" t="s">
        <v>283</v>
      </c>
      <c r="B14" s="1" t="s">
        <v>274</v>
      </c>
      <c r="C14" s="1">
        <v>286395</v>
      </c>
      <c r="D14" s="1">
        <v>0</v>
      </c>
      <c r="E14" s="1">
        <v>0</v>
      </c>
      <c r="F14" s="1">
        <v>0</v>
      </c>
      <c r="G14" s="1">
        <v>0</v>
      </c>
      <c r="H14" s="1">
        <v>26000</v>
      </c>
      <c r="I14" s="1">
        <v>0</v>
      </c>
      <c r="J14" s="1">
        <v>0</v>
      </c>
      <c r="K14" s="65">
        <f t="shared" si="0"/>
        <v>312395</v>
      </c>
      <c r="L14" s="65">
        <v>0</v>
      </c>
      <c r="M14" s="65">
        <v>0</v>
      </c>
      <c r="O14" s="1">
        <v>327836</v>
      </c>
      <c r="Q14" s="1">
        <v>0</v>
      </c>
      <c r="R14" s="1">
        <v>0</v>
      </c>
      <c r="T14" s="1">
        <v>898828</v>
      </c>
    </row>
    <row r="15" spans="1:20" ht="10.9" customHeight="1">
      <c r="A15" s="319" t="s">
        <v>284</v>
      </c>
      <c r="B15" s="1" t="s">
        <v>239</v>
      </c>
      <c r="C15" s="1">
        <v>36450</v>
      </c>
      <c r="D15" s="1">
        <v>0</v>
      </c>
      <c r="E15" s="1">
        <v>0</v>
      </c>
      <c r="F15" s="1">
        <v>0</v>
      </c>
      <c r="G15" s="1">
        <v>350</v>
      </c>
      <c r="H15" s="1">
        <v>7450</v>
      </c>
      <c r="I15" s="1">
        <v>0</v>
      </c>
      <c r="J15" s="1">
        <v>0</v>
      </c>
      <c r="K15" s="65">
        <f t="shared" si="0"/>
        <v>44250</v>
      </c>
      <c r="L15" s="65">
        <v>23330</v>
      </c>
      <c r="M15" s="65">
        <v>0</v>
      </c>
      <c r="O15" s="1">
        <v>507300</v>
      </c>
      <c r="Q15" s="1">
        <v>9930119</v>
      </c>
      <c r="R15" s="1">
        <v>8334802</v>
      </c>
      <c r="T15" s="1">
        <v>289004</v>
      </c>
    </row>
    <row r="16" spans="1:20" ht="10.9" customHeight="1">
      <c r="A16" s="319" t="s">
        <v>285</v>
      </c>
      <c r="B16" s="1" t="s">
        <v>240</v>
      </c>
      <c r="C16" s="1">
        <v>0</v>
      </c>
      <c r="D16" s="1">
        <v>0</v>
      </c>
      <c r="E16" s="1">
        <v>0</v>
      </c>
      <c r="F16" s="1">
        <v>0</v>
      </c>
      <c r="G16" s="1">
        <v>0</v>
      </c>
      <c r="H16" s="1">
        <v>0</v>
      </c>
      <c r="I16" s="1">
        <v>0</v>
      </c>
      <c r="J16" s="1">
        <v>0</v>
      </c>
      <c r="K16" s="65">
        <f t="shared" si="0"/>
        <v>0</v>
      </c>
      <c r="L16" s="65">
        <v>14958</v>
      </c>
      <c r="M16" s="65">
        <v>0</v>
      </c>
      <c r="O16" s="1">
        <v>156527</v>
      </c>
      <c r="Q16" s="1">
        <v>4411523</v>
      </c>
      <c r="R16" s="1">
        <v>3658810</v>
      </c>
      <c r="T16" s="1">
        <v>196781</v>
      </c>
    </row>
    <row r="17" spans="1:20" ht="10.9" customHeight="1">
      <c r="A17" s="319" t="s">
        <v>286</v>
      </c>
      <c r="B17" s="1" t="s">
        <v>241</v>
      </c>
      <c r="C17" s="1">
        <v>237199</v>
      </c>
      <c r="D17" s="1">
        <v>0</v>
      </c>
      <c r="E17" s="1">
        <v>0</v>
      </c>
      <c r="F17" s="1">
        <v>0</v>
      </c>
      <c r="G17" s="1">
        <v>1429</v>
      </c>
      <c r="H17" s="1">
        <v>0</v>
      </c>
      <c r="I17" s="1">
        <v>0</v>
      </c>
      <c r="J17" s="1">
        <v>0</v>
      </c>
      <c r="K17" s="65">
        <f t="shared" si="0"/>
        <v>238628</v>
      </c>
      <c r="L17" s="65">
        <v>20030</v>
      </c>
      <c r="M17" s="65">
        <v>0</v>
      </c>
      <c r="O17" s="1">
        <v>466048</v>
      </c>
      <c r="Q17" s="1">
        <v>7803973</v>
      </c>
      <c r="R17" s="1">
        <v>7316188</v>
      </c>
      <c r="T17" s="1">
        <v>259999</v>
      </c>
    </row>
    <row r="18" spans="1:20" ht="10.9" customHeight="1">
      <c r="A18" s="319" t="s">
        <v>287</v>
      </c>
      <c r="B18" s="1" t="s">
        <v>242</v>
      </c>
      <c r="C18" s="1">
        <v>3111441</v>
      </c>
      <c r="D18" s="1">
        <v>0</v>
      </c>
      <c r="E18" s="1">
        <v>1244230</v>
      </c>
      <c r="F18" s="1">
        <v>0</v>
      </c>
      <c r="G18" s="1">
        <v>92891</v>
      </c>
      <c r="H18" s="1">
        <v>41099</v>
      </c>
      <c r="I18" s="1">
        <v>203493</v>
      </c>
      <c r="J18" s="1">
        <v>0</v>
      </c>
      <c r="K18" s="65">
        <f t="shared" si="0"/>
        <v>4693154</v>
      </c>
      <c r="L18" s="65">
        <v>0</v>
      </c>
      <c r="M18" s="65">
        <v>0</v>
      </c>
      <c r="O18" s="1">
        <v>72484</v>
      </c>
      <c r="Q18" s="1">
        <v>3318014</v>
      </c>
      <c r="R18" s="1">
        <v>2999540</v>
      </c>
      <c r="T18" s="1">
        <v>1372602</v>
      </c>
    </row>
    <row r="19" spans="1:20" ht="10.9" customHeight="1">
      <c r="A19" s="319" t="s">
        <v>288</v>
      </c>
      <c r="B19" s="1" t="s">
        <v>243</v>
      </c>
      <c r="C19" s="1">
        <v>343109</v>
      </c>
      <c r="D19" s="1">
        <v>0</v>
      </c>
      <c r="E19" s="1">
        <v>0</v>
      </c>
      <c r="F19" s="1">
        <v>17000</v>
      </c>
      <c r="G19" s="1">
        <v>16729</v>
      </c>
      <c r="H19" s="1">
        <v>0</v>
      </c>
      <c r="I19" s="1">
        <v>0</v>
      </c>
      <c r="J19" s="1">
        <v>0</v>
      </c>
      <c r="K19" s="65">
        <f t="shared" si="0"/>
        <v>376838</v>
      </c>
      <c r="L19" s="65">
        <v>29468</v>
      </c>
      <c r="M19" s="65">
        <v>0</v>
      </c>
      <c r="O19" s="1">
        <v>188101</v>
      </c>
      <c r="Q19" s="1">
        <v>15361368</v>
      </c>
      <c r="R19" s="1">
        <v>14715195</v>
      </c>
      <c r="T19" s="1">
        <v>521048</v>
      </c>
    </row>
    <row r="20" spans="1:20" ht="10.9" customHeight="1">
      <c r="A20" s="319" t="s">
        <v>289</v>
      </c>
      <c r="B20" s="1" t="s">
        <v>244</v>
      </c>
      <c r="C20" s="1">
        <v>949208</v>
      </c>
      <c r="D20" s="1">
        <v>0</v>
      </c>
      <c r="E20" s="1">
        <v>0</v>
      </c>
      <c r="F20" s="1">
        <v>0</v>
      </c>
      <c r="G20" s="1">
        <v>0</v>
      </c>
      <c r="H20" s="1">
        <v>0</v>
      </c>
      <c r="I20" s="1">
        <v>0</v>
      </c>
      <c r="J20" s="1">
        <v>0</v>
      </c>
      <c r="K20" s="65">
        <f t="shared" si="0"/>
        <v>949208</v>
      </c>
      <c r="L20" s="65">
        <v>54918</v>
      </c>
      <c r="M20" s="65">
        <v>0</v>
      </c>
      <c r="O20" s="1">
        <v>196027</v>
      </c>
      <c r="Q20" s="1">
        <v>25616105</v>
      </c>
      <c r="R20" s="1">
        <v>24107979</v>
      </c>
      <c r="T20" s="1">
        <v>938155</v>
      </c>
    </row>
    <row r="21" spans="1:20" ht="10.9" customHeight="1">
      <c r="A21" s="319" t="s">
        <v>290</v>
      </c>
      <c r="B21" s="1" t="s">
        <v>245</v>
      </c>
      <c r="C21" s="1">
        <v>273930</v>
      </c>
      <c r="D21" s="1">
        <v>97939</v>
      </c>
      <c r="E21" s="1">
        <v>0</v>
      </c>
      <c r="F21" s="1">
        <v>6012</v>
      </c>
      <c r="G21" s="1">
        <v>10020</v>
      </c>
      <c r="H21" s="1">
        <v>15388</v>
      </c>
      <c r="I21" s="1">
        <v>0</v>
      </c>
      <c r="J21" s="1">
        <v>0</v>
      </c>
      <c r="K21" s="65">
        <f t="shared" si="0"/>
        <v>403289</v>
      </c>
      <c r="L21" s="65">
        <v>30112</v>
      </c>
      <c r="M21" s="65">
        <v>0</v>
      </c>
      <c r="O21" s="1">
        <v>307690</v>
      </c>
      <c r="Q21" s="1">
        <v>14421440</v>
      </c>
      <c r="R21" s="1">
        <v>13131889</v>
      </c>
      <c r="T21" s="1">
        <v>453941</v>
      </c>
    </row>
    <row r="22" spans="1:20" ht="10.9" customHeight="1">
      <c r="A22" s="319" t="s">
        <v>291</v>
      </c>
      <c r="B22" s="1" t="s">
        <v>246</v>
      </c>
      <c r="C22" s="1">
        <v>3146</v>
      </c>
      <c r="D22" s="1">
        <v>0</v>
      </c>
      <c r="E22" s="1">
        <v>0</v>
      </c>
      <c r="F22" s="1">
        <v>0</v>
      </c>
      <c r="G22" s="1">
        <v>0</v>
      </c>
      <c r="H22" s="1">
        <v>12321</v>
      </c>
      <c r="I22" s="1">
        <v>0</v>
      </c>
      <c r="J22" s="1">
        <v>0</v>
      </c>
      <c r="K22" s="65">
        <f t="shared" si="0"/>
        <v>15467</v>
      </c>
      <c r="L22" s="65">
        <v>31587</v>
      </c>
      <c r="M22" s="65">
        <v>0</v>
      </c>
      <c r="O22" s="1">
        <v>117664</v>
      </c>
      <c r="Q22" s="1">
        <v>4322925</v>
      </c>
      <c r="R22" s="1">
        <v>4013518</v>
      </c>
      <c r="T22" s="1">
        <v>338393</v>
      </c>
    </row>
    <row r="23" spans="1:20" ht="10.9" customHeight="1">
      <c r="A23" s="319" t="s">
        <v>292</v>
      </c>
      <c r="B23" s="1" t="s">
        <v>247</v>
      </c>
      <c r="C23" s="1">
        <v>41243</v>
      </c>
      <c r="D23" s="1">
        <v>0</v>
      </c>
      <c r="E23" s="1">
        <v>0</v>
      </c>
      <c r="F23" s="1">
        <v>0</v>
      </c>
      <c r="G23" s="1">
        <v>0</v>
      </c>
      <c r="H23" s="1">
        <v>1700</v>
      </c>
      <c r="I23" s="1">
        <v>0</v>
      </c>
      <c r="J23" s="1">
        <v>0</v>
      </c>
      <c r="K23" s="65">
        <f t="shared" si="0"/>
        <v>42943</v>
      </c>
      <c r="L23" s="65">
        <v>20836</v>
      </c>
      <c r="M23" s="65">
        <v>0</v>
      </c>
      <c r="O23" s="1">
        <v>186803</v>
      </c>
      <c r="Q23" s="1">
        <v>4488716</v>
      </c>
      <c r="R23" s="1">
        <v>4048643</v>
      </c>
      <c r="T23" s="1">
        <v>233256</v>
      </c>
    </row>
    <row r="24" spans="1:20" ht="10.9" customHeight="1">
      <c r="A24" s="319" t="s">
        <v>293</v>
      </c>
      <c r="B24" s="1" t="s">
        <v>248</v>
      </c>
      <c r="C24" s="1">
        <v>281317</v>
      </c>
      <c r="D24" s="1">
        <v>0</v>
      </c>
      <c r="E24" s="1">
        <v>0</v>
      </c>
      <c r="F24" s="1">
        <v>0</v>
      </c>
      <c r="G24" s="1">
        <v>484</v>
      </c>
      <c r="H24" s="1">
        <v>0</v>
      </c>
      <c r="I24" s="1">
        <v>0</v>
      </c>
      <c r="J24" s="1">
        <v>0</v>
      </c>
      <c r="K24" s="65">
        <f t="shared" si="0"/>
        <v>281801</v>
      </c>
      <c r="L24" s="65">
        <v>38722</v>
      </c>
      <c r="M24" s="65">
        <v>0</v>
      </c>
      <c r="O24" s="1">
        <v>367776</v>
      </c>
      <c r="Q24" s="1">
        <v>24232454</v>
      </c>
      <c r="R24" s="1">
        <v>21539551</v>
      </c>
      <c r="T24" s="1">
        <v>705303</v>
      </c>
    </row>
    <row r="25" spans="1:20" ht="10.9" customHeight="1">
      <c r="A25" s="319" t="s">
        <v>294</v>
      </c>
      <c r="B25" s="1" t="s">
        <v>249</v>
      </c>
      <c r="C25" s="1">
        <v>890632</v>
      </c>
      <c r="D25" s="1">
        <v>355766</v>
      </c>
      <c r="E25" s="1">
        <v>0</v>
      </c>
      <c r="F25" s="1">
        <v>0</v>
      </c>
      <c r="G25" s="1">
        <v>12535</v>
      </c>
      <c r="H25" s="1">
        <v>25050</v>
      </c>
      <c r="I25" s="1">
        <v>0</v>
      </c>
      <c r="J25" s="1">
        <v>0</v>
      </c>
      <c r="K25" s="65">
        <f t="shared" si="0"/>
        <v>1283983</v>
      </c>
      <c r="L25" s="65">
        <v>15225</v>
      </c>
      <c r="M25" s="65">
        <v>452338</v>
      </c>
      <c r="O25" s="1">
        <v>378173</v>
      </c>
      <c r="Q25" s="1">
        <v>81022879</v>
      </c>
      <c r="R25" s="1">
        <v>74481876</v>
      </c>
      <c r="T25" s="1">
        <v>2235032</v>
      </c>
    </row>
    <row r="26" spans="1:20" ht="10.9" customHeight="1">
      <c r="A26" s="319" t="s">
        <v>295</v>
      </c>
      <c r="B26" s="1" t="s">
        <v>250</v>
      </c>
      <c r="C26" s="1">
        <v>15294</v>
      </c>
      <c r="D26" s="1">
        <v>0</v>
      </c>
      <c r="E26" s="1">
        <v>0</v>
      </c>
      <c r="F26" s="1">
        <v>0</v>
      </c>
      <c r="G26" s="1">
        <v>0</v>
      </c>
      <c r="H26" s="1">
        <v>3611</v>
      </c>
      <c r="I26" s="1">
        <v>0</v>
      </c>
      <c r="J26" s="1">
        <v>0</v>
      </c>
      <c r="K26" s="65">
        <f t="shared" si="0"/>
        <v>18905</v>
      </c>
      <c r="L26" s="65">
        <v>19975</v>
      </c>
      <c r="M26" s="65">
        <v>0</v>
      </c>
      <c r="O26" s="1">
        <v>234526</v>
      </c>
      <c r="Q26" s="1">
        <v>13640931</v>
      </c>
      <c r="R26" s="1">
        <v>12950571</v>
      </c>
      <c r="T26" s="1">
        <v>769803</v>
      </c>
    </row>
    <row r="27" spans="1:20" ht="10.9" customHeight="1">
      <c r="A27" s="319" t="s">
        <v>296</v>
      </c>
      <c r="B27" s="1" t="s">
        <v>251</v>
      </c>
      <c r="C27" s="1">
        <v>3200</v>
      </c>
      <c r="D27" s="1">
        <v>0</v>
      </c>
      <c r="E27" s="1">
        <v>0</v>
      </c>
      <c r="F27" s="1">
        <v>0</v>
      </c>
      <c r="G27" s="1">
        <v>0</v>
      </c>
      <c r="H27" s="1">
        <v>0</v>
      </c>
      <c r="I27" s="1">
        <v>0</v>
      </c>
      <c r="J27" s="1">
        <v>0</v>
      </c>
      <c r="K27" s="65">
        <f t="shared" si="0"/>
        <v>3200</v>
      </c>
      <c r="L27" s="65">
        <v>69167</v>
      </c>
      <c r="M27" s="65">
        <v>0</v>
      </c>
      <c r="O27" s="1">
        <v>164673</v>
      </c>
      <c r="Q27" s="1">
        <v>8635634</v>
      </c>
      <c r="R27" s="1">
        <v>7549584</v>
      </c>
      <c r="T27" s="1">
        <v>462300</v>
      </c>
    </row>
    <row r="28" spans="1:20" ht="10.9" customHeight="1">
      <c r="A28" s="319" t="s">
        <v>297</v>
      </c>
      <c r="B28" s="1" t="s">
        <v>252</v>
      </c>
      <c r="C28" s="1">
        <v>101378</v>
      </c>
      <c r="D28" s="1">
        <v>0</v>
      </c>
      <c r="E28" s="1">
        <v>0</v>
      </c>
      <c r="F28" s="1">
        <v>0</v>
      </c>
      <c r="G28" s="1">
        <v>0</v>
      </c>
      <c r="H28" s="1">
        <v>0</v>
      </c>
      <c r="I28" s="1">
        <v>0</v>
      </c>
      <c r="J28" s="1">
        <v>0</v>
      </c>
      <c r="K28" s="65">
        <f t="shared" si="0"/>
        <v>101378</v>
      </c>
      <c r="L28" s="65">
        <v>22620</v>
      </c>
      <c r="M28" s="65">
        <v>0</v>
      </c>
      <c r="O28" s="1">
        <v>317147</v>
      </c>
      <c r="Q28" s="1">
        <v>8635804</v>
      </c>
      <c r="R28" s="1">
        <v>7818451</v>
      </c>
      <c r="T28" s="1">
        <v>390571</v>
      </c>
    </row>
    <row r="29" spans="1:20" ht="10.9" customHeight="1">
      <c r="A29" s="319" t="s">
        <v>298</v>
      </c>
      <c r="B29" s="1" t="s">
        <v>253</v>
      </c>
      <c r="C29" s="1">
        <v>1801209</v>
      </c>
      <c r="D29" s="1">
        <v>0</v>
      </c>
      <c r="E29" s="1">
        <v>0</v>
      </c>
      <c r="F29" s="1">
        <v>0</v>
      </c>
      <c r="G29" s="1">
        <v>630</v>
      </c>
      <c r="H29" s="1">
        <v>0</v>
      </c>
      <c r="I29" s="1">
        <v>0</v>
      </c>
      <c r="J29" s="1">
        <v>0</v>
      </c>
      <c r="K29" s="65">
        <f t="shared" si="0"/>
        <v>1801839</v>
      </c>
      <c r="L29" s="65">
        <v>80291</v>
      </c>
      <c r="M29" s="65">
        <v>715414</v>
      </c>
      <c r="O29" s="1">
        <v>467686</v>
      </c>
      <c r="Q29" s="1">
        <v>78407802</v>
      </c>
      <c r="R29" s="1">
        <v>73548113</v>
      </c>
      <c r="T29" s="1">
        <v>1706946</v>
      </c>
    </row>
    <row r="30" spans="1:20" ht="10.9" customHeight="1">
      <c r="A30" s="319" t="s">
        <v>299</v>
      </c>
      <c r="B30" s="1" t="s">
        <v>254</v>
      </c>
      <c r="C30" s="1">
        <v>38392</v>
      </c>
      <c r="D30" s="1">
        <v>0</v>
      </c>
      <c r="E30" s="1">
        <v>0</v>
      </c>
      <c r="F30" s="1">
        <v>0</v>
      </c>
      <c r="G30" s="1">
        <v>0</v>
      </c>
      <c r="H30" s="1">
        <v>0</v>
      </c>
      <c r="I30" s="1">
        <v>0</v>
      </c>
      <c r="J30" s="1">
        <v>0</v>
      </c>
      <c r="K30" s="65">
        <f t="shared" si="0"/>
        <v>38392</v>
      </c>
      <c r="L30" s="65">
        <v>20022</v>
      </c>
      <c r="M30" s="65">
        <v>0</v>
      </c>
      <c r="O30" s="1">
        <v>273276</v>
      </c>
      <c r="Q30" s="1">
        <v>5497134</v>
      </c>
      <c r="R30" s="1">
        <v>5164919</v>
      </c>
      <c r="T30" s="1">
        <v>209725</v>
      </c>
    </row>
    <row r="31" spans="1:20" ht="10.9" customHeight="1">
      <c r="A31" s="319" t="s">
        <v>300</v>
      </c>
      <c r="B31" s="1" t="s">
        <v>255</v>
      </c>
      <c r="C31" s="1">
        <v>49400</v>
      </c>
      <c r="D31" s="1">
        <v>0</v>
      </c>
      <c r="E31" s="1">
        <v>0</v>
      </c>
      <c r="F31" s="1">
        <v>0</v>
      </c>
      <c r="G31" s="1">
        <v>0</v>
      </c>
      <c r="H31" s="1">
        <v>0</v>
      </c>
      <c r="I31" s="1">
        <v>0</v>
      </c>
      <c r="J31" s="1">
        <v>0</v>
      </c>
      <c r="K31" s="65">
        <f t="shared" si="0"/>
        <v>49400</v>
      </c>
      <c r="L31" s="65">
        <v>37274</v>
      </c>
      <c r="M31" s="65">
        <v>0</v>
      </c>
      <c r="O31" s="1">
        <v>284341</v>
      </c>
      <c r="Q31" s="1">
        <v>14144429</v>
      </c>
      <c r="R31" s="1">
        <v>13621393</v>
      </c>
      <c r="T31" s="1">
        <v>594504</v>
      </c>
    </row>
    <row r="32" spans="1:20" ht="10.9" customHeight="1">
      <c r="A32" s="319" t="s">
        <v>301</v>
      </c>
      <c r="B32" s="1" t="s">
        <v>256</v>
      </c>
      <c r="C32" s="1">
        <v>241379</v>
      </c>
      <c r="D32" s="1">
        <v>0</v>
      </c>
      <c r="E32" s="1">
        <v>587</v>
      </c>
      <c r="F32" s="1">
        <v>0</v>
      </c>
      <c r="G32" s="1">
        <v>0</v>
      </c>
      <c r="H32" s="1">
        <v>4162</v>
      </c>
      <c r="I32" s="1">
        <v>0</v>
      </c>
      <c r="J32" s="1">
        <v>0</v>
      </c>
      <c r="K32" s="65">
        <f t="shared" si="0"/>
        <v>246128</v>
      </c>
      <c r="L32" s="65">
        <v>20292</v>
      </c>
      <c r="M32" s="65">
        <v>0</v>
      </c>
      <c r="O32" s="1">
        <v>353238</v>
      </c>
      <c r="Q32" s="1">
        <v>12017173</v>
      </c>
      <c r="R32" s="1">
        <v>10864064</v>
      </c>
      <c r="T32" s="1">
        <v>384514</v>
      </c>
    </row>
    <row r="33" spans="1:20" ht="10.9" customHeight="1">
      <c r="A33" s="319" t="s">
        <v>302</v>
      </c>
      <c r="B33" s="1" t="s">
        <v>257</v>
      </c>
      <c r="C33" s="1">
        <v>127528</v>
      </c>
      <c r="D33" s="1">
        <v>0</v>
      </c>
      <c r="E33" s="1">
        <v>0</v>
      </c>
      <c r="F33" s="1">
        <v>0</v>
      </c>
      <c r="G33" s="1">
        <v>955</v>
      </c>
      <c r="H33" s="1">
        <v>8893</v>
      </c>
      <c r="I33" s="1">
        <v>0</v>
      </c>
      <c r="J33" s="1">
        <v>0</v>
      </c>
      <c r="K33" s="65">
        <f t="shared" si="0"/>
        <v>137376</v>
      </c>
      <c r="L33" s="65">
        <v>31851</v>
      </c>
      <c r="M33" s="65">
        <v>0</v>
      </c>
      <c r="O33" s="1">
        <v>327209</v>
      </c>
      <c r="Q33" s="1">
        <v>12376962</v>
      </c>
      <c r="R33" s="1">
        <v>11482977</v>
      </c>
      <c r="T33" s="1">
        <v>493477</v>
      </c>
    </row>
    <row r="34" spans="1:20" ht="10.9" customHeight="1">
      <c r="A34" s="319" t="s">
        <v>303</v>
      </c>
      <c r="B34" s="1" t="s">
        <v>258</v>
      </c>
      <c r="C34" s="1">
        <v>318180</v>
      </c>
      <c r="D34" s="1">
        <v>8381</v>
      </c>
      <c r="E34" s="1">
        <v>0</v>
      </c>
      <c r="F34" s="1">
        <v>0</v>
      </c>
      <c r="G34" s="1">
        <v>0</v>
      </c>
      <c r="H34" s="1">
        <v>14877</v>
      </c>
      <c r="I34" s="1">
        <v>0</v>
      </c>
      <c r="J34" s="1">
        <v>0</v>
      </c>
      <c r="K34" s="65">
        <f t="shared" si="0"/>
        <v>341438</v>
      </c>
      <c r="L34" s="65">
        <v>35643</v>
      </c>
      <c r="M34" s="65">
        <v>0</v>
      </c>
      <c r="O34" s="1">
        <v>345374</v>
      </c>
      <c r="Q34" s="1">
        <v>13780970</v>
      </c>
      <c r="R34" s="1">
        <v>12911094</v>
      </c>
      <c r="T34" s="1">
        <v>369041</v>
      </c>
    </row>
    <row r="35" spans="1:20" ht="10.9" customHeight="1">
      <c r="A35" s="319" t="s">
        <v>304</v>
      </c>
      <c r="B35" s="1" t="s">
        <v>259</v>
      </c>
      <c r="C35" s="1">
        <v>478509</v>
      </c>
      <c r="D35" s="1">
        <v>0</v>
      </c>
      <c r="E35" s="1">
        <v>0</v>
      </c>
      <c r="F35" s="1">
        <v>0</v>
      </c>
      <c r="G35" s="1">
        <v>1700</v>
      </c>
      <c r="H35" s="1">
        <v>31047</v>
      </c>
      <c r="I35" s="1">
        <v>0</v>
      </c>
      <c r="J35" s="1">
        <v>0</v>
      </c>
      <c r="K35" s="65">
        <f t="shared" si="0"/>
        <v>511256</v>
      </c>
      <c r="L35" s="65">
        <v>61073</v>
      </c>
      <c r="M35" s="65">
        <v>408842</v>
      </c>
      <c r="O35" s="1">
        <v>317084</v>
      </c>
      <c r="Q35" s="1">
        <v>72047051</v>
      </c>
      <c r="R35" s="1">
        <v>70556528</v>
      </c>
      <c r="T35" s="1">
        <v>2444268</v>
      </c>
    </row>
    <row r="36" spans="1:20" ht="10.9" customHeight="1">
      <c r="A36" s="319" t="s">
        <v>305</v>
      </c>
      <c r="B36" s="1" t="s">
        <v>260</v>
      </c>
      <c r="C36" s="1">
        <v>267076</v>
      </c>
      <c r="D36" s="1">
        <v>0</v>
      </c>
      <c r="E36" s="1">
        <v>0</v>
      </c>
      <c r="F36" s="1">
        <v>0</v>
      </c>
      <c r="G36" s="1">
        <v>0</v>
      </c>
      <c r="H36" s="1">
        <v>1560</v>
      </c>
      <c r="I36" s="1">
        <v>0</v>
      </c>
      <c r="J36" s="1">
        <v>0</v>
      </c>
      <c r="K36" s="65">
        <f t="shared" si="0"/>
        <v>268636</v>
      </c>
      <c r="L36" s="65">
        <v>26279</v>
      </c>
      <c r="M36" s="65">
        <v>0</v>
      </c>
      <c r="O36" s="1">
        <v>368678</v>
      </c>
      <c r="Q36" s="1">
        <v>9807077</v>
      </c>
      <c r="R36" s="1">
        <v>9043186</v>
      </c>
      <c r="T36" s="1">
        <v>321655</v>
      </c>
    </row>
    <row r="37" spans="1:20" ht="10.9" customHeight="1">
      <c r="A37" s="319" t="s">
        <v>306</v>
      </c>
      <c r="B37" s="1" t="s">
        <v>261</v>
      </c>
      <c r="C37" s="1">
        <v>494684</v>
      </c>
      <c r="D37" s="1">
        <v>77299</v>
      </c>
      <c r="E37" s="1">
        <v>0</v>
      </c>
      <c r="F37" s="1">
        <v>0</v>
      </c>
      <c r="G37" s="1">
        <v>0</v>
      </c>
      <c r="H37" s="1">
        <v>9350</v>
      </c>
      <c r="I37" s="1">
        <v>0</v>
      </c>
      <c r="J37" s="1">
        <v>0</v>
      </c>
      <c r="K37" s="65">
        <f t="shared" si="0"/>
        <v>581333</v>
      </c>
      <c r="L37" s="65">
        <v>36272</v>
      </c>
      <c r="M37" s="65">
        <v>0</v>
      </c>
      <c r="O37" s="1">
        <v>241693</v>
      </c>
      <c r="Q37" s="1">
        <v>20480702</v>
      </c>
      <c r="R37" s="1">
        <v>17901608</v>
      </c>
      <c r="T37" s="1">
        <v>578935</v>
      </c>
    </row>
    <row r="38" spans="1:20" ht="10.9" customHeight="1">
      <c r="A38" s="319" t="s">
        <v>307</v>
      </c>
      <c r="B38" s="1" t="s">
        <v>262</v>
      </c>
      <c r="C38" s="1">
        <v>937253</v>
      </c>
      <c r="D38" s="1">
        <v>257399</v>
      </c>
      <c r="E38" s="1">
        <v>22500</v>
      </c>
      <c r="F38" s="1">
        <v>2700</v>
      </c>
      <c r="G38" s="1">
        <v>-25200</v>
      </c>
      <c r="H38" s="1">
        <v>96226</v>
      </c>
      <c r="I38" s="1">
        <v>0</v>
      </c>
      <c r="J38" s="1">
        <v>0</v>
      </c>
      <c r="K38" s="65">
        <f t="shared" si="0"/>
        <v>1290878</v>
      </c>
      <c r="L38" s="65">
        <v>57174</v>
      </c>
      <c r="M38" s="65">
        <v>0</v>
      </c>
      <c r="O38" s="1">
        <v>253452</v>
      </c>
      <c r="Q38" s="1">
        <v>46010365</v>
      </c>
      <c r="R38" s="1">
        <v>40646531</v>
      </c>
      <c r="T38" s="1">
        <v>1205270</v>
      </c>
    </row>
    <row r="39" spans="1:20" ht="10.9" customHeight="1">
      <c r="A39" s="319" t="s">
        <v>308</v>
      </c>
      <c r="B39" s="1" t="s">
        <v>263</v>
      </c>
      <c r="C39" s="1">
        <v>115514</v>
      </c>
      <c r="D39" s="1">
        <v>0</v>
      </c>
      <c r="E39" s="1">
        <v>0</v>
      </c>
      <c r="F39" s="1">
        <v>0</v>
      </c>
      <c r="G39" s="1">
        <v>0</v>
      </c>
      <c r="H39" s="1">
        <v>0</v>
      </c>
      <c r="I39" s="1">
        <v>0</v>
      </c>
      <c r="J39" s="1">
        <v>0</v>
      </c>
      <c r="K39" s="65">
        <f t="shared" si="0"/>
        <v>115514</v>
      </c>
      <c r="L39" s="65">
        <v>24613</v>
      </c>
      <c r="M39" s="65">
        <v>0</v>
      </c>
      <c r="O39" s="1">
        <v>411560</v>
      </c>
      <c r="Q39" s="1">
        <v>10180110</v>
      </c>
      <c r="R39" s="1">
        <v>9421654</v>
      </c>
      <c r="T39" s="1">
        <v>312673</v>
      </c>
    </row>
    <row r="40" spans="1:20" ht="10.9" customHeight="1">
      <c r="A40" s="319" t="s">
        <v>309</v>
      </c>
      <c r="B40" s="1" t="s">
        <v>264</v>
      </c>
      <c r="C40" s="1">
        <v>461143</v>
      </c>
      <c r="D40" s="1">
        <v>0</v>
      </c>
      <c r="E40" s="1">
        <v>0</v>
      </c>
      <c r="F40" s="1">
        <v>5595</v>
      </c>
      <c r="G40" s="1">
        <v>0</v>
      </c>
      <c r="H40" s="1">
        <v>0</v>
      </c>
      <c r="I40" s="1">
        <v>0</v>
      </c>
      <c r="J40" s="1">
        <v>0</v>
      </c>
      <c r="K40" s="65">
        <f t="shared" si="0"/>
        <v>466738</v>
      </c>
      <c r="L40" s="65">
        <v>1129</v>
      </c>
      <c r="M40" s="65">
        <v>291472</v>
      </c>
      <c r="O40" s="1">
        <v>460518</v>
      </c>
      <c r="Q40" s="1">
        <v>49634025</v>
      </c>
      <c r="R40" s="1">
        <v>46153502</v>
      </c>
      <c r="T40" s="1">
        <v>1420105</v>
      </c>
    </row>
    <row r="41" spans="1:20" ht="10.9" customHeight="1">
      <c r="A41" s="319" t="s">
        <v>310</v>
      </c>
      <c r="B41" s="1" t="s">
        <v>265</v>
      </c>
      <c r="C41" s="1">
        <v>557974</v>
      </c>
      <c r="D41" s="1">
        <v>114868</v>
      </c>
      <c r="E41" s="1">
        <v>30000</v>
      </c>
      <c r="F41" s="1">
        <v>0</v>
      </c>
      <c r="G41" s="1">
        <v>-16489</v>
      </c>
      <c r="H41" s="1">
        <v>0</v>
      </c>
      <c r="I41" s="1">
        <v>0</v>
      </c>
      <c r="J41" s="1">
        <v>0</v>
      </c>
      <c r="K41" s="65">
        <f t="shared" si="0"/>
        <v>686353</v>
      </c>
      <c r="L41" s="65">
        <v>27129</v>
      </c>
      <c r="M41" s="65">
        <v>0</v>
      </c>
      <c r="O41" s="1">
        <v>380895</v>
      </c>
      <c r="Q41" s="1">
        <v>30308377</v>
      </c>
      <c r="R41" s="1">
        <v>27328680</v>
      </c>
      <c r="T41" s="1">
        <v>725900</v>
      </c>
    </row>
    <row r="42" spans="1:20" ht="10.9" customHeight="1">
      <c r="A42" s="319" t="s">
        <v>311</v>
      </c>
      <c r="B42" s="1" t="s">
        <v>266</v>
      </c>
      <c r="C42" s="1">
        <v>0</v>
      </c>
      <c r="D42" s="1">
        <v>0</v>
      </c>
      <c r="E42" s="1">
        <v>0</v>
      </c>
      <c r="F42" s="1">
        <v>0</v>
      </c>
      <c r="G42" s="1">
        <v>0</v>
      </c>
      <c r="H42" s="1">
        <v>0</v>
      </c>
      <c r="I42" s="1">
        <v>0</v>
      </c>
      <c r="J42" s="1">
        <v>0</v>
      </c>
      <c r="K42" s="65">
        <f t="shared" si="0"/>
        <v>0</v>
      </c>
      <c r="L42" s="65">
        <v>25957</v>
      </c>
      <c r="M42" s="65">
        <v>0</v>
      </c>
      <c r="O42" s="1">
        <v>232150</v>
      </c>
      <c r="Q42" s="1">
        <v>7421514</v>
      </c>
      <c r="R42" s="1">
        <v>6365017</v>
      </c>
      <c r="T42" s="1">
        <v>322621</v>
      </c>
    </row>
    <row r="43" spans="1:20" ht="10.9" customHeight="1">
      <c r="A43" s="319" t="s">
        <v>312</v>
      </c>
      <c r="B43" s="1" t="s">
        <v>267</v>
      </c>
      <c r="C43" s="1">
        <v>24050</v>
      </c>
      <c r="D43" s="1">
        <v>0</v>
      </c>
      <c r="E43" s="1">
        <v>0</v>
      </c>
      <c r="F43" s="1">
        <v>0</v>
      </c>
      <c r="G43" s="1">
        <v>0</v>
      </c>
      <c r="H43" s="1">
        <v>0</v>
      </c>
      <c r="I43" s="1">
        <v>0</v>
      </c>
      <c r="J43" s="1">
        <v>0</v>
      </c>
      <c r="K43" s="65">
        <f>SUM(C43:I43)-J43</f>
        <v>24050</v>
      </c>
      <c r="L43" s="65">
        <v>17243</v>
      </c>
      <c r="M43" s="65">
        <v>0</v>
      </c>
      <c r="O43" s="1">
        <v>348361</v>
      </c>
      <c r="Q43" s="1">
        <v>5345377</v>
      </c>
      <c r="R43" s="1">
        <v>5345377</v>
      </c>
      <c r="T43" s="1">
        <v>182598</v>
      </c>
    </row>
    <row r="44" spans="1:20" ht="10.9" customHeight="1">
      <c r="A44" s="319" t="s">
        <v>313</v>
      </c>
      <c r="B44" s="1" t="s">
        <v>268</v>
      </c>
      <c r="C44" s="1">
        <v>193220</v>
      </c>
      <c r="D44" s="1">
        <v>0</v>
      </c>
      <c r="E44" s="1">
        <v>0</v>
      </c>
      <c r="F44" s="1">
        <v>0</v>
      </c>
      <c r="G44" s="1">
        <v>0</v>
      </c>
      <c r="H44" s="1">
        <v>0</v>
      </c>
      <c r="I44" s="1">
        <v>2661</v>
      </c>
      <c r="J44" s="1">
        <v>0</v>
      </c>
      <c r="K44" s="65">
        <f>SUM(C44:I44)-J44</f>
        <v>195881</v>
      </c>
      <c r="L44" s="65">
        <v>10067</v>
      </c>
      <c r="M44" s="65">
        <v>0</v>
      </c>
      <c r="O44" s="1">
        <v>182473</v>
      </c>
      <c r="Q44" s="1">
        <v>3280061</v>
      </c>
      <c r="R44" s="1">
        <v>2811142</v>
      </c>
      <c r="T44" s="1">
        <v>179107</v>
      </c>
    </row>
    <row r="45" spans="1:20" ht="10.9" customHeight="1">
      <c r="A45" s="319" t="s">
        <v>314</v>
      </c>
      <c r="B45" s="1" t="s">
        <v>269</v>
      </c>
      <c r="C45" s="1">
        <v>125865</v>
      </c>
      <c r="D45" s="1">
        <v>0</v>
      </c>
      <c r="E45" s="1">
        <v>6758</v>
      </c>
      <c r="F45" s="1">
        <v>0</v>
      </c>
      <c r="G45" s="1">
        <v>-6758</v>
      </c>
      <c r="H45" s="1">
        <v>0</v>
      </c>
      <c r="I45" s="1">
        <v>0</v>
      </c>
      <c r="J45" s="1">
        <v>0</v>
      </c>
      <c r="K45" s="65">
        <f>SUM(C45:I45)-J45</f>
        <v>125865</v>
      </c>
      <c r="L45" s="65">
        <v>16992</v>
      </c>
      <c r="M45" s="65">
        <v>0</v>
      </c>
      <c r="O45" s="1">
        <v>237925</v>
      </c>
      <c r="Q45" s="1">
        <v>6811218</v>
      </c>
      <c r="R45" s="1">
        <v>6811218</v>
      </c>
      <c r="T45" s="1">
        <v>205164</v>
      </c>
    </row>
    <row r="46" spans="1:20" ht="10.9" customHeight="1">
      <c r="A46" s="319" t="s">
        <v>315</v>
      </c>
      <c r="B46" s="1" t="s">
        <v>270</v>
      </c>
      <c r="C46" s="1">
        <v>1965562</v>
      </c>
      <c r="D46" s="1">
        <v>264094</v>
      </c>
      <c r="E46" s="1">
        <v>0</v>
      </c>
      <c r="F46" s="1">
        <v>0</v>
      </c>
      <c r="G46" s="1">
        <v>8023</v>
      </c>
      <c r="H46" s="1">
        <v>74545</v>
      </c>
      <c r="I46" s="1">
        <v>0</v>
      </c>
      <c r="J46" s="1">
        <v>0</v>
      </c>
      <c r="K46" s="65">
        <f>SUM(C46:I46)-J46</f>
        <v>2312224</v>
      </c>
      <c r="L46" s="65">
        <v>0</v>
      </c>
      <c r="M46" s="65">
        <v>179766</v>
      </c>
      <c r="O46" s="1">
        <v>312832</v>
      </c>
      <c r="Q46" s="1">
        <v>152182294</v>
      </c>
      <c r="R46" s="1">
        <v>142601898</v>
      </c>
      <c r="T46" s="1">
        <v>4978503</v>
      </c>
    </row>
    <row r="47" spans="1:20" ht="3.95" customHeight="1">
      <c r="A47" s="319"/>
      <c r="T47"/>
    </row>
    <row r="48" spans="1:20">
      <c r="A48" s="319"/>
      <c r="B48" s="1" t="s">
        <v>271</v>
      </c>
      <c r="C48" s="1">
        <f t="shared" ref="C48:M48" si="1">SUM(C11:C46)</f>
        <v>15319332</v>
      </c>
      <c r="D48" s="1">
        <f t="shared" si="1"/>
        <v>1175746</v>
      </c>
      <c r="E48" s="1">
        <f t="shared" si="1"/>
        <v>1284865</v>
      </c>
      <c r="F48" s="1">
        <f t="shared" si="1"/>
        <v>31307</v>
      </c>
      <c r="G48" s="1">
        <f t="shared" si="1"/>
        <v>97299</v>
      </c>
      <c r="H48" s="1">
        <f t="shared" si="1"/>
        <v>378509</v>
      </c>
      <c r="I48" s="1">
        <f t="shared" si="1"/>
        <v>206904</v>
      </c>
      <c r="J48" s="1">
        <f t="shared" si="1"/>
        <v>0</v>
      </c>
      <c r="K48" s="1">
        <f t="shared" si="1"/>
        <v>18493962</v>
      </c>
      <c r="L48" s="1">
        <f t="shared" si="1"/>
        <v>1019084</v>
      </c>
      <c r="M48" s="1">
        <f t="shared" si="1"/>
        <v>2047832</v>
      </c>
      <c r="O48" s="1">
        <v>317648.67153662862</v>
      </c>
      <c r="Q48" s="1">
        <v>832857207</v>
      </c>
      <c r="R48" s="1">
        <v>771438893</v>
      </c>
      <c r="T48" s="1">
        <f>SUM(T11:T46)</f>
        <v>28387768</v>
      </c>
    </row>
    <row r="49" spans="1:20" ht="3.95" customHeight="1">
      <c r="A49" s="319"/>
      <c r="B49" s="1" t="s">
        <v>17</v>
      </c>
    </row>
    <row r="50" spans="1:20" ht="10.9" customHeight="1">
      <c r="A50" s="319" t="s">
        <v>317</v>
      </c>
      <c r="B50" s="1" t="s">
        <v>272</v>
      </c>
      <c r="C50" s="1">
        <v>0</v>
      </c>
      <c r="D50" s="1">
        <v>0</v>
      </c>
      <c r="E50" s="1">
        <v>0</v>
      </c>
      <c r="F50" s="1">
        <v>0</v>
      </c>
      <c r="G50" s="1">
        <v>0</v>
      </c>
      <c r="H50" s="1">
        <v>0</v>
      </c>
      <c r="I50" s="1">
        <v>0</v>
      </c>
      <c r="J50" s="1">
        <v>0</v>
      </c>
      <c r="K50" s="65">
        <f>SUM(C50:I50)-J50</f>
        <v>0</v>
      </c>
      <c r="L50" s="65">
        <v>923</v>
      </c>
      <c r="M50" s="65">
        <v>0</v>
      </c>
      <c r="T50" s="557">
        <v>72531</v>
      </c>
    </row>
    <row r="51" spans="1:20">
      <c r="A51" s="319" t="s">
        <v>316</v>
      </c>
      <c r="B51" s="1" t="s">
        <v>273</v>
      </c>
      <c r="C51" s="1">
        <v>470131</v>
      </c>
      <c r="D51" s="1">
        <v>0</v>
      </c>
      <c r="E51" s="1">
        <v>189782</v>
      </c>
      <c r="F51" s="1">
        <v>160770</v>
      </c>
      <c r="G51" s="1">
        <v>0</v>
      </c>
      <c r="H51" s="1">
        <v>0</v>
      </c>
      <c r="I51" s="1">
        <v>0</v>
      </c>
      <c r="J51" s="1">
        <v>0</v>
      </c>
      <c r="K51" s="65">
        <f>SUM(C51:I51)-J51</f>
        <v>820683</v>
      </c>
      <c r="L51" s="65">
        <v>0</v>
      </c>
      <c r="M51" s="65">
        <v>0</v>
      </c>
    </row>
    <row r="88" spans="2:3">
      <c r="B88" s="1" t="s">
        <v>535</v>
      </c>
    </row>
    <row r="89" spans="2:3">
      <c r="B89" s="319">
        <f>+FALLYR-1</f>
        <v>2011</v>
      </c>
      <c r="C89" s="1" t="s">
        <v>536</v>
      </c>
    </row>
    <row r="90" spans="2:3">
      <c r="B90" s="319"/>
    </row>
    <row r="91" spans="2:3">
      <c r="B91" s="319"/>
    </row>
  </sheetData>
  <phoneticPr fontId="6" type="noConversion"/>
  <pageMargins left="0.5" right="0.5" top="0.6" bottom="0.2" header="0.3" footer="0.5"/>
  <pageSetup scale="87" orientation="landscape" horizontalDpi="4294967292" r:id="rId1"/>
  <headerFooter alignWithMargins="0"/>
  <legacyDrawing r:id="rId2"/>
</worksheet>
</file>

<file path=xl/worksheets/sheet7.xml><?xml version="1.0" encoding="utf-8"?>
<worksheet xmlns="http://schemas.openxmlformats.org/spreadsheetml/2006/main" xmlns:r="http://schemas.openxmlformats.org/officeDocument/2006/relationships">
  <sheetPr codeName="Sheet5">
    <pageSetUpPr fitToPage="1"/>
  </sheetPr>
  <dimension ref="A1:H57"/>
  <sheetViews>
    <sheetView showGridLines="0" showZeros="0" workbookViewId="0"/>
  </sheetViews>
  <sheetFormatPr defaultColWidth="16.83203125" defaultRowHeight="12"/>
  <cols>
    <col min="1" max="1" width="32.83203125" style="1" customWidth="1"/>
    <col min="2" max="6" width="16.83203125" style="1" customWidth="1"/>
    <col min="7" max="16384" width="16.83203125" style="1"/>
  </cols>
  <sheetData>
    <row r="1" spans="1:7" ht="6.95" customHeight="1">
      <c r="A1" s="6"/>
      <c r="B1" s="7"/>
      <c r="C1" s="7"/>
      <c r="D1" s="7"/>
      <c r="E1" s="7"/>
      <c r="F1" s="7"/>
      <c r="G1" s="7"/>
    </row>
    <row r="2" spans="1:7" ht="15.95" customHeight="1">
      <c r="A2" s="71"/>
      <c r="B2" s="81" t="s">
        <v>184</v>
      </c>
      <c r="C2" s="9"/>
      <c r="D2" s="9"/>
      <c r="E2" s="9"/>
      <c r="F2" s="82"/>
      <c r="G2" s="82"/>
    </row>
    <row r="3" spans="1:7" ht="15.95" customHeight="1">
      <c r="A3" s="73"/>
      <c r="B3" s="83" t="s">
        <v>358</v>
      </c>
      <c r="C3" s="11"/>
      <c r="D3" s="11"/>
      <c r="E3" s="11"/>
      <c r="F3" s="84"/>
      <c r="G3" s="84"/>
    </row>
    <row r="4" spans="1:7" ht="15.95" customHeight="1">
      <c r="B4" s="7"/>
      <c r="C4" s="7"/>
      <c r="D4" s="7"/>
      <c r="E4" s="7"/>
      <c r="F4" s="7"/>
      <c r="G4" s="7"/>
    </row>
    <row r="5" spans="1:7" ht="15.95" customHeight="1"/>
    <row r="6" spans="1:7" ht="15.95" customHeight="1">
      <c r="B6" s="720" t="s">
        <v>396</v>
      </c>
      <c r="C6" s="721"/>
      <c r="D6" s="722"/>
      <c r="E6" s="723" t="s">
        <v>397</v>
      </c>
      <c r="F6" s="723" t="s">
        <v>398</v>
      </c>
      <c r="G6" s="724" t="s">
        <v>398</v>
      </c>
    </row>
    <row r="7" spans="1:7" ht="15.95" customHeight="1">
      <c r="B7" s="745" t="s">
        <v>737</v>
      </c>
      <c r="C7" s="746"/>
      <c r="D7" s="747"/>
      <c r="E7" s="514" t="s">
        <v>737</v>
      </c>
      <c r="F7" s="612" t="s">
        <v>714</v>
      </c>
      <c r="G7" s="612" t="s">
        <v>702</v>
      </c>
    </row>
    <row r="8" spans="1:7" ht="15.95" customHeight="1">
      <c r="A8" s="538"/>
      <c r="B8" s="725" t="s">
        <v>445</v>
      </c>
      <c r="C8" s="85" t="s">
        <v>84</v>
      </c>
      <c r="D8" s="86" t="s">
        <v>420</v>
      </c>
      <c r="E8" s="14" t="s">
        <v>421</v>
      </c>
      <c r="F8" s="14" t="s">
        <v>420</v>
      </c>
      <c r="G8" s="726" t="s">
        <v>420</v>
      </c>
    </row>
    <row r="9" spans="1:7" ht="15.95" customHeight="1">
      <c r="A9" s="539" t="s">
        <v>94</v>
      </c>
      <c r="B9" s="727" t="s">
        <v>185</v>
      </c>
      <c r="C9" s="728" t="s">
        <v>185</v>
      </c>
      <c r="D9" s="728" t="s">
        <v>185</v>
      </c>
      <c r="E9" s="729" t="s">
        <v>185</v>
      </c>
      <c r="F9" s="730" t="s">
        <v>185</v>
      </c>
      <c r="G9" s="731" t="s">
        <v>185</v>
      </c>
    </row>
    <row r="10" spans="1:7" ht="5.0999999999999996" customHeight="1">
      <c r="A10" s="5"/>
    </row>
    <row r="11" spans="1:7" ht="14.1" customHeight="1">
      <c r="A11" s="330" t="s">
        <v>236</v>
      </c>
      <c r="B11" s="331">
        <v>1566</v>
      </c>
      <c r="C11" s="331">
        <v>0</v>
      </c>
      <c r="D11" s="331">
        <f>+B11-C11</f>
        <v>1566</v>
      </c>
      <c r="E11" s="337">
        <f>'- 7 -'!E11</f>
        <v>1501.5</v>
      </c>
      <c r="F11" s="337">
        <v>1428.5</v>
      </c>
      <c r="G11" s="337">
        <v>1448.2</v>
      </c>
    </row>
    <row r="12" spans="1:7" ht="14.1" customHeight="1">
      <c r="A12" s="26" t="s">
        <v>237</v>
      </c>
      <c r="B12" s="27">
        <v>2323</v>
      </c>
      <c r="C12" s="27">
        <v>0</v>
      </c>
      <c r="D12" s="27">
        <f t="shared" ref="D12:D46" si="0">+B12-C12</f>
        <v>2323</v>
      </c>
      <c r="E12" s="79">
        <f>'- 7 -'!E12</f>
        <v>2286.8000000000002</v>
      </c>
      <c r="F12" s="79">
        <v>2190</v>
      </c>
      <c r="G12" s="79">
        <v>2239.3000000000002</v>
      </c>
    </row>
    <row r="13" spans="1:7" ht="14.1" customHeight="1">
      <c r="A13" s="330" t="s">
        <v>238</v>
      </c>
      <c r="B13" s="331">
        <v>8203</v>
      </c>
      <c r="C13" s="331">
        <v>0</v>
      </c>
      <c r="D13" s="331">
        <f t="shared" si="0"/>
        <v>8203</v>
      </c>
      <c r="E13" s="337">
        <f>'- 7 -'!E13</f>
        <v>7848.5</v>
      </c>
      <c r="F13" s="337">
        <v>7522.4</v>
      </c>
      <c r="G13" s="337">
        <v>7334</v>
      </c>
    </row>
    <row r="14" spans="1:7" ht="14.1" customHeight="1">
      <c r="A14" s="26" t="s">
        <v>656</v>
      </c>
      <c r="B14" s="27">
        <v>5094</v>
      </c>
      <c r="C14" s="27">
        <v>0</v>
      </c>
      <c r="D14" s="27">
        <f t="shared" si="0"/>
        <v>5094</v>
      </c>
      <c r="E14" s="79">
        <f>'- 7 -'!E14</f>
        <v>5094</v>
      </c>
      <c r="F14" s="79">
        <v>4705.1000000000004</v>
      </c>
      <c r="G14" s="79">
        <v>4700.5</v>
      </c>
    </row>
    <row r="15" spans="1:7" ht="14.1" customHeight="1">
      <c r="A15" s="330" t="s">
        <v>239</v>
      </c>
      <c r="B15" s="331">
        <v>1598</v>
      </c>
      <c r="C15" s="331">
        <v>0</v>
      </c>
      <c r="D15" s="331">
        <f t="shared" si="0"/>
        <v>1598</v>
      </c>
      <c r="E15" s="337">
        <f>'- 7 -'!E15</f>
        <v>1544</v>
      </c>
      <c r="F15" s="337">
        <v>1499.6</v>
      </c>
      <c r="G15" s="337">
        <v>1541.2</v>
      </c>
    </row>
    <row r="16" spans="1:7" ht="14.1" customHeight="1">
      <c r="A16" s="26" t="s">
        <v>240</v>
      </c>
      <c r="B16" s="27">
        <v>1036</v>
      </c>
      <c r="C16" s="27">
        <v>0</v>
      </c>
      <c r="D16" s="27">
        <f t="shared" si="0"/>
        <v>1036</v>
      </c>
      <c r="E16" s="79">
        <f>'- 7 -'!E16</f>
        <v>992.5</v>
      </c>
      <c r="F16" s="79">
        <v>959.4</v>
      </c>
      <c r="G16" s="79">
        <v>991.1</v>
      </c>
    </row>
    <row r="17" spans="1:7" ht="14.1" customHeight="1">
      <c r="A17" s="330" t="s">
        <v>241</v>
      </c>
      <c r="B17" s="331">
        <v>1352</v>
      </c>
      <c r="C17" s="331">
        <v>0</v>
      </c>
      <c r="D17" s="331">
        <f t="shared" si="0"/>
        <v>1352</v>
      </c>
      <c r="E17" s="337">
        <f>'- 7 -'!E17</f>
        <v>1295.4714285714288</v>
      </c>
      <c r="F17" s="337">
        <v>1273.7</v>
      </c>
      <c r="G17" s="337">
        <v>1295.5</v>
      </c>
    </row>
    <row r="18" spans="1:7" ht="14.1" customHeight="1">
      <c r="A18" s="26" t="s">
        <v>242</v>
      </c>
      <c r="B18" s="27">
        <v>6553</v>
      </c>
      <c r="C18" s="27">
        <v>507</v>
      </c>
      <c r="D18" s="27">
        <f t="shared" si="0"/>
        <v>6046</v>
      </c>
      <c r="E18" s="79">
        <f>'- 7 -'!E18</f>
        <v>5776</v>
      </c>
      <c r="F18" s="79">
        <v>2482.9</v>
      </c>
      <c r="G18" s="79">
        <v>2566.4</v>
      </c>
    </row>
    <row r="19" spans="1:7" ht="14.1" customHeight="1">
      <c r="A19" s="330" t="s">
        <v>243</v>
      </c>
      <c r="B19" s="331">
        <v>4340</v>
      </c>
      <c r="C19" s="331">
        <v>0</v>
      </c>
      <c r="D19" s="331">
        <f t="shared" si="0"/>
        <v>4340</v>
      </c>
      <c r="E19" s="337">
        <f>'- 7 -'!E19</f>
        <v>4189.3</v>
      </c>
      <c r="F19" s="337">
        <v>4113.6000000000004</v>
      </c>
      <c r="G19" s="337">
        <v>4116</v>
      </c>
    </row>
    <row r="20" spans="1:7" ht="14.1" customHeight="1">
      <c r="A20" s="26" t="s">
        <v>244</v>
      </c>
      <c r="B20" s="27">
        <v>7708</v>
      </c>
      <c r="C20" s="27">
        <v>0</v>
      </c>
      <c r="D20" s="27">
        <f t="shared" si="0"/>
        <v>7708</v>
      </c>
      <c r="E20" s="79">
        <f>'- 7 -'!E20</f>
        <v>7390.5</v>
      </c>
      <c r="F20" s="79">
        <v>7288</v>
      </c>
      <c r="G20" s="79">
        <v>7222.2</v>
      </c>
    </row>
    <row r="21" spans="1:7" ht="14.1" customHeight="1">
      <c r="A21" s="330" t="s">
        <v>245</v>
      </c>
      <c r="B21" s="331">
        <v>2859</v>
      </c>
      <c r="C21" s="331">
        <v>0</v>
      </c>
      <c r="D21" s="331">
        <f t="shared" si="0"/>
        <v>2859</v>
      </c>
      <c r="E21" s="337">
        <f>'- 7 -'!E21</f>
        <v>2758.5</v>
      </c>
      <c r="F21" s="337">
        <v>2836.4</v>
      </c>
      <c r="G21" s="337">
        <v>2884.6</v>
      </c>
    </row>
    <row r="22" spans="1:7" ht="14.1" customHeight="1">
      <c r="A22" s="26" t="s">
        <v>246</v>
      </c>
      <c r="B22" s="27">
        <v>1689</v>
      </c>
      <c r="C22" s="27">
        <v>0</v>
      </c>
      <c r="D22" s="27">
        <f t="shared" si="0"/>
        <v>1689</v>
      </c>
      <c r="E22" s="79">
        <f>'- 7 -'!E22</f>
        <v>1595.5</v>
      </c>
      <c r="F22" s="79">
        <v>1565.2</v>
      </c>
      <c r="G22" s="79">
        <v>1593.5</v>
      </c>
    </row>
    <row r="23" spans="1:7" ht="14.1" customHeight="1">
      <c r="A23" s="330" t="s">
        <v>247</v>
      </c>
      <c r="B23" s="331">
        <v>1228</v>
      </c>
      <c r="C23" s="331">
        <v>0</v>
      </c>
      <c r="D23" s="331">
        <f t="shared" si="0"/>
        <v>1228</v>
      </c>
      <c r="E23" s="337">
        <f>'- 7 -'!E23</f>
        <v>1185.5</v>
      </c>
      <c r="F23" s="337">
        <v>1068.9000000000001</v>
      </c>
      <c r="G23" s="337">
        <v>1112.5999999999999</v>
      </c>
    </row>
    <row r="24" spans="1:7" ht="14.1" customHeight="1">
      <c r="A24" s="26" t="s">
        <v>248</v>
      </c>
      <c r="B24" s="27">
        <v>4393</v>
      </c>
      <c r="C24" s="27">
        <v>0</v>
      </c>
      <c r="D24" s="27">
        <f t="shared" si="0"/>
        <v>4393</v>
      </c>
      <c r="E24" s="79">
        <f>'- 7 -'!E24</f>
        <v>4243.7</v>
      </c>
      <c r="F24" s="79">
        <v>4237.6000000000004</v>
      </c>
      <c r="G24" s="79">
        <v>4271.8999999999996</v>
      </c>
    </row>
    <row r="25" spans="1:7" ht="14.1" customHeight="1">
      <c r="A25" s="330" t="s">
        <v>249</v>
      </c>
      <c r="B25" s="331">
        <v>14288</v>
      </c>
      <c r="C25" s="331">
        <v>0</v>
      </c>
      <c r="D25" s="331">
        <f t="shared" si="0"/>
        <v>14288</v>
      </c>
      <c r="E25" s="337">
        <f>'- 7 -'!E25</f>
        <v>13705.8</v>
      </c>
      <c r="F25" s="337">
        <v>13592.8</v>
      </c>
      <c r="G25" s="337">
        <v>13609.7</v>
      </c>
    </row>
    <row r="26" spans="1:7" ht="14.1" customHeight="1">
      <c r="A26" s="26" t="s">
        <v>250</v>
      </c>
      <c r="B26" s="27">
        <v>3214</v>
      </c>
      <c r="C26" s="27">
        <v>0</v>
      </c>
      <c r="D26" s="27">
        <f t="shared" si="0"/>
        <v>3214</v>
      </c>
      <c r="E26" s="79">
        <f>'- 7 -'!E26</f>
        <v>3107.5</v>
      </c>
      <c r="F26" s="79">
        <v>2948.8</v>
      </c>
      <c r="G26" s="79">
        <v>2991.4</v>
      </c>
    </row>
    <row r="27" spans="1:7" ht="14.1" customHeight="1">
      <c r="A27" s="330" t="s">
        <v>251</v>
      </c>
      <c r="B27" s="331">
        <v>2869</v>
      </c>
      <c r="C27" s="331">
        <v>0</v>
      </c>
      <c r="D27" s="331">
        <f t="shared" si="0"/>
        <v>2869</v>
      </c>
      <c r="E27" s="337">
        <f>'- 7 -'!E27</f>
        <v>2739.04</v>
      </c>
      <c r="F27" s="337">
        <v>2748.3</v>
      </c>
      <c r="G27" s="337">
        <v>2802.6</v>
      </c>
    </row>
    <row r="28" spans="1:7" ht="14.1" customHeight="1">
      <c r="A28" s="26" t="s">
        <v>252</v>
      </c>
      <c r="B28" s="27">
        <v>2064</v>
      </c>
      <c r="C28" s="27">
        <v>0</v>
      </c>
      <c r="D28" s="27">
        <f t="shared" si="0"/>
        <v>2064</v>
      </c>
      <c r="E28" s="79">
        <f>'- 7 -'!E28</f>
        <v>1984.5</v>
      </c>
      <c r="F28" s="79">
        <v>1528.5</v>
      </c>
      <c r="G28" s="79">
        <v>1569.4</v>
      </c>
    </row>
    <row r="29" spans="1:7" ht="14.1" customHeight="1">
      <c r="A29" s="330" t="s">
        <v>253</v>
      </c>
      <c r="B29" s="331">
        <v>12691</v>
      </c>
      <c r="C29" s="331">
        <v>0</v>
      </c>
      <c r="D29" s="331">
        <f t="shared" si="0"/>
        <v>12691</v>
      </c>
      <c r="E29" s="337">
        <f>'- 7 -'!E29</f>
        <v>12172.400000000001</v>
      </c>
      <c r="F29" s="337">
        <v>12073.8</v>
      </c>
      <c r="G29" s="337">
        <v>12020.5</v>
      </c>
    </row>
    <row r="30" spans="1:7" ht="14.1" customHeight="1">
      <c r="A30" s="26" t="s">
        <v>254</v>
      </c>
      <c r="B30" s="27">
        <v>1116</v>
      </c>
      <c r="C30" s="27">
        <v>0</v>
      </c>
      <c r="D30" s="27">
        <f t="shared" si="0"/>
        <v>1116</v>
      </c>
      <c r="E30" s="79">
        <f>'- 7 -'!E30</f>
        <v>1077.8</v>
      </c>
      <c r="F30" s="79">
        <v>1097</v>
      </c>
      <c r="G30" s="79">
        <v>1126</v>
      </c>
    </row>
    <row r="31" spans="1:7" ht="14.1" customHeight="1">
      <c r="A31" s="330" t="s">
        <v>255</v>
      </c>
      <c r="B31" s="331">
        <v>3299</v>
      </c>
      <c r="C31" s="331">
        <v>0</v>
      </c>
      <c r="D31" s="331">
        <f t="shared" si="0"/>
        <v>3299</v>
      </c>
      <c r="E31" s="337">
        <f>'- 7 -'!E31</f>
        <v>3181</v>
      </c>
      <c r="F31" s="337">
        <v>3074.6</v>
      </c>
      <c r="G31" s="337">
        <v>2991.1</v>
      </c>
    </row>
    <row r="32" spans="1:7" ht="14.1" customHeight="1">
      <c r="A32" s="26" t="s">
        <v>256</v>
      </c>
      <c r="B32" s="27">
        <v>2153</v>
      </c>
      <c r="C32" s="27">
        <v>0</v>
      </c>
      <c r="D32" s="27">
        <f t="shared" si="0"/>
        <v>2153</v>
      </c>
      <c r="E32" s="79">
        <f>'- 7 -'!E32</f>
        <v>2062.5</v>
      </c>
      <c r="F32" s="79">
        <v>2051.9</v>
      </c>
      <c r="G32" s="79">
        <v>2030.8</v>
      </c>
    </row>
    <row r="33" spans="1:8" ht="14.1" customHeight="1">
      <c r="A33" s="330" t="s">
        <v>257</v>
      </c>
      <c r="B33" s="331">
        <v>2100</v>
      </c>
      <c r="C33" s="331">
        <v>0</v>
      </c>
      <c r="D33" s="331">
        <f t="shared" si="0"/>
        <v>2100</v>
      </c>
      <c r="E33" s="337">
        <f>'- 7 -'!E33</f>
        <v>2024</v>
      </c>
      <c r="F33" s="337">
        <v>2003.5</v>
      </c>
      <c r="G33" s="337">
        <v>2060.4</v>
      </c>
    </row>
    <row r="34" spans="1:8" ht="14.1" customHeight="1">
      <c r="A34" s="26" t="s">
        <v>258</v>
      </c>
      <c r="B34" s="27">
        <v>2111</v>
      </c>
      <c r="C34" s="27">
        <v>0</v>
      </c>
      <c r="D34" s="27">
        <f t="shared" si="0"/>
        <v>2111</v>
      </c>
      <c r="E34" s="79">
        <f>'- 7 -'!E34</f>
        <v>2038.87</v>
      </c>
      <c r="F34" s="79">
        <v>1993.2</v>
      </c>
      <c r="G34" s="79">
        <v>2029.8</v>
      </c>
    </row>
    <row r="35" spans="1:8" ht="14.1" customHeight="1">
      <c r="A35" s="330" t="s">
        <v>259</v>
      </c>
      <c r="B35" s="331">
        <v>16361</v>
      </c>
      <c r="C35" s="331">
        <v>0</v>
      </c>
      <c r="D35" s="331">
        <f t="shared" si="0"/>
        <v>16361</v>
      </c>
      <c r="E35" s="337">
        <f>'- 7 -'!E35</f>
        <v>15784</v>
      </c>
      <c r="F35" s="337">
        <v>15549.6</v>
      </c>
      <c r="G35" s="337">
        <v>15637.6</v>
      </c>
    </row>
    <row r="36" spans="1:8" ht="14.1" customHeight="1">
      <c r="A36" s="26" t="s">
        <v>260</v>
      </c>
      <c r="B36" s="27">
        <v>1729</v>
      </c>
      <c r="C36" s="27">
        <v>0</v>
      </c>
      <c r="D36" s="27">
        <f t="shared" si="0"/>
        <v>1729</v>
      </c>
      <c r="E36" s="79">
        <f>'- 7 -'!E36</f>
        <v>1649.5</v>
      </c>
      <c r="F36" s="79">
        <v>1553.8</v>
      </c>
      <c r="G36" s="79">
        <v>1652</v>
      </c>
    </row>
    <row r="37" spans="1:8" ht="14.1" customHeight="1">
      <c r="A37" s="330" t="s">
        <v>261</v>
      </c>
      <c r="B37" s="331">
        <v>3864</v>
      </c>
      <c r="C37" s="331">
        <v>0</v>
      </c>
      <c r="D37" s="331">
        <f t="shared" si="0"/>
        <v>3864</v>
      </c>
      <c r="E37" s="337">
        <f>'- 7 -'!E37</f>
        <v>3728.5</v>
      </c>
      <c r="F37" s="337">
        <v>3674.7</v>
      </c>
      <c r="G37" s="337">
        <v>3608.2</v>
      </c>
    </row>
    <row r="38" spans="1:8" ht="14.1" customHeight="1">
      <c r="A38" s="26" t="s">
        <v>262</v>
      </c>
      <c r="B38" s="27">
        <v>10740</v>
      </c>
      <c r="C38" s="27">
        <v>0</v>
      </c>
      <c r="D38" s="27">
        <f t="shared" si="0"/>
        <v>10740</v>
      </c>
      <c r="E38" s="79">
        <f>'- 7 -'!E38</f>
        <v>10351.6</v>
      </c>
      <c r="F38" s="79">
        <v>10072.9</v>
      </c>
      <c r="G38" s="79">
        <v>9714.7000000000007</v>
      </c>
    </row>
    <row r="39" spans="1:8" ht="14.1" customHeight="1">
      <c r="A39" s="330" t="s">
        <v>263</v>
      </c>
      <c r="B39" s="331">
        <v>1660</v>
      </c>
      <c r="C39" s="331">
        <v>0</v>
      </c>
      <c r="D39" s="331">
        <f t="shared" si="0"/>
        <v>1660</v>
      </c>
      <c r="E39" s="337">
        <f>'- 7 -'!E39</f>
        <v>1586</v>
      </c>
      <c r="F39" s="337">
        <v>1586.7</v>
      </c>
      <c r="G39" s="337">
        <v>1620.6</v>
      </c>
    </row>
    <row r="40" spans="1:8" ht="14.1" customHeight="1">
      <c r="A40" s="26" t="s">
        <v>264</v>
      </c>
      <c r="B40" s="27">
        <v>8360</v>
      </c>
      <c r="C40" s="27">
        <v>0</v>
      </c>
      <c r="D40" s="27">
        <f t="shared" si="0"/>
        <v>8360</v>
      </c>
      <c r="E40" s="79">
        <f>'- 7 -'!E40</f>
        <v>8035.7</v>
      </c>
      <c r="F40" s="79">
        <v>8073.2</v>
      </c>
      <c r="G40" s="79">
        <v>8068.3</v>
      </c>
    </row>
    <row r="41" spans="1:8" ht="14.1" customHeight="1">
      <c r="A41" s="330" t="s">
        <v>265</v>
      </c>
      <c r="B41" s="331">
        <v>4622</v>
      </c>
      <c r="C41" s="331">
        <v>0</v>
      </c>
      <c r="D41" s="331">
        <f t="shared" si="0"/>
        <v>4622</v>
      </c>
      <c r="E41" s="337">
        <f>'- 7 -'!E41</f>
        <v>4474</v>
      </c>
      <c r="F41" s="337">
        <v>4478.3</v>
      </c>
      <c r="G41" s="337">
        <v>4538.8999999999996</v>
      </c>
    </row>
    <row r="42" spans="1:8" ht="14.1" customHeight="1">
      <c r="A42" s="26" t="s">
        <v>266</v>
      </c>
      <c r="B42" s="27">
        <v>1559</v>
      </c>
      <c r="C42" s="27">
        <v>73</v>
      </c>
      <c r="D42" s="27">
        <f t="shared" si="0"/>
        <v>1486</v>
      </c>
      <c r="E42" s="79">
        <f>'- 7 -'!E42</f>
        <v>1428.7</v>
      </c>
      <c r="F42" s="79">
        <v>1437.5</v>
      </c>
      <c r="G42" s="79">
        <v>1511.6</v>
      </c>
    </row>
    <row r="43" spans="1:8" ht="14.1" customHeight="1">
      <c r="A43" s="330" t="s">
        <v>267</v>
      </c>
      <c r="B43" s="331">
        <v>1028</v>
      </c>
      <c r="C43" s="331">
        <v>0</v>
      </c>
      <c r="D43" s="331">
        <f t="shared" si="0"/>
        <v>1028</v>
      </c>
      <c r="E43" s="337">
        <f>'- 7 -'!E43</f>
        <v>975.5</v>
      </c>
      <c r="F43" s="337">
        <v>972.8</v>
      </c>
      <c r="G43" s="337">
        <v>979.5</v>
      </c>
    </row>
    <row r="44" spans="1:8" ht="14.1" customHeight="1">
      <c r="A44" s="26" t="s">
        <v>268</v>
      </c>
      <c r="B44" s="27">
        <v>740</v>
      </c>
      <c r="C44" s="27">
        <v>0</v>
      </c>
      <c r="D44" s="27">
        <f t="shared" si="0"/>
        <v>740</v>
      </c>
      <c r="E44" s="79">
        <f>'- 7 -'!E44</f>
        <v>715.5</v>
      </c>
      <c r="F44" s="79">
        <v>711.6</v>
      </c>
      <c r="G44" s="79">
        <v>731</v>
      </c>
    </row>
    <row r="45" spans="1:8" ht="14.1" customHeight="1">
      <c r="A45" s="330" t="s">
        <v>269</v>
      </c>
      <c r="B45" s="331">
        <v>1681</v>
      </c>
      <c r="C45" s="331">
        <v>0</v>
      </c>
      <c r="D45" s="331">
        <f t="shared" si="0"/>
        <v>1681</v>
      </c>
      <c r="E45" s="337">
        <f>'- 7 -'!E45</f>
        <v>1610</v>
      </c>
      <c r="F45" s="337">
        <v>1630.7</v>
      </c>
      <c r="G45" s="337">
        <v>1604.3</v>
      </c>
    </row>
    <row r="46" spans="1:8" ht="14.1" customHeight="1">
      <c r="A46" s="26" t="s">
        <v>270</v>
      </c>
      <c r="B46" s="27">
        <v>33370</v>
      </c>
      <c r="C46" s="27">
        <v>1863</v>
      </c>
      <c r="D46" s="27">
        <f t="shared" si="0"/>
        <v>31507</v>
      </c>
      <c r="E46" s="79">
        <f>'- 7 -'!E46</f>
        <v>30127</v>
      </c>
      <c r="F46" s="79">
        <v>29931.200000000001</v>
      </c>
      <c r="G46" s="79">
        <v>29261.3</v>
      </c>
    </row>
    <row r="47" spans="1:8" ht="5.0999999999999996" customHeight="1">
      <c r="A47"/>
      <c r="B47"/>
      <c r="C47"/>
      <c r="D47"/>
      <c r="E47"/>
      <c r="F47"/>
      <c r="G47"/>
      <c r="H47"/>
    </row>
    <row r="48" spans="1:8" ht="14.1" customHeight="1">
      <c r="A48" s="332" t="s">
        <v>271</v>
      </c>
      <c r="B48" s="333">
        <f t="shared" ref="B48:G48" si="1">SUM(B11:B46)</f>
        <v>181561</v>
      </c>
      <c r="C48" s="333">
        <f t="shared" si="1"/>
        <v>2443</v>
      </c>
      <c r="D48" s="333">
        <f t="shared" si="1"/>
        <v>179118</v>
      </c>
      <c r="E48" s="340">
        <f t="shared" si="1"/>
        <v>172261.18142857144</v>
      </c>
      <c r="F48" s="340">
        <f t="shared" si="1"/>
        <v>165956.70000000001</v>
      </c>
      <c r="G48" s="340">
        <f t="shared" si="1"/>
        <v>165476.70000000001</v>
      </c>
      <c r="H48" s="679"/>
    </row>
    <row r="49" spans="1:7" ht="5.0999999999999996" customHeight="1">
      <c r="A49" s="28" t="s">
        <v>17</v>
      </c>
      <c r="B49" s="29"/>
      <c r="C49" s="29"/>
      <c r="D49" s="29"/>
      <c r="E49" s="80"/>
      <c r="F49" s="80"/>
      <c r="G49" s="80"/>
    </row>
    <row r="50" spans="1:7" ht="14.1" customHeight="1">
      <c r="A50" s="330" t="s">
        <v>272</v>
      </c>
      <c r="B50" s="331">
        <v>173</v>
      </c>
      <c r="C50" s="331">
        <v>0</v>
      </c>
      <c r="D50" s="331">
        <f>+B50-C50</f>
        <v>173</v>
      </c>
      <c r="E50" s="337">
        <f>'- 7 -'!E50</f>
        <v>167</v>
      </c>
      <c r="F50" s="337">
        <v>178.5</v>
      </c>
      <c r="G50" s="337">
        <v>184</v>
      </c>
    </row>
    <row r="51" spans="1:7" ht="14.1" customHeight="1">
      <c r="A51" s="26" t="s">
        <v>273</v>
      </c>
      <c r="B51" s="27"/>
      <c r="C51" s="27"/>
      <c r="D51" s="27">
        <f>+B51-C51</f>
        <v>0</v>
      </c>
      <c r="E51" s="79">
        <f>'- 7 -'!E51</f>
        <v>722.88</v>
      </c>
      <c r="F51" s="79"/>
      <c r="G51" s="79"/>
    </row>
    <row r="52" spans="1:7" ht="50.1" customHeight="1">
      <c r="A52" s="30"/>
      <c r="B52" s="30"/>
      <c r="C52" s="30"/>
      <c r="D52" s="30"/>
      <c r="E52" s="30"/>
      <c r="F52" s="89"/>
      <c r="G52" s="89"/>
    </row>
    <row r="53" spans="1:7" ht="15" customHeight="1">
      <c r="A53" s="1" t="s">
        <v>399</v>
      </c>
      <c r="C53" s="90"/>
      <c r="D53" s="90"/>
      <c r="E53" s="90"/>
      <c r="F53" s="90"/>
    </row>
    <row r="54" spans="1:7" ht="12" customHeight="1">
      <c r="A54" s="1" t="s">
        <v>402</v>
      </c>
      <c r="C54" s="90"/>
      <c r="D54" s="90"/>
      <c r="E54" s="90"/>
      <c r="F54" s="90"/>
    </row>
    <row r="55" spans="1:7" ht="12" customHeight="1">
      <c r="A55" s="1" t="s">
        <v>661</v>
      </c>
      <c r="C55" s="90"/>
      <c r="D55" s="90"/>
      <c r="E55" s="90"/>
      <c r="F55" s="90"/>
    </row>
    <row r="56" spans="1:7" ht="12" customHeight="1">
      <c r="A56" s="1" t="s">
        <v>739</v>
      </c>
      <c r="C56" s="90"/>
      <c r="D56" s="90"/>
      <c r="E56" s="90"/>
      <c r="F56" s="91"/>
    </row>
    <row r="57" spans="1:7">
      <c r="A57" s="1" t="s">
        <v>662</v>
      </c>
    </row>
  </sheetData>
  <mergeCells count="1">
    <mergeCell ref="B7:D7"/>
  </mergeCells>
  <phoneticPr fontId="6" type="noConversion"/>
  <pageMargins left="0.5" right="0.5" top="0.6" bottom="0.2" header="0.3" footer="0.5"/>
  <pageSetup scale="88" orientation="portrait" r:id="rId1"/>
  <headerFooter alignWithMargins="0">
    <oddHeader>&amp;C&amp;"Arial,Regular"&amp;11&amp;A</oddHeader>
  </headerFooter>
</worksheet>
</file>

<file path=xl/worksheets/sheet8.xml><?xml version="1.0" encoding="utf-8"?>
<worksheet xmlns="http://schemas.openxmlformats.org/spreadsheetml/2006/main" xmlns:r="http://schemas.openxmlformats.org/officeDocument/2006/relationships">
  <sheetPr codeName="Sheet6">
    <pageSetUpPr fitToPage="1"/>
  </sheetPr>
  <dimension ref="A1:D58"/>
  <sheetViews>
    <sheetView showGridLines="0" showZeros="0" workbookViewId="0"/>
  </sheetViews>
  <sheetFormatPr defaultRowHeight="12"/>
  <cols>
    <col min="1" max="1" width="39.83203125" style="1" customWidth="1"/>
    <col min="2" max="3" width="31.83203125" style="1" customWidth="1"/>
    <col min="4" max="4" width="29.83203125" style="1" customWidth="1"/>
    <col min="5" max="16384" width="9.33203125" style="1"/>
  </cols>
  <sheetData>
    <row r="1" spans="1:4" ht="6.95" customHeight="1">
      <c r="A1" s="6"/>
      <c r="B1" s="7"/>
      <c r="C1" s="7"/>
      <c r="D1" s="7"/>
    </row>
    <row r="2" spans="1:4" ht="15.95" customHeight="1">
      <c r="A2" s="71"/>
      <c r="B2" s="8" t="s">
        <v>186</v>
      </c>
      <c r="C2" s="9"/>
      <c r="D2" s="72"/>
    </row>
    <row r="3" spans="1:4" ht="15.95" customHeight="1">
      <c r="A3" s="73"/>
      <c r="B3" s="10" t="str">
        <f>STATDATE</f>
        <v>ACTUAL SEPTEMBER 30, 2012</v>
      </c>
      <c r="C3" s="11"/>
      <c r="D3" s="74"/>
    </row>
    <row r="4" spans="1:4" ht="15.95" customHeight="1">
      <c r="B4" s="7"/>
      <c r="C4" s="7"/>
      <c r="D4" s="7"/>
    </row>
    <row r="5" spans="1:4" ht="15.95" customHeight="1">
      <c r="B5" s="7"/>
      <c r="C5" s="7"/>
      <c r="D5" s="7"/>
    </row>
    <row r="6" spans="1:4" ht="15.95" customHeight="1">
      <c r="B6" s="7"/>
      <c r="C6" s="7"/>
      <c r="D6" s="7"/>
    </row>
    <row r="7" spans="1:4" ht="15.95" customHeight="1">
      <c r="B7" s="348" t="s">
        <v>186</v>
      </c>
      <c r="C7" s="328"/>
      <c r="D7" s="7"/>
    </row>
    <row r="8" spans="1:4" ht="15.95" customHeight="1">
      <c r="A8" s="75"/>
      <c r="B8" s="76" t="s">
        <v>85</v>
      </c>
      <c r="C8" s="77"/>
      <c r="D8" s="78"/>
    </row>
    <row r="9" spans="1:4" ht="15.95" customHeight="1">
      <c r="A9" s="42" t="s">
        <v>94</v>
      </c>
      <c r="B9" s="43" t="s">
        <v>400</v>
      </c>
      <c r="C9" s="43" t="s">
        <v>401</v>
      </c>
    </row>
    <row r="10" spans="1:4" ht="5.0999999999999996" customHeight="1">
      <c r="A10" s="5"/>
    </row>
    <row r="11" spans="1:4" ht="14.1" customHeight="1">
      <c r="A11" s="330" t="s">
        <v>236</v>
      </c>
      <c r="B11" s="337">
        <v>16.541808967720613</v>
      </c>
      <c r="C11" s="337">
        <v>13.860426474660761</v>
      </c>
    </row>
    <row r="12" spans="1:4" ht="14.1" customHeight="1">
      <c r="A12" s="26" t="s">
        <v>237</v>
      </c>
      <c r="B12" s="79">
        <v>14.831052597444712</v>
      </c>
      <c r="C12" s="79">
        <v>11.790667697860274</v>
      </c>
    </row>
    <row r="13" spans="1:4" ht="14.1" customHeight="1">
      <c r="A13" s="330" t="s">
        <v>238</v>
      </c>
      <c r="B13" s="337">
        <v>17.340536002297782</v>
      </c>
      <c r="C13" s="337">
        <v>12.752664760171584</v>
      </c>
    </row>
    <row r="14" spans="1:4" ht="14.1" customHeight="1">
      <c r="A14" s="26" t="s">
        <v>656</v>
      </c>
      <c r="B14" s="79">
        <v>15.860759099542298</v>
      </c>
      <c r="C14" s="79">
        <v>12.698175291654202</v>
      </c>
    </row>
    <row r="15" spans="1:4" ht="14.1" customHeight="1">
      <c r="A15" s="330" t="s">
        <v>239</v>
      </c>
      <c r="B15" s="337">
        <v>17.891077636152957</v>
      </c>
      <c r="C15" s="337">
        <v>13.798033958891869</v>
      </c>
    </row>
    <row r="16" spans="1:4" ht="14.1" customHeight="1">
      <c r="A16" s="26" t="s">
        <v>240</v>
      </c>
      <c r="B16" s="79">
        <v>16.680672268907564</v>
      </c>
      <c r="C16" s="79">
        <v>12.999345121152588</v>
      </c>
    </row>
    <row r="17" spans="1:3" ht="14.1" customHeight="1">
      <c r="A17" s="330" t="s">
        <v>241</v>
      </c>
      <c r="B17" s="337">
        <v>15.611851392762457</v>
      </c>
      <c r="C17" s="337">
        <v>12.872331364978425</v>
      </c>
    </row>
    <row r="18" spans="1:3" ht="14.1" customHeight="1">
      <c r="A18" s="26" t="s">
        <v>242</v>
      </c>
      <c r="B18" s="79">
        <v>14.191646191646191</v>
      </c>
      <c r="C18" s="79">
        <v>11.324131966367878</v>
      </c>
    </row>
    <row r="19" spans="1:3" ht="14.1" customHeight="1">
      <c r="A19" s="330" t="s">
        <v>243</v>
      </c>
      <c r="B19" s="337">
        <v>18.466455082429693</v>
      </c>
      <c r="C19" s="337">
        <v>15.244350642261926</v>
      </c>
    </row>
    <row r="20" spans="1:3" ht="14.1" customHeight="1">
      <c r="A20" s="26" t="s">
        <v>244</v>
      </c>
      <c r="B20" s="79">
        <v>18.258968277497775</v>
      </c>
      <c r="C20" s="79">
        <v>15.336169329736459</v>
      </c>
    </row>
    <row r="21" spans="1:3" ht="14.1" customHeight="1">
      <c r="A21" s="330" t="s">
        <v>245</v>
      </c>
      <c r="B21" s="337">
        <v>17.079437805708626</v>
      </c>
      <c r="C21" s="337">
        <v>12.580380352989467</v>
      </c>
    </row>
    <row r="22" spans="1:3" ht="14.1" customHeight="1">
      <c r="A22" s="26" t="s">
        <v>246</v>
      </c>
      <c r="B22" s="79">
        <v>18.881656804733726</v>
      </c>
      <c r="C22" s="79">
        <v>13.572947681837515</v>
      </c>
    </row>
    <row r="23" spans="1:3" ht="14.1" customHeight="1">
      <c r="A23" s="330" t="s">
        <v>247</v>
      </c>
      <c r="B23" s="337">
        <v>15.296774193548387</v>
      </c>
      <c r="C23" s="337">
        <v>11.998987854251011</v>
      </c>
    </row>
    <row r="24" spans="1:3" ht="14.1" customHeight="1">
      <c r="A24" s="26" t="s">
        <v>248</v>
      </c>
      <c r="B24" s="79">
        <v>16.080103065438973</v>
      </c>
      <c r="C24" s="79">
        <v>12.795332569498884</v>
      </c>
    </row>
    <row r="25" spans="1:3" ht="14.1" customHeight="1">
      <c r="A25" s="330" t="s">
        <v>249</v>
      </c>
      <c r="B25" s="337">
        <v>19.702149069215842</v>
      </c>
      <c r="C25" s="337">
        <v>14.302351062830667</v>
      </c>
    </row>
    <row r="26" spans="1:3" ht="14.1" customHeight="1">
      <c r="A26" s="26" t="s">
        <v>250</v>
      </c>
      <c r="B26" s="79">
        <v>16.401013353037424</v>
      </c>
      <c r="C26" s="79">
        <v>13.25951527564431</v>
      </c>
    </row>
    <row r="27" spans="1:3" ht="14.1" customHeight="1">
      <c r="A27" s="330" t="s">
        <v>251</v>
      </c>
      <c r="B27" s="337">
        <v>14.877192982456139</v>
      </c>
      <c r="C27" s="337">
        <v>11.270841906015963</v>
      </c>
    </row>
    <row r="28" spans="1:3" ht="14.1" customHeight="1">
      <c r="A28" s="26" t="s">
        <v>252</v>
      </c>
      <c r="B28" s="79">
        <v>14.129583481666074</v>
      </c>
      <c r="C28" s="79">
        <v>11.849883561234849</v>
      </c>
    </row>
    <row r="29" spans="1:3" ht="14.1" customHeight="1">
      <c r="A29" s="330" t="s">
        <v>253</v>
      </c>
      <c r="B29" s="337">
        <v>17.954451590064313</v>
      </c>
      <c r="C29" s="337">
        <v>14.092666774723877</v>
      </c>
    </row>
    <row r="30" spans="1:3" ht="14.1" customHeight="1">
      <c r="A30" s="26" t="s">
        <v>254</v>
      </c>
      <c r="B30" s="79">
        <v>14.651984774333876</v>
      </c>
      <c r="C30" s="79">
        <v>12.529644268774701</v>
      </c>
    </row>
    <row r="31" spans="1:3" ht="14.1" customHeight="1">
      <c r="A31" s="330" t="s">
        <v>255</v>
      </c>
      <c r="B31" s="337">
        <v>17.261775558932058</v>
      </c>
      <c r="C31" s="337">
        <v>13.336407848398457</v>
      </c>
    </row>
    <row r="32" spans="1:3" ht="14.1" customHeight="1">
      <c r="A32" s="26" t="s">
        <v>256</v>
      </c>
      <c r="B32" s="79">
        <v>14.986920505740445</v>
      </c>
      <c r="C32" s="79">
        <v>12.371041266794625</v>
      </c>
    </row>
    <row r="33" spans="1:4" ht="14.1" customHeight="1">
      <c r="A33" s="330" t="s">
        <v>257</v>
      </c>
      <c r="B33" s="337">
        <v>16.279256816536638</v>
      </c>
      <c r="C33" s="337">
        <v>13.171938045034493</v>
      </c>
    </row>
    <row r="34" spans="1:4" ht="14.1" customHeight="1">
      <c r="A34" s="26" t="s">
        <v>258</v>
      </c>
      <c r="B34" s="79">
        <v>15.492933130699088</v>
      </c>
      <c r="C34" s="79">
        <v>12.663002297993913</v>
      </c>
    </row>
    <row r="35" spans="1:4" ht="14.1" customHeight="1">
      <c r="A35" s="330" t="s">
        <v>259</v>
      </c>
      <c r="B35" s="337">
        <v>17.696455999910309</v>
      </c>
      <c r="C35" s="337">
        <v>13.978285127260492</v>
      </c>
    </row>
    <row r="36" spans="1:4" ht="14.1" customHeight="1">
      <c r="A36" s="26" t="s">
        <v>260</v>
      </c>
      <c r="B36" s="79">
        <v>15.620265151515152</v>
      </c>
      <c r="C36" s="79">
        <v>12.583918217882211</v>
      </c>
    </row>
    <row r="37" spans="1:4" ht="14.1" customHeight="1">
      <c r="A37" s="330" t="s">
        <v>261</v>
      </c>
      <c r="B37" s="337">
        <v>18.450613618368962</v>
      </c>
      <c r="C37" s="337">
        <v>14.281063275624328</v>
      </c>
    </row>
    <row r="38" spans="1:4" ht="14.1" customHeight="1">
      <c r="A38" s="26" t="s">
        <v>262</v>
      </c>
      <c r="B38" s="79">
        <v>17.298218642425052</v>
      </c>
      <c r="C38" s="79">
        <v>14.104918926284235</v>
      </c>
    </row>
    <row r="39" spans="1:4" ht="14.1" customHeight="1">
      <c r="A39" s="330" t="s">
        <v>263</v>
      </c>
      <c r="B39" s="337">
        <v>15.707635931464791</v>
      </c>
      <c r="C39" s="337">
        <v>13.026694045174539</v>
      </c>
    </row>
    <row r="40" spans="1:4" ht="14.1" customHeight="1">
      <c r="A40" s="26" t="s">
        <v>264</v>
      </c>
      <c r="B40" s="79">
        <v>17.761200627721415</v>
      </c>
      <c r="C40" s="79">
        <v>13.847015439757374</v>
      </c>
    </row>
    <row r="41" spans="1:4" ht="14.1" customHeight="1">
      <c r="A41" s="330" t="s">
        <v>265</v>
      </c>
      <c r="B41" s="337">
        <v>16.102213424509625</v>
      </c>
      <c r="C41" s="337">
        <v>12.585799482390007</v>
      </c>
    </row>
    <row r="42" spans="1:4" ht="14.1" customHeight="1">
      <c r="A42" s="26" t="s">
        <v>266</v>
      </c>
      <c r="B42" s="79">
        <v>14.169394029554697</v>
      </c>
      <c r="C42" s="79">
        <v>11.811342592592593</v>
      </c>
    </row>
    <row r="43" spans="1:4" ht="14.1" customHeight="1">
      <c r="A43" s="330" t="s">
        <v>267</v>
      </c>
      <c r="B43" s="337">
        <v>16.250208229218725</v>
      </c>
      <c r="C43" s="337">
        <v>13.008401120149355</v>
      </c>
    </row>
    <row r="44" spans="1:4" ht="14.1" customHeight="1">
      <c r="A44" s="26" t="s">
        <v>268</v>
      </c>
      <c r="B44" s="79">
        <v>13.032786885245901</v>
      </c>
      <c r="C44" s="79">
        <v>11.492129778348859</v>
      </c>
    </row>
    <row r="45" spans="1:4" ht="14.1" customHeight="1">
      <c r="A45" s="330" t="s">
        <v>269</v>
      </c>
      <c r="B45" s="337">
        <v>17.672886937431397</v>
      </c>
      <c r="C45" s="337">
        <v>14.566181127295756</v>
      </c>
    </row>
    <row r="46" spans="1:4" ht="14.1" customHeight="1">
      <c r="A46" s="26" t="s">
        <v>270</v>
      </c>
      <c r="B46" s="79">
        <v>18.280946601941746</v>
      </c>
      <c r="C46" s="79">
        <v>13.694713396063458</v>
      </c>
    </row>
    <row r="47" spans="1:4" ht="5.0999999999999996" customHeight="1">
      <c r="A47"/>
      <c r="B47"/>
      <c r="C47"/>
      <c r="D47"/>
    </row>
    <row r="48" spans="1:4" ht="14.1" customHeight="1">
      <c r="A48" s="332" t="s">
        <v>271</v>
      </c>
      <c r="B48" s="340">
        <v>17.231752926063962</v>
      </c>
      <c r="C48" s="340">
        <v>13.462047355043353</v>
      </c>
      <c r="D48" s="5"/>
    </row>
    <row r="49" spans="1:4" ht="5.0999999999999996" customHeight="1">
      <c r="A49" s="28" t="s">
        <v>17</v>
      </c>
      <c r="B49" s="80"/>
      <c r="C49" s="80"/>
    </row>
    <row r="50" spans="1:4" ht="14.1" customHeight="1">
      <c r="A50" s="26" t="s">
        <v>272</v>
      </c>
      <c r="B50" s="79">
        <v>10.346964064436182</v>
      </c>
      <c r="C50" s="79">
        <v>8.329177057356608</v>
      </c>
    </row>
    <row r="51" spans="1:4" ht="14.1" customHeight="1">
      <c r="A51" s="330" t="s">
        <v>273</v>
      </c>
      <c r="B51" s="337">
        <v>20.079999999999998</v>
      </c>
      <c r="C51" s="337">
        <v>15.364080765143465</v>
      </c>
    </row>
    <row r="52" spans="1:4" ht="49.5" customHeight="1">
      <c r="A52" s="30"/>
      <c r="B52" s="30"/>
      <c r="C52" s="30"/>
      <c r="D52" s="30"/>
    </row>
    <row r="53" spans="1:4" ht="15" customHeight="1">
      <c r="A53" s="151" t="s">
        <v>762</v>
      </c>
      <c r="B53" s="45"/>
      <c r="C53" s="45"/>
      <c r="D53" s="45"/>
    </row>
    <row r="54" spans="1:4" ht="12" customHeight="1">
      <c r="A54" s="151" t="s">
        <v>765</v>
      </c>
      <c r="B54" s="45"/>
      <c r="C54" s="45"/>
      <c r="D54" s="45"/>
    </row>
    <row r="55" spans="1:4" ht="12" customHeight="1">
      <c r="A55" s="1" t="s">
        <v>699</v>
      </c>
      <c r="C55" s="45"/>
      <c r="D55" s="45"/>
    </row>
    <row r="56" spans="1:4" ht="12" customHeight="1">
      <c r="A56" s="45" t="s">
        <v>628</v>
      </c>
      <c r="C56" s="45"/>
      <c r="D56" s="45"/>
    </row>
    <row r="57" spans="1:4" ht="12" customHeight="1">
      <c r="A57" s="151" t="s">
        <v>763</v>
      </c>
      <c r="B57" s="45"/>
      <c r="C57" s="45"/>
      <c r="D57" s="45"/>
    </row>
    <row r="58" spans="1:4">
      <c r="A58" s="151" t="s">
        <v>764</v>
      </c>
    </row>
  </sheetData>
  <phoneticPr fontId="6" type="noConversion"/>
  <pageMargins left="0.5" right="0.5" top="0.6" bottom="0.2" header="0.3" footer="0.5"/>
  <pageSetup scale="88" orientation="portrait" r:id="rId1"/>
  <headerFooter alignWithMargins="0">
    <oddHeader>&amp;C&amp;"Arial,Regular"&amp;11&amp;A</oddHeader>
  </headerFooter>
</worksheet>
</file>

<file path=xl/worksheets/sheet9.xml><?xml version="1.0" encoding="utf-8"?>
<worksheet xmlns="http://schemas.openxmlformats.org/spreadsheetml/2006/main" xmlns:r="http://schemas.openxmlformats.org/officeDocument/2006/relationships">
  <sheetPr codeName="Sheet7"/>
  <dimension ref="A2:M28"/>
  <sheetViews>
    <sheetView showGridLines="0" showZeros="0" workbookViewId="0"/>
  </sheetViews>
  <sheetFormatPr defaultColWidth="15.83203125" defaultRowHeight="12"/>
  <cols>
    <col min="1" max="1" width="6.5" style="1" customWidth="1"/>
    <col min="2" max="2" width="39.5" style="1" customWidth="1"/>
    <col min="3" max="3" width="16" style="1" customWidth="1"/>
    <col min="4" max="4" width="15.83203125" style="1" customWidth="1"/>
    <col min="5" max="5" width="15.5" style="1" customWidth="1"/>
    <col min="6" max="6" width="17.1640625" style="1" customWidth="1"/>
    <col min="7" max="7" width="14.83203125" style="1" customWidth="1"/>
    <col min="8" max="8" width="15" style="1" customWidth="1"/>
    <col min="9" max="9" width="13.5" style="1" customWidth="1"/>
    <col min="10" max="10" width="3.33203125" style="1" customWidth="1"/>
    <col min="11" max="11" width="17.6640625" style="1" customWidth="1"/>
    <col min="12" max="12" width="6.83203125" style="1" customWidth="1"/>
    <col min="13" max="16384" width="15.83203125" style="1"/>
  </cols>
  <sheetData>
    <row r="2" spans="1:11">
      <c r="A2" s="46"/>
      <c r="B2" s="46"/>
      <c r="C2" s="47" t="str">
        <f>OPYEAR</f>
        <v>OPERATING FUND 2012/2013 ACTUAL</v>
      </c>
      <c r="D2" s="48"/>
      <c r="E2" s="48"/>
      <c r="F2" s="48"/>
      <c r="G2" s="48"/>
      <c r="H2" s="48"/>
      <c r="I2" s="48"/>
      <c r="J2" s="48"/>
      <c r="K2" s="49"/>
    </row>
    <row r="4" spans="1:11" ht="19.5" customHeight="1">
      <c r="C4" s="7"/>
      <c r="D4" s="7"/>
      <c r="E4" s="7"/>
      <c r="F4" s="7"/>
      <c r="G4" s="7"/>
      <c r="H4" s="7"/>
      <c r="I4" s="7"/>
      <c r="J4" s="7"/>
      <c r="K4" s="7"/>
    </row>
    <row r="5" spans="1:11" ht="15.75">
      <c r="C5" s="325" t="s">
        <v>483</v>
      </c>
      <c r="D5" s="50"/>
      <c r="E5" s="50"/>
      <c r="F5" s="50"/>
      <c r="G5" s="50"/>
      <c r="H5" s="50"/>
      <c r="I5" s="50"/>
      <c r="J5" s="50"/>
      <c r="K5" s="7"/>
    </row>
    <row r="6" spans="1:11" ht="16.5" customHeight="1">
      <c r="C6" s="7"/>
      <c r="D6" s="7"/>
      <c r="E6" s="7"/>
      <c r="F6" s="7"/>
      <c r="G6" s="7"/>
      <c r="H6" s="7"/>
      <c r="I6" s="7"/>
      <c r="J6" s="7"/>
      <c r="K6" s="7"/>
    </row>
    <row r="7" spans="1:11">
      <c r="C7" s="7"/>
      <c r="D7" s="7"/>
      <c r="E7" s="7"/>
      <c r="F7" s="7"/>
      <c r="G7" s="7"/>
      <c r="H7" s="7"/>
      <c r="I7" s="7"/>
      <c r="J7" s="7"/>
      <c r="K7" s="7"/>
    </row>
    <row r="8" spans="1:11">
      <c r="C8" s="327" t="s">
        <v>163</v>
      </c>
      <c r="D8" s="349"/>
      <c r="E8" s="349"/>
      <c r="F8" s="349"/>
      <c r="G8" s="349"/>
      <c r="H8" s="349"/>
      <c r="I8" s="349"/>
      <c r="J8" s="350"/>
      <c r="K8" s="7"/>
    </row>
    <row r="9" spans="1:11">
      <c r="C9" s="7"/>
      <c r="D9" s="7"/>
      <c r="E9" s="7"/>
      <c r="F9" s="7"/>
      <c r="G9" s="7"/>
      <c r="H9" s="7"/>
      <c r="I9" s="7"/>
      <c r="J9" s="7"/>
      <c r="K9" s="7"/>
    </row>
    <row r="10" spans="1:11">
      <c r="A10" s="51"/>
      <c r="B10" s="52"/>
      <c r="C10" s="351"/>
      <c r="D10" s="351" t="s">
        <v>164</v>
      </c>
      <c r="E10" s="352"/>
      <c r="F10" s="351" t="s">
        <v>165</v>
      </c>
      <c r="G10" s="357" t="s">
        <v>144</v>
      </c>
      <c r="H10" s="572" t="s">
        <v>503</v>
      </c>
      <c r="I10" s="353"/>
      <c r="J10" s="354"/>
      <c r="K10" s="351"/>
    </row>
    <row r="11" spans="1:11" ht="13.5" customHeight="1">
      <c r="A11" s="748" t="s">
        <v>174</v>
      </c>
      <c r="B11" s="749"/>
      <c r="C11" s="355" t="s">
        <v>166</v>
      </c>
      <c r="D11" s="355" t="s">
        <v>167</v>
      </c>
      <c r="E11" s="346" t="s">
        <v>153</v>
      </c>
      <c r="F11" s="355" t="s">
        <v>168</v>
      </c>
      <c r="G11" s="344" t="s">
        <v>760</v>
      </c>
      <c r="H11" s="571" t="s">
        <v>504</v>
      </c>
      <c r="I11" s="345" t="s">
        <v>108</v>
      </c>
      <c r="J11" s="356"/>
      <c r="K11" s="355" t="s">
        <v>169</v>
      </c>
    </row>
    <row r="13" spans="1:11">
      <c r="A13" s="55">
        <v>100</v>
      </c>
      <c r="B13" s="5" t="s">
        <v>62</v>
      </c>
      <c r="C13" s="56">
        <f>'- 12 -'!B21</f>
        <v>947446225</v>
      </c>
      <c r="D13" s="57">
        <f>'- 12 -'!B22</f>
        <v>59624401</v>
      </c>
      <c r="E13" s="57">
        <f>'- 12 -'!B39</f>
        <v>29177527</v>
      </c>
      <c r="F13" s="57">
        <f>'- 12 -'!B45</f>
        <v>68548973</v>
      </c>
      <c r="G13" s="58"/>
      <c r="H13" s="206"/>
      <c r="I13" s="59"/>
      <c r="J13" s="58"/>
      <c r="K13" s="56">
        <f>SUM(C13:F13)</f>
        <v>1104797126</v>
      </c>
    </row>
    <row r="14" spans="1:11" ht="24" customHeight="1">
      <c r="A14" s="55">
        <v>200</v>
      </c>
      <c r="B14" s="5" t="s">
        <v>486</v>
      </c>
      <c r="C14" s="56">
        <f>'- 12 -'!D21</f>
        <v>329534060</v>
      </c>
      <c r="D14" s="57">
        <f>'- 12 -'!D22</f>
        <v>32570007</v>
      </c>
      <c r="E14" s="57">
        <f>'- 12 -'!D39</f>
        <v>9392904</v>
      </c>
      <c r="F14" s="57">
        <f>'- 12 -'!D45</f>
        <v>4500069</v>
      </c>
      <c r="G14" s="58"/>
      <c r="H14" s="206"/>
      <c r="I14" s="59"/>
      <c r="J14" s="58"/>
      <c r="K14" s="56">
        <f>SUM(C14:F14)</f>
        <v>375997040</v>
      </c>
    </row>
    <row r="15" spans="1:11" ht="24" customHeight="1">
      <c r="A15" s="55">
        <v>300</v>
      </c>
      <c r="B15" s="5" t="s">
        <v>219</v>
      </c>
      <c r="C15" s="56">
        <f>'- 12 -'!F21</f>
        <v>7055487</v>
      </c>
      <c r="D15" s="57">
        <f>'- 12 -'!F22</f>
        <v>501366</v>
      </c>
      <c r="E15" s="57">
        <f>'- 12 -'!F39</f>
        <v>985759</v>
      </c>
      <c r="F15" s="57">
        <f>'- 12 -'!F45</f>
        <v>334688</v>
      </c>
      <c r="G15" s="58"/>
      <c r="H15" s="206"/>
      <c r="I15" s="59">
        <f>'- 12 -'!F47</f>
        <v>59258</v>
      </c>
      <c r="J15" s="128" t="s">
        <v>199</v>
      </c>
      <c r="K15" s="56">
        <f>SUM(C15:F15,I15)</f>
        <v>8936558</v>
      </c>
    </row>
    <row r="16" spans="1:11" ht="24" customHeight="1">
      <c r="A16" s="55">
        <v>400</v>
      </c>
      <c r="B16" s="5" t="s">
        <v>170</v>
      </c>
      <c r="C16" s="56">
        <f>'- 12 -'!H21</f>
        <v>14549485</v>
      </c>
      <c r="D16" s="57">
        <f>'- 12 -'!H22</f>
        <v>1328130</v>
      </c>
      <c r="E16" s="57">
        <f>'- 12 -'!H39</f>
        <v>2315547</v>
      </c>
      <c r="F16" s="57">
        <f>'- 12 -'!H45</f>
        <v>1672166</v>
      </c>
      <c r="G16" s="58"/>
      <c r="H16" s="206"/>
      <c r="I16" s="59">
        <f>'- 12 -'!H47</f>
        <v>2700</v>
      </c>
      <c r="J16" s="128" t="s">
        <v>199</v>
      </c>
      <c r="K16" s="56">
        <f>SUM(C16:F16,I16)</f>
        <v>19868028</v>
      </c>
    </row>
    <row r="17" spans="1:13" ht="24" customHeight="1">
      <c r="A17" s="55">
        <v>500</v>
      </c>
      <c r="B17" s="5" t="s">
        <v>193</v>
      </c>
      <c r="C17" s="56">
        <f>'- 12 -'!J21</f>
        <v>45922763</v>
      </c>
      <c r="D17" s="57">
        <f>'- 12 -'!J22</f>
        <v>6022984</v>
      </c>
      <c r="E17" s="57">
        <f>'- 12 -'!J39</f>
        <v>14812619</v>
      </c>
      <c r="F17" s="57">
        <f>'- 12 -'!J45</f>
        <v>2389939</v>
      </c>
      <c r="G17" s="58"/>
      <c r="H17" s="206"/>
      <c r="I17" s="59">
        <f>'- 12 -'!J47</f>
        <v>-61958</v>
      </c>
      <c r="J17" s="128" t="s">
        <v>199</v>
      </c>
      <c r="K17" s="56">
        <f>SUM(C17:F17,I17)</f>
        <v>69086347</v>
      </c>
    </row>
    <row r="18" spans="1:13" ht="12" customHeight="1">
      <c r="A18" s="55"/>
      <c r="B18" s="5"/>
      <c r="C18" s="60"/>
      <c r="D18" s="61"/>
      <c r="E18" s="61"/>
      <c r="F18" s="61"/>
      <c r="G18" s="58"/>
      <c r="H18" s="206"/>
      <c r="I18" s="62"/>
      <c r="J18" s="574"/>
      <c r="K18" s="56"/>
    </row>
    <row r="19" spans="1:13" ht="24" customHeight="1">
      <c r="A19" s="63">
        <v>600</v>
      </c>
      <c r="B19" s="64" t="s">
        <v>544</v>
      </c>
      <c r="C19" s="56">
        <f>'- 13 -'!B21</f>
        <v>47489862</v>
      </c>
      <c r="D19" s="57">
        <f>'- 13 -'!B22</f>
        <v>4399197</v>
      </c>
      <c r="E19" s="57">
        <f>'- 13 -'!B39</f>
        <v>12335454</v>
      </c>
      <c r="F19" s="57">
        <f>'- 13 -'!B45</f>
        <v>7360963</v>
      </c>
      <c r="G19" s="58"/>
      <c r="H19" s="206"/>
      <c r="I19" s="59"/>
      <c r="J19" s="574"/>
      <c r="K19" s="56">
        <f>SUM(C19:F19)</f>
        <v>71585476</v>
      </c>
    </row>
    <row r="20" spans="1:13" ht="28.5" customHeight="1">
      <c r="A20" s="55">
        <v>700</v>
      </c>
      <c r="B20" s="5" t="s">
        <v>171</v>
      </c>
      <c r="C20" s="56">
        <f>'- 13 -'!D21</f>
        <v>38219814</v>
      </c>
      <c r="D20" s="57">
        <f>'- 13 -'!D22</f>
        <v>5476737</v>
      </c>
      <c r="E20" s="57">
        <f>'- 13 -'!D39</f>
        <v>24884732</v>
      </c>
      <c r="F20" s="57">
        <f>'- 13 -'!D45</f>
        <v>16900200</v>
      </c>
      <c r="G20" s="58"/>
      <c r="H20" s="206"/>
      <c r="I20" s="59"/>
      <c r="J20" s="574"/>
      <c r="K20" s="56">
        <f>SUM(C20:F20)</f>
        <v>85481483</v>
      </c>
      <c r="L20" s="750" t="s">
        <v>200</v>
      </c>
    </row>
    <row r="21" spans="1:13" ht="24" customHeight="1">
      <c r="A21" s="55">
        <v>800</v>
      </c>
      <c r="B21" s="5" t="s">
        <v>172</v>
      </c>
      <c r="C21" s="56">
        <f>'- 13 -'!F21</f>
        <v>100674497</v>
      </c>
      <c r="D21" s="57">
        <f>'- 13 -'!F22</f>
        <v>16220127</v>
      </c>
      <c r="E21" s="57">
        <f>'- 13 -'!F39</f>
        <v>90114732</v>
      </c>
      <c r="F21" s="57">
        <f>'- 13 -'!F45</f>
        <v>21548831</v>
      </c>
      <c r="G21" s="58"/>
      <c r="H21" s="206"/>
      <c r="I21" s="59">
        <f>'- 13 -'!F47</f>
        <v>0</v>
      </c>
      <c r="J21" s="575"/>
      <c r="K21" s="56">
        <f>SUM(C21:F21,I21)</f>
        <v>228558187</v>
      </c>
      <c r="L21" s="750"/>
    </row>
    <row r="22" spans="1:13" ht="24" customHeight="1">
      <c r="A22" s="55">
        <v>900</v>
      </c>
      <c r="B22" s="5" t="s">
        <v>67</v>
      </c>
      <c r="C22" s="60"/>
      <c r="D22" s="61"/>
      <c r="E22" s="61"/>
      <c r="F22" s="61"/>
      <c r="G22" s="57">
        <v>1487902</v>
      </c>
      <c r="H22" s="57">
        <v>-213046</v>
      </c>
      <c r="I22" s="62">
        <v>33341213</v>
      </c>
      <c r="J22" s="575" t="s">
        <v>355</v>
      </c>
      <c r="K22" s="56">
        <f>SUM(G22:I22)</f>
        <v>34616069</v>
      </c>
    </row>
    <row r="23" spans="1:13">
      <c r="A23" s="55"/>
      <c r="B23" s="5"/>
      <c r="C23" s="60"/>
      <c r="D23" s="61"/>
      <c r="E23" s="61"/>
      <c r="F23" s="61"/>
      <c r="G23" s="61"/>
      <c r="H23" s="39"/>
      <c r="I23" s="62"/>
      <c r="J23" s="58"/>
      <c r="K23" s="60"/>
    </row>
    <row r="24" spans="1:13">
      <c r="B24" s="5"/>
      <c r="C24" s="65"/>
      <c r="D24" s="65"/>
      <c r="E24" s="65"/>
      <c r="F24" s="65"/>
      <c r="G24" s="65"/>
      <c r="H24" s="65"/>
      <c r="I24" s="65"/>
      <c r="K24" s="65"/>
    </row>
    <row r="25" spans="1:13">
      <c r="A25" s="66"/>
      <c r="B25" s="67" t="s">
        <v>169</v>
      </c>
      <c r="C25" s="68">
        <f>SUM(C13:C22)</f>
        <v>1530892193</v>
      </c>
      <c r="D25" s="69">
        <f>SUM(D13:D22)</f>
        <v>126142949</v>
      </c>
      <c r="E25" s="69">
        <f>SUM(E13:E22)</f>
        <v>184019274</v>
      </c>
      <c r="F25" s="69">
        <f>SUM(F13:F22)</f>
        <v>123255829</v>
      </c>
      <c r="G25" s="69">
        <f>G22</f>
        <v>1487902</v>
      </c>
      <c r="H25" s="69">
        <f>H22</f>
        <v>-213046</v>
      </c>
      <c r="I25" s="579">
        <f>SUM(I13:I22)</f>
        <v>33341213</v>
      </c>
      <c r="J25" s="70"/>
      <c r="K25" s="68">
        <f>SUM(K13:K22)</f>
        <v>1998926314</v>
      </c>
      <c r="M25" s="1">
        <f>K25-'- 3 -'!D48</f>
        <v>0</v>
      </c>
    </row>
    <row r="26" spans="1:13" ht="60" customHeight="1"/>
    <row r="27" spans="1:13">
      <c r="A27" s="127" t="s">
        <v>199</v>
      </c>
      <c r="B27" s="1" t="s">
        <v>754</v>
      </c>
      <c r="C27" s="5"/>
    </row>
    <row r="28" spans="1:13" ht="13.5" customHeight="1">
      <c r="A28" s="576" t="s">
        <v>355</v>
      </c>
      <c r="B28" s="1" t="s">
        <v>533</v>
      </c>
      <c r="C28" s="5"/>
    </row>
  </sheetData>
  <mergeCells count="2">
    <mergeCell ref="A11:B11"/>
    <mergeCell ref="L20:L21"/>
  </mergeCells>
  <phoneticPr fontId="6" type="noConversion"/>
  <pageMargins left="0.39370078740157483" right="0" top="0.64" bottom="0.19685039370078741" header="0.31496062992125984" footer="0.51181102362204722"/>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62</vt:i4>
      </vt:variant>
      <vt:variant>
        <vt:lpstr>Named Ranges</vt:lpstr>
      </vt:variant>
      <vt:variant>
        <vt:i4>70</vt:i4>
      </vt:variant>
    </vt:vector>
  </HeadingPairs>
  <TitlesOfParts>
    <vt:vector size="132" baseType="lpstr">
      <vt:lpstr>README</vt:lpstr>
      <vt:lpstr>i</vt:lpstr>
      <vt:lpstr>- 3 -</vt:lpstr>
      <vt:lpstr>- 4 -</vt:lpstr>
      <vt:lpstr>- 6 -</vt:lpstr>
      <vt:lpstr>- 7 -</vt:lpstr>
      <vt:lpstr>- 8 -</vt:lpstr>
      <vt:lpstr>- 9 -</vt:lpstr>
      <vt:lpstr>- 10 -</vt:lpstr>
      <vt:lpstr>- 12 -</vt:lpstr>
      <vt:lpstr>- 13 -</vt:lpstr>
      <vt:lpstr>- 15 -</vt:lpstr>
      <vt:lpstr>- 16 -</vt:lpstr>
      <vt:lpstr>- 17 -</vt:lpstr>
      <vt:lpstr>- 18 -</vt:lpstr>
      <vt:lpstr>- 19 -</vt:lpstr>
      <vt:lpstr>- 20 -</vt:lpstr>
      <vt:lpstr>- 21 -</vt:lpstr>
      <vt:lpstr>- 22 -</vt:lpstr>
      <vt:lpstr>- 23 -</vt:lpstr>
      <vt:lpstr>- 24 -</vt:lpstr>
      <vt:lpstr>- 25 -</vt:lpstr>
      <vt:lpstr>- 26 -</vt:lpstr>
      <vt:lpstr>- 27 -</vt:lpstr>
      <vt:lpstr>- 28 -</vt:lpstr>
      <vt:lpstr>- 29 -</vt:lpstr>
      <vt:lpstr>- 30 -</vt:lpstr>
      <vt:lpstr>- 31 -</vt:lpstr>
      <vt:lpstr>- 32 -</vt:lpstr>
      <vt:lpstr>- 33 -</vt:lpstr>
      <vt:lpstr>- 34 -</vt:lpstr>
      <vt:lpstr>- 35 -</vt:lpstr>
      <vt:lpstr>- 36 -</vt:lpstr>
      <vt:lpstr>- 37 -</vt:lpstr>
      <vt:lpstr>- 38 -</vt:lpstr>
      <vt:lpstr>- 39 -</vt:lpstr>
      <vt:lpstr>- 41 -</vt:lpstr>
      <vt:lpstr>- 42 -</vt:lpstr>
      <vt:lpstr>- 43 -</vt:lpstr>
      <vt:lpstr>- 44 -</vt:lpstr>
      <vt:lpstr>- 45 -</vt:lpstr>
      <vt:lpstr>- 46 -</vt:lpstr>
      <vt:lpstr>- 47 -</vt:lpstr>
      <vt:lpstr>- 48 -</vt:lpstr>
      <vt:lpstr>- 49 -</vt:lpstr>
      <vt:lpstr>- 50 -</vt:lpstr>
      <vt:lpstr>- 51 -</vt:lpstr>
      <vt:lpstr>- 52 -</vt:lpstr>
      <vt:lpstr>- 54 -</vt:lpstr>
      <vt:lpstr>- 55 - </vt:lpstr>
      <vt:lpstr>- 56 -</vt:lpstr>
      <vt:lpstr>- 58 -</vt:lpstr>
      <vt:lpstr>- 59 -</vt:lpstr>
      <vt:lpstr>- 60 -</vt:lpstr>
      <vt:lpstr>- 61 -</vt:lpstr>
      <vt:lpstr>- 62 -</vt:lpstr>
      <vt:lpstr>- 63 -</vt:lpstr>
      <vt:lpstr>- 64 -</vt:lpstr>
      <vt:lpstr>- 65 -</vt:lpstr>
      <vt:lpstr>- 66 -</vt:lpstr>
      <vt:lpstr>- 67 -</vt:lpstr>
      <vt:lpstr>Data</vt:lpstr>
      <vt:lpstr>'- 49 -'!capyear</vt:lpstr>
      <vt:lpstr>capyear</vt:lpstr>
      <vt:lpstr>CurrY</vt:lpstr>
      <vt:lpstr>FALLYR</vt:lpstr>
      <vt:lpstr>OPYEAR</vt:lpstr>
      <vt:lpstr>PrevY</vt:lpstr>
      <vt:lpstr>'- 10 -'!Print_Area</vt:lpstr>
      <vt:lpstr>'- 12 -'!Print_Area</vt:lpstr>
      <vt:lpstr>'- 13 -'!Print_Area</vt:lpstr>
      <vt:lpstr>'- 15 -'!Print_Area</vt:lpstr>
      <vt:lpstr>'- 16 -'!Print_Area</vt:lpstr>
      <vt:lpstr>'- 17 -'!Print_Area</vt:lpstr>
      <vt:lpstr>'- 18 -'!Print_Area</vt:lpstr>
      <vt:lpstr>'- 19 -'!Print_Area</vt:lpstr>
      <vt:lpstr>'- 20 -'!Print_Area</vt:lpstr>
      <vt:lpstr>'- 21 -'!Print_Area</vt:lpstr>
      <vt:lpstr>'- 22 -'!Print_Area</vt:lpstr>
      <vt:lpstr>'- 24 -'!Print_Area</vt:lpstr>
      <vt:lpstr>'- 25 -'!Print_Area</vt:lpstr>
      <vt:lpstr>'- 26 -'!Print_Area</vt:lpstr>
      <vt:lpstr>'- 27 -'!Print_Area</vt:lpstr>
      <vt:lpstr>'- 28 -'!Print_Area</vt:lpstr>
      <vt:lpstr>'- 29 -'!Print_Area</vt:lpstr>
      <vt:lpstr>'- 3 -'!Print_Area</vt:lpstr>
      <vt:lpstr>'- 30 -'!Print_Area</vt:lpstr>
      <vt:lpstr>'- 31 -'!Print_Area</vt:lpstr>
      <vt:lpstr>'- 32 -'!Print_Area</vt:lpstr>
      <vt:lpstr>'- 33 -'!Print_Area</vt:lpstr>
      <vt:lpstr>'- 34 -'!Print_Area</vt:lpstr>
      <vt:lpstr>'- 35 -'!Print_Area</vt:lpstr>
      <vt:lpstr>'- 36 -'!Print_Area</vt:lpstr>
      <vt:lpstr>'- 37 -'!Print_Area</vt:lpstr>
      <vt:lpstr>'- 38 -'!Print_Area</vt:lpstr>
      <vt:lpstr>'- 39 -'!Print_Area</vt:lpstr>
      <vt:lpstr>'- 4 -'!Print_Area</vt:lpstr>
      <vt:lpstr>'- 41 -'!Print_Area</vt:lpstr>
      <vt:lpstr>'- 42 -'!Print_Area</vt:lpstr>
      <vt:lpstr>'- 43 -'!Print_Area</vt:lpstr>
      <vt:lpstr>'- 44 -'!Print_Area</vt:lpstr>
      <vt:lpstr>'- 45 -'!Print_Area</vt:lpstr>
      <vt:lpstr>'- 46 -'!Print_Area</vt:lpstr>
      <vt:lpstr>'- 47 -'!Print_Area</vt:lpstr>
      <vt:lpstr>'- 48 -'!Print_Area</vt:lpstr>
      <vt:lpstr>'- 49 -'!Print_Area</vt:lpstr>
      <vt:lpstr>'- 50 -'!Print_Area</vt:lpstr>
      <vt:lpstr>'- 51 -'!Print_Area</vt:lpstr>
      <vt:lpstr>'- 52 -'!Print_Area</vt:lpstr>
      <vt:lpstr>'- 54 -'!Print_Area</vt:lpstr>
      <vt:lpstr>'- 55 - '!Print_Area</vt:lpstr>
      <vt:lpstr>'- 56 -'!Print_Area</vt:lpstr>
      <vt:lpstr>'- 58 -'!Print_Area</vt:lpstr>
      <vt:lpstr>'- 59 -'!Print_Area</vt:lpstr>
      <vt:lpstr>'- 6 -'!Print_Area</vt:lpstr>
      <vt:lpstr>'- 60 -'!Print_Area</vt:lpstr>
      <vt:lpstr>'- 61 -'!Print_Area</vt:lpstr>
      <vt:lpstr>'- 62 -'!Print_Area</vt:lpstr>
      <vt:lpstr>'- 63 -'!Print_Area</vt:lpstr>
      <vt:lpstr>'- 64 -'!Print_Area</vt:lpstr>
      <vt:lpstr>'- 65 -'!Print_Area</vt:lpstr>
      <vt:lpstr>'- 66 -'!Print_Area</vt:lpstr>
      <vt:lpstr>'- 67 -'!Print_Area</vt:lpstr>
      <vt:lpstr>'- 7 -'!Print_Area</vt:lpstr>
      <vt:lpstr>'- 8 -'!Print_Area</vt:lpstr>
      <vt:lpstr>'- 9 -'!Print_Area</vt:lpstr>
      <vt:lpstr>Data!Print_Area</vt:lpstr>
      <vt:lpstr>i!Print_Area</vt:lpstr>
      <vt:lpstr>REVYEAR</vt:lpstr>
      <vt:lpstr>SPRINGYR</vt:lpstr>
      <vt:lpstr>STATDATE</vt:lpstr>
      <vt:lpstr>TAXYEAR</vt:lpstr>
    </vt:vector>
  </TitlesOfParts>
  <Company>Government of Manitoba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J. Anderson</dc:creator>
  <cp:lastModifiedBy>GPizarro</cp:lastModifiedBy>
  <cp:lastPrinted>2014-05-06T13:57:04Z</cp:lastPrinted>
  <dcterms:created xsi:type="dcterms:W3CDTF">1999-01-19T20:49:35Z</dcterms:created>
  <dcterms:modified xsi:type="dcterms:W3CDTF">2014-11-14T15:25:50Z</dcterms:modified>
</cp:coreProperties>
</file>