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7250" windowHeight="516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5 -" sheetId="40" r:id="rId40"/>
    <sheet name="- 46 -" sheetId="41" r:id="rId41"/>
    <sheet name="- 47 -" sheetId="42" r:id="rId42"/>
    <sheet name="- 48 -" sheetId="43" r:id="rId43"/>
    <sheet name="- 49 -" sheetId="44" r:id="rId44"/>
    <sheet name="- 50 -" sheetId="45" r:id="rId45"/>
    <sheet name="- 51 -" sheetId="46" r:id="rId46"/>
    <sheet name="- 53 -" sheetId="47" r:id="rId47"/>
    <sheet name="- 55 -" sheetId="48" r:id="rId48"/>
    <sheet name="- 56 -" sheetId="49" r:id="rId49"/>
    <sheet name="- 57 -" sheetId="50" r:id="rId50"/>
    <sheet name="- 58 -" sheetId="51" r:id="rId51"/>
    <sheet name="- 59 -" sheetId="52" r:id="rId52"/>
    <sheet name="- 60 -" sheetId="53" r:id="rId53"/>
    <sheet name="- 61 -" sheetId="54" r:id="rId54"/>
    <sheet name="- 62 -" sheetId="55" r:id="rId55"/>
    <sheet name="- 63 -" sheetId="56" r:id="rId56"/>
  </sheets>
  <externalReferences>
    <externalReference r:id="rId59"/>
    <externalReference r:id="rId60"/>
  </externalReferences>
  <definedNames>
    <definedName name="_Fill" hidden="1">#REF!</definedName>
    <definedName name="capyear" localSheetId="43">'- 49 -'!$B$3</definedName>
    <definedName name="DIV">'[1]Data'!$A$9:$A$696</definedName>
    <definedName name="FALLYR" localSheetId="0">#REF!</definedName>
    <definedName name="FALLYR">#REF!</definedName>
    <definedName name="HTML_CodePage" hidden="1">1252</definedName>
    <definedName name="HTML_Control" localSheetId="18" hidden="1">{"'- 4 -'!$A$1:$G$76","'-3 -'!$A$1:$G$77"}</definedName>
    <definedName name="HTML_Control" localSheetId="19" hidden="1">{"'- 4 -'!$A$1:$G$76","'-3 -'!$A$1:$G$77"}</definedName>
    <definedName name="HTML_Control" localSheetId="43" hidden="1">{"'- 4 -'!$A$1:$G$76","'-3 -'!$A$1:$G$77"}</definedName>
    <definedName name="HTML_Control" localSheetId="44" hidden="1">{"'- 4 -'!$A$1:$G$76","'-3 -'!$A$1:$G$77"}</definedName>
    <definedName name="HTML_Control" localSheetId="45" hidden="1">{"'- 4 -'!$A$1:$G$76","'-3 -'!$A$1:$G$77"}</definedName>
    <definedName name="HTML_Control" localSheetId="49" hidden="1">{"'- 4 -'!$A$1:$G$76","'-3 -'!$A$1:$G$77"}</definedName>
    <definedName name="HTML_Control" localSheetId="53" hidden="1">{"'- 4 -'!$A$1:$G$76","'-3 -'!$A$1:$G$77"}</definedName>
    <definedName name="HTML_Control" localSheetId="54" hidden="1">{"'- 4 -'!$A$1:$G$76","'-3 -'!$A$1:$G$77"}</definedName>
    <definedName name="HTML_Control" localSheetId="55"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'- 10 -'!$A$2:$L$29</definedName>
    <definedName name="_xlnm.Print_Area" localSheetId="8">'- 12 -'!$A$2:$L$51</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'- 21 -'!$A$1:$J$55</definedName>
    <definedName name="_xlnm.Print_Area" localSheetId="17">'- 22 -'!$A$1:$J$55</definedName>
    <definedName name="_xlnm.Print_Area" localSheetId="19">'- 24 -'!$A$1:$F$52</definedName>
    <definedName name="_xlnm.Print_Area" localSheetId="20">'- 25 -'!$A$1:$I$52</definedName>
    <definedName name="_xlnm.Print_Area" localSheetId="21">'- 26 -'!$A$1:$J$52</definedName>
    <definedName name="_xlnm.Print_Area" localSheetId="22">'- 27 -'!$A$1:$E$52</definedName>
    <definedName name="_xlnm.Print_Area" localSheetId="23">'- 28 -'!$A$1:$J$52</definedName>
    <definedName name="_xlnm.Print_Area" localSheetId="24">'- 29 -'!$A$1:$J$53</definedName>
    <definedName name="_xlnm.Print_Area" localSheetId="1">'- 3 -'!$A$2:$F$58</definedName>
    <definedName name="_xlnm.Print_Area" localSheetId="25">'- 30 -'!$A$1:$G$52</definedName>
    <definedName name="_xlnm.Print_Area" localSheetId="26">'- 31 -'!$A$1:$G$52</definedName>
    <definedName name="_xlnm.Print_Area" localSheetId="27">'- 32 -'!$A$1:$G$52</definedName>
    <definedName name="_xlnm.Print_Area" localSheetId="28">'- 33 -'!$A$1:$F$52</definedName>
    <definedName name="_xlnm.Print_Area" localSheetId="29">'- 34 -'!$A$1:$G$52</definedName>
    <definedName name="_xlnm.Print_Area" localSheetId="30">'- 35 -'!$A$1:$H$52</definedName>
    <definedName name="_xlnm.Print_Area" localSheetId="31">'- 36 -'!$A$1:$E$52</definedName>
    <definedName name="_xlnm.Print_Area" localSheetId="32">'- 37 -'!$A$1:$G$54</definedName>
    <definedName name="_xlnm.Print_Area" localSheetId="33">'- 38 -'!$A$1:$J$56</definedName>
    <definedName name="_xlnm.Print_Area" localSheetId="34">'- 39 -'!$A$1:$H$54</definedName>
    <definedName name="_xlnm.Print_Area" localSheetId="2">'- 4 -'!$A$1:$E$56</definedName>
    <definedName name="_xlnm.Print_Area" localSheetId="35">'- 41 -'!$A$1:$H$55</definedName>
    <definedName name="_xlnm.Print_Area" localSheetId="36">'- 42 -'!$A$1:$H$60</definedName>
    <definedName name="_xlnm.Print_Area" localSheetId="37">'- 43 -'!$A$1:$I$57</definedName>
    <definedName name="_xlnm.Print_Area" localSheetId="38">'- 44 -'!$A$1:$I$52</definedName>
    <definedName name="_xlnm.Print_Area" localSheetId="39">'- 45 -'!$A$2:$D$59</definedName>
    <definedName name="_xlnm.Print_Area" localSheetId="40">'- 46 -'!$A$1:$F$56</definedName>
    <definedName name="_xlnm.Print_Area" localSheetId="41">'- 47 -'!$A$1:$F$54</definedName>
    <definedName name="_xlnm.Print_Area" localSheetId="42">'- 48 -'!$A$1:$E$59</definedName>
    <definedName name="_xlnm.Print_Area" localSheetId="43">'- 49 -'!$A$1:$G$57</definedName>
    <definedName name="_xlnm.Print_Area" localSheetId="44">'- 50 -'!$A$1:$H$55</definedName>
    <definedName name="_xlnm.Print_Area" localSheetId="45">'- 51 -'!$A$1:$D$58</definedName>
    <definedName name="_xlnm.Print_Area" localSheetId="46">'- 53 -'!$A$1:$G$57</definedName>
    <definedName name="_xlnm.Print_Area" localSheetId="47">'- 55 -'!$A$1:$F$52</definedName>
    <definedName name="_xlnm.Print_Area" localSheetId="48">'- 56 -'!$A$1:$F$54</definedName>
    <definedName name="_xlnm.Print_Area" localSheetId="49">'- 57 -'!$A$1:$F$54</definedName>
    <definedName name="_xlnm.Print_Area" localSheetId="50">'- 58 -'!$A$1:$F$55</definedName>
    <definedName name="_xlnm.Print_Area" localSheetId="51">'- 59 -'!$A$1:$F$53</definedName>
    <definedName name="_xlnm.Print_Area" localSheetId="3">'- 6 -'!$A$1:$H$54</definedName>
    <definedName name="_xlnm.Print_Area" localSheetId="52">'- 60 -'!$A$1:$F$59</definedName>
    <definedName name="_xlnm.Print_Area" localSheetId="53">'- 61 -'!$A$2:$G$64</definedName>
    <definedName name="_xlnm.Print_Area" localSheetId="54">'- 62 -'!$A$2:$G$55</definedName>
    <definedName name="_xlnm.Print_Area" localSheetId="55">'- 63 -'!$A$1:$I$58</definedName>
    <definedName name="_xlnm.Print_Area" localSheetId="4">'- 7 -'!$A$1:$G$59</definedName>
    <definedName name="_xlnm.Print_Area" localSheetId="5">'- 8 -'!$A$1:$G$57</definedName>
    <definedName name="_xlnm.Print_Area" localSheetId="6">'- 9 -'!$A$1:$D$57</definedName>
    <definedName name="_xlnm.Print_Area" localSheetId="0">'README'!$B$2:$B$18</definedName>
    <definedName name="REVYEAR">'- 42 -'!$B$1</definedName>
    <definedName name="SPRINGYR" localSheetId="0">#REF!</definedName>
    <definedName name="SPRINGYR">#REF!</definedName>
    <definedName name="STATDATE">'- 6 -'!$B$3</definedName>
    <definedName name="TAXYEAR">'- 51 -'!$B$3</definedName>
  </definedNames>
  <calcPr fullCalcOnLoad="1"/>
</workbook>
</file>

<file path=xl/sharedStrings.xml><?xml version="1.0" encoding="utf-8"?>
<sst xmlns="http://schemas.openxmlformats.org/spreadsheetml/2006/main" count="3236" uniqueCount="635">
  <si>
    <t xml:space="preserve">      includes teachers' retirement allowances, capital support and the education property tax credit, is 70.6% in 2006/07.  See page i for more </t>
  </si>
  <si>
    <t>REVENUE AND TRANSFERS</t>
  </si>
  <si>
    <r>
      <t xml:space="preserve">(1)  </t>
    </r>
    <r>
      <rPr>
        <sz val="9"/>
        <rFont val="Arial"/>
        <family val="2"/>
      </rPr>
      <t>Residual interest (accounting value) in all tangible capital assets (i.e. land, buildings, vehicles and equipment) net of accumulated amortization</t>
    </r>
  </si>
  <si>
    <t xml:space="preserve"> EXPENSE BY CATEGORY</t>
  </si>
  <si>
    <t xml:space="preserve">  REVENUE BY CATEGORY</t>
  </si>
  <si>
    <t>EXPENSES, REVENUE AND ACCUMULATED SURPLUS</t>
  </si>
  <si>
    <t>TANGIBLE CAPITAL ASSETS</t>
  </si>
  <si>
    <r>
      <t xml:space="preserve">INFORMATION SERVICES </t>
    </r>
    <r>
      <rPr>
        <b/>
        <vertAlign val="superscript"/>
        <sz val="10"/>
        <rFont val="Arial"/>
        <family val="2"/>
      </rPr>
      <t>(2)</t>
    </r>
  </si>
  <si>
    <r>
      <t>(1)</t>
    </r>
    <r>
      <rPr>
        <sz val="9"/>
        <rFont val="Arial"/>
        <family val="2"/>
      </rPr>
      <t xml:space="preserve">  See appendix for more detail.</t>
    </r>
  </si>
  <si>
    <r>
      <t xml:space="preserve">(DEFICIT) AT YEAR END </t>
    </r>
    <r>
      <rPr>
        <b/>
        <vertAlign val="superscript"/>
        <sz val="10"/>
        <rFont val="Arial"/>
        <family val="2"/>
      </rPr>
      <t>(1)</t>
    </r>
  </si>
  <si>
    <r>
      <t>(1)</t>
    </r>
    <r>
      <rPr>
        <b/>
        <sz val="9"/>
        <rFont val="Arial"/>
        <family val="2"/>
      </rPr>
      <t xml:space="preserve">  School divisions/districts may have set aside some or all of their surpluses for specific purposes.  For further information, please refer</t>
    </r>
  </si>
  <si>
    <t xml:space="preserve">      amounts reported as Total Expenses on page 3.</t>
  </si>
  <si>
    <r>
      <t xml:space="preserve">RESIDENT PUPIL </t>
    </r>
    <r>
      <rPr>
        <b/>
        <vertAlign val="superscript"/>
        <sz val="10"/>
        <rFont val="Arial"/>
        <family val="2"/>
      </rPr>
      <t>(1)</t>
    </r>
  </si>
  <si>
    <r>
      <t xml:space="preserve">SUPPORT </t>
    </r>
    <r>
      <rPr>
        <b/>
        <vertAlign val="superscript"/>
        <sz val="10"/>
        <rFont val="Arial"/>
        <family val="2"/>
      </rPr>
      <t>(1)</t>
    </r>
  </si>
  <si>
    <r>
      <t xml:space="preserve">SUPPORT </t>
    </r>
    <r>
      <rPr>
        <b/>
        <vertAlign val="superscript"/>
        <sz val="10"/>
        <rFont val="Arial"/>
        <family val="2"/>
      </rPr>
      <t>(2)</t>
    </r>
  </si>
  <si>
    <r>
      <t>(2)</t>
    </r>
    <r>
      <rPr>
        <sz val="9"/>
        <rFont val="Arial"/>
        <family val="2"/>
      </rPr>
      <t xml:space="preserve">  Provided in recognition of the higher costs associated with sparsely populated rural and northern divisions.</t>
    </r>
  </si>
  <si>
    <r>
      <t xml:space="preserve">NEEDS </t>
    </r>
    <r>
      <rPr>
        <b/>
        <vertAlign val="superscript"/>
        <sz val="10"/>
        <rFont val="Arial"/>
        <family val="2"/>
      </rPr>
      <t>(2)</t>
    </r>
  </si>
  <si>
    <r>
      <t>(1)</t>
    </r>
    <r>
      <rPr>
        <sz val="9"/>
        <rFont val="Arial"/>
        <family val="2"/>
      </rPr>
      <t xml:space="preserve">  Includes vehicle support for school buses.</t>
    </r>
  </si>
  <si>
    <r>
      <t xml:space="preserve">CATEGORICAL </t>
    </r>
    <r>
      <rPr>
        <b/>
        <vertAlign val="superscript"/>
        <sz val="10"/>
        <rFont val="Arial"/>
        <family val="2"/>
      </rPr>
      <t>(1)</t>
    </r>
  </si>
  <si>
    <r>
      <t>(1)</t>
    </r>
    <r>
      <rPr>
        <sz val="9"/>
        <rFont val="Arial"/>
        <family val="2"/>
      </rPr>
      <t xml:space="preserve">  Equalization is provided to recognize the varying ability of school divisions to meet the cost of unsupported program requirements through the</t>
    </r>
  </si>
  <si>
    <t xml:space="preserve">      property tax base of the school division.</t>
  </si>
  <si>
    <r>
      <t>(2)</t>
    </r>
    <r>
      <rPr>
        <sz val="9"/>
        <rFont val="Arial"/>
        <family val="2"/>
      </rPr>
      <t xml:space="preserve">  For a definition of Divisional Administration, see expenditure definitions, page iii.</t>
    </r>
  </si>
  <si>
    <r>
      <t>(4)</t>
    </r>
    <r>
      <rPr>
        <sz val="9"/>
        <rFont val="Arial"/>
        <family val="2"/>
      </rPr>
      <t xml:space="preserve">  Administration of Pupil Transportation.  For a definition of Transportation of Pupils, see expenditure definitions, page iii.</t>
    </r>
  </si>
  <si>
    <r>
      <t>(5)</t>
    </r>
    <r>
      <rPr>
        <sz val="9"/>
        <rFont val="Arial"/>
        <family val="2"/>
      </rPr>
      <t xml:space="preserve">  Administration of Operations and Maintenance.  For a definition of Operations and Maintenance, see expenditure definitions, page iii.</t>
    </r>
  </si>
  <si>
    <t>(5)</t>
  </si>
  <si>
    <t>(from page 32)</t>
  </si>
  <si>
    <r>
      <t xml:space="preserve">FUNCTION 300 </t>
    </r>
    <r>
      <rPr>
        <b/>
        <vertAlign val="superscript"/>
        <sz val="10"/>
        <rFont val="Arial"/>
        <family val="2"/>
      </rPr>
      <t>(1)</t>
    </r>
  </si>
  <si>
    <t xml:space="preserve">      Learning Centres on page 15 owing to the inclusion of operating transfers for the purpose of calculating administration costs.</t>
  </si>
  <si>
    <t>PUPIL / EDUCATOR</t>
  </si>
  <si>
    <t>RATIO</t>
  </si>
  <si>
    <t xml:space="preserve">      to the school divisions' financial statements.</t>
  </si>
  <si>
    <t>PAGE 1 OF 3</t>
  </si>
  <si>
    <t xml:space="preserve"> </t>
  </si>
  <si>
    <t>PAGE 2 OF 3</t>
  </si>
  <si>
    <t>PAGE 3 OF 3</t>
  </si>
  <si>
    <t xml:space="preserve"> FRAME STUDENT STATISTICS</t>
  </si>
  <si>
    <t>PAGE 1 OF 2</t>
  </si>
  <si>
    <t xml:space="preserve">PAGE 2 OF 2 </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</si>
  <si>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</si>
  <si>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</si>
  <si>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</si>
  <si>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</si>
  <si>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</si>
  <si>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</si>
  <si>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</si>
  <si>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</si>
  <si>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</si>
  <si>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</si>
  <si>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</si>
  <si>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</si>
  <si>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</si>
  <si>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</si>
  <si>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</si>
  <si>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</si>
  <si>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</si>
  <si>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</si>
  <si>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</si>
  <si>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</si>
  <si>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</si>
  <si>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</si>
  <si>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</si>
  <si>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</si>
  <si>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</si>
  <si>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</si>
  <si>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</si>
  <si>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</si>
  <si>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ENGLISH AS A</t>
  </si>
  <si>
    <t>COMMUNITY SERVICES</t>
  </si>
  <si>
    <t>BOARD OF TRUSTEES</t>
  </si>
  <si>
    <t>AND ADMINISTRATION</t>
  </si>
  <si>
    <t>ADMIN. SERVICES</t>
  </si>
  <si>
    <t>INFORMATION SERVICES</t>
  </si>
  <si>
    <t>STAFF DEVELOPMENT</t>
  </si>
  <si>
    <t>AND DEVELOPMENT</t>
  </si>
  <si>
    <t>OTHER</t>
  </si>
  <si>
    <t>ALLOWANCES IN LIEU</t>
  </si>
  <si>
    <t>BOARDING OF</t>
  </si>
  <si>
    <t>SCHOOL BUILDINGS</t>
  </si>
  <si>
    <t>REGULAR INSTRUCTION</t>
  </si>
  <si>
    <t>COMMUNITY EDUCATION</t>
  </si>
  <si>
    <t>OF PUPILS</t>
  </si>
  <si>
    <t>MAINTENANCE</t>
  </si>
  <si>
    <t>FISCAL</t>
  </si>
  <si>
    <t>TOTAL</t>
  </si>
  <si>
    <t>(PROGRAM 720)</t>
  </si>
  <si>
    <t>(PROGRAMS 710, 720 AND 790)</t>
  </si>
  <si>
    <t>REPLACEMENTS</t>
  </si>
  <si>
    <t>COMMUNITY</t>
  </si>
  <si>
    <t>EXPENDITURES</t>
  </si>
  <si>
    <t>PER</t>
  </si>
  <si>
    <t>SECOND LANGUAGE</t>
  </si>
  <si>
    <t>&amp; RECREATION</t>
  </si>
  <si>
    <t>REGULAR</t>
  </si>
  <si>
    <t>OF TRANSPORTATION</t>
  </si>
  <si>
    <t>STUDENTS</t>
  </si>
  <si>
    <t>OTHER BUILDINGS</t>
  </si>
  <si>
    <t>GROUNDS</t>
  </si>
  <si>
    <t>ENGLISH</t>
  </si>
  <si>
    <t>FRENCH</t>
  </si>
  <si>
    <t>NURSERY</t>
  </si>
  <si>
    <t xml:space="preserve">REGULAR </t>
  </si>
  <si>
    <t>TOTAL KM.</t>
  </si>
  <si>
    <t>COST</t>
  </si>
  <si>
    <t>LOADED</t>
  </si>
  <si>
    <t>COST PER</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</si>
  <si>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</si>
  <si>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</si>
  <si>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</si>
  <si>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</si>
  <si>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</si>
  <si>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</si>
  <si>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</si>
  <si>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</si>
  <si>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</si>
  <si>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</si>
  <si>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</si>
  <si>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</si>
  <si>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</si>
  <si>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</si>
  <si>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</si>
  <si>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</si>
  <si>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</si>
  <si>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TOTAL PORTIONED ASSESSMENT, SPECIAL LEVY AND MILL RATES</t>
  </si>
  <si>
    <t>PROVINCIAL GOVERNMENT</t>
  </si>
  <si>
    <t>BASE SUPPORT</t>
  </si>
  <si>
    <t>CATEGORICAL SUPPORT</t>
  </si>
  <si>
    <t>PRIVATE</t>
  </si>
  <si>
    <t>% OF OPERATING FUND REVENUES</t>
  </si>
  <si>
    <t>PORTIONED ASSESSMENT</t>
  </si>
  <si>
    <t>FEDERAL</t>
  </si>
  <si>
    <t>MUNICIPAL</t>
  </si>
  <si>
    <t>OTHER SCHOOL</t>
  </si>
  <si>
    <t>ORGANIZATIONS</t>
  </si>
  <si>
    <t>NON-PROVINCIAL</t>
  </si>
  <si>
    <t>OPERATING</t>
  </si>
  <si>
    <t>GOVERNMENTS</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</si>
  <si>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</si>
  <si>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</si>
  <si>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</si>
  <si>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</si>
  <si>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</si>
  <si>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</si>
  <si>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</si>
  <si>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</si>
  <si>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</si>
  <si>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</si>
  <si>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</si>
  <si>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</si>
  <si>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</si>
  <si>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</si>
  <si>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</si>
  <si>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</si>
  <si>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</si>
  <si>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</si>
  <si>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</si>
  <si>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</si>
  <si>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DEBT</t>
  </si>
  <si>
    <t>CAPITAL</t>
  </si>
  <si>
    <t>AND FARM</t>
  </si>
  <si>
    <t>LAND AND</t>
  </si>
  <si>
    <t>LEVY</t>
  </si>
  <si>
    <t>MINING</t>
  </si>
  <si>
    <t>SUPPORT</t>
  </si>
  <si>
    <t>OCCUPANCY</t>
  </si>
  <si>
    <t>AND GUIDANCE</t>
  </si>
  <si>
    <t>SERVICES</t>
  </si>
  <si>
    <t>DEVELOPMENT</t>
  </si>
  <si>
    <t>NATIONS</t>
  </si>
  <si>
    <t>INDIVIDUALS</t>
  </si>
  <si>
    <t>BUILDINGS</t>
  </si>
  <si>
    <t>EQUIPMENT</t>
  </si>
  <si>
    <t>RESIDENTIAL</t>
  </si>
  <si>
    <t xml:space="preserve">OTHER  </t>
  </si>
  <si>
    <t>SPECIAL LEVY</t>
  </si>
  <si>
    <t>OBJECT</t>
  </si>
  <si>
    <t>EMPLOYEE</t>
  </si>
  <si>
    <t>SUPPLIES AND</t>
  </si>
  <si>
    <t>SALARIES</t>
  </si>
  <si>
    <t>BENEFITS</t>
  </si>
  <si>
    <t>MATERIALS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</si>
  <si>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</si>
  <si>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</si>
  <si>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</si>
  <si>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</si>
  <si>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</si>
  <si>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</si>
  <si>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</si>
  <si>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</si>
  <si>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</si>
  <si>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</si>
  <si>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NO. OF</t>
  </si>
  <si>
    <t>%  IN DUAL TRACK SCHOOLS</t>
  </si>
  <si>
    <t>F.T.E.</t>
  </si>
  <si>
    <t>ENROLMENTS - HEADCOUNT, FRAME AND ELIGIBLE</t>
  </si>
  <si>
    <t>ENROLMENT</t>
  </si>
  <si>
    <t>FRAME PUPIL / TEACHER RATIOS</t>
  </si>
  <si>
    <t>PUPIL / TEACHER RATIOS</t>
  </si>
  <si>
    <t>INSTRUCTIONAL AND PUPIL SUPPORT SERVICES</t>
  </si>
  <si>
    <t>INSURANCE</t>
  </si>
  <si>
    <t>OTHER RESOURCE</t>
  </si>
  <si>
    <t>DIVISIONAL</t>
  </si>
  <si>
    <t>DIVISIONAL ADMINISTRATION</t>
  </si>
  <si>
    <t xml:space="preserve"> FUNCTION 500: DIVISIONAL ADMINISTRATION</t>
  </si>
  <si>
    <t>PRE-KINDERGARTEN</t>
  </si>
  <si>
    <t xml:space="preserve">N/A </t>
  </si>
  <si>
    <t>SENIOR YEARS</t>
  </si>
  <si>
    <t>EXPENDITURE</t>
  </si>
  <si>
    <t>(1)</t>
  </si>
  <si>
    <t>- 10 -</t>
  </si>
  <si>
    <t>TRANSPORTED</t>
  </si>
  <si>
    <t>CURRICULAR</t>
  </si>
  <si>
    <t>INFORMATION</t>
  </si>
  <si>
    <t>EARLY</t>
  </si>
  <si>
    <t>INTERVENTION</t>
  </si>
  <si>
    <t>PAGE 1 OF 5</t>
  </si>
  <si>
    <t>PAGE 2 OF 5</t>
  </si>
  <si>
    <t>PAGE 3 OF 5</t>
  </si>
  <si>
    <t>PAGE 4 OF 5</t>
  </si>
  <si>
    <t>PAGE 5 OF 5</t>
  </si>
  <si>
    <t>ABORIGINAL</t>
  </si>
  <si>
    <t>ACADEMIC</t>
  </si>
  <si>
    <t>PROGRAMS</t>
  </si>
  <si>
    <t>LITERACY</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</si>
  <si>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</si>
  <si>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</si>
  <si>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</si>
  <si>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</si>
  <si>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</si>
  <si>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</si>
  <si>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</si>
  <si>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</si>
  <si>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</si>
  <si>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</si>
  <si>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</si>
  <si>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</si>
  <si>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</si>
  <si>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</si>
  <si>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</si>
  <si>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</si>
  <si>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</si>
  <si>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</si>
  <si>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</si>
  <si>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</si>
  <si>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</si>
  <si>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</si>
  <si>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</si>
  <si>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</si>
  <si>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</si>
  <si>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</si>
  <si>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</si>
  <si>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</si>
  <si>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</si>
  <si>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</si>
  <si>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</si>
  <si>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</si>
  <si>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</si>
  <si>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</si>
  <si>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</si>
  <si>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</si>
  <si>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</si>
  <si>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</si>
  <si>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</si>
  <si>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</si>
  <si>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</si>
  <si>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</si>
  <si>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</si>
  <si>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</si>
  <si>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</si>
  <si>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</si>
  <si>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</si>
  <si>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</si>
  <si>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</si>
  <si>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</si>
  <si>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</si>
  <si>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</si>
  <si>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</si>
  <si>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</si>
  <si>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</si>
  <si>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</si>
  <si>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</si>
  <si>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</si>
  <si>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</si>
  <si>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</si>
  <si>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 xml:space="preserve"> D.S.F.M.</t>
  </si>
  <si>
    <t>MEDIA CENTRE</t>
  </si>
  <si>
    <t>FIELD TRIPS</t>
  </si>
  <si>
    <t>EXPENSES</t>
  </si>
  <si>
    <t>CENTRES</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</si>
  <si>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</si>
  <si>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</si>
  <si>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</si>
  <si>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</si>
  <si>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</si>
  <si>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</si>
  <si>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</si>
  <si>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</si>
  <si>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</si>
  <si>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</si>
  <si>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</si>
  <si>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</si>
  <si>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</si>
  <si>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</si>
  <si>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</si>
  <si>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</si>
  <si>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</si>
  <si>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</si>
  <si>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</si>
  <si>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</si>
  <si>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</si>
  <si>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</si>
  <si>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</si>
  <si>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</si>
  <si>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</si>
  <si>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</si>
  <si>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</si>
  <si>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</si>
  <si>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</si>
  <si>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</si>
  <si>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</si>
  <si>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</si>
  <si>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</si>
  <si>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</si>
  <si>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 xml:space="preserve">  TRAVEL AND MEETINGS</t>
  </si>
  <si>
    <t>OPERATING FUND - ACCUMULATED SURPLUS/(DEFICIT)</t>
  </si>
  <si>
    <t>ACCUMULATED SURPLUS/</t>
  </si>
  <si>
    <t>EDUCATION, CITIZENSHIP AND YOUTH</t>
  </si>
  <si>
    <t>(2)</t>
  </si>
  <si>
    <t>LOCAL TAXATION AND ASSESSMENT PER RESIDENT PUPIL</t>
  </si>
  <si>
    <t xml:space="preserve">  EXECUTIVE, MANAGERIAL &amp; SUPERVISORY</t>
  </si>
  <si>
    <t>ACTUAL</t>
  </si>
  <si>
    <t>Reallocation of administration costs associated with Adult Learning Centre operations from Function 500 to Function 300.</t>
  </si>
  <si>
    <t xml:space="preserve"> DIVISION/DISTRICT TOTAL</t>
  </si>
  <si>
    <t xml:space="preserve"> L.G.D. OF PINAWA</t>
  </si>
  <si>
    <t xml:space="preserve"> NOT IN ANY DIVISION</t>
  </si>
  <si>
    <t>MILL RATE</t>
  </si>
  <si>
    <t>PER RESIDENT</t>
  </si>
  <si>
    <t>STATISTICAL SUMMARY</t>
  </si>
  <si>
    <t>AMALGAMATED</t>
  </si>
  <si>
    <t>AND DEVELOPMENT ADMIN.</t>
  </si>
  <si>
    <t>PAGE 1 0F 2</t>
  </si>
  <si>
    <t>LESS:</t>
  </si>
  <si>
    <t>LIABILITY</t>
  </si>
  <si>
    <t>CURRICULUM</t>
  </si>
  <si>
    <t>CONSULTING /</t>
  </si>
  <si>
    <t>OPERATIONS &amp;</t>
  </si>
  <si>
    <t xml:space="preserve"> &amp; ADMIN.</t>
  </si>
  <si>
    <t>PORTION OF</t>
  </si>
  <si>
    <t>FUNCTION 500</t>
  </si>
  <si>
    <t>PROGRAM 605</t>
  </si>
  <si>
    <t>PROGRAM 710</t>
  </si>
  <si>
    <t>PROGRAM 810</t>
  </si>
  <si>
    <t>SELF-FUNDED</t>
  </si>
  <si>
    <t>ADMIN.</t>
  </si>
  <si>
    <t>(3)</t>
  </si>
  <si>
    <t>(4)</t>
  </si>
  <si>
    <t>PAGE 2 0F 2</t>
  </si>
  <si>
    <t>CALCULATION OF EXPENDITURE BASE AND ADMINISTRATION PERCENTAGE</t>
  </si>
  <si>
    <t>PLUS</t>
  </si>
  <si>
    <t>LESS ADULT</t>
  </si>
  <si>
    <t>TO</t>
  </si>
  <si>
    <t>LEARNING</t>
  </si>
  <si>
    <t>ADJUSTED</t>
  </si>
  <si>
    <t>AS % OF</t>
  </si>
  <si>
    <t>(from page 3)</t>
  </si>
  <si>
    <t xml:space="preserve">      per pupil costs.</t>
  </si>
  <si>
    <r>
      <t xml:space="preserve">EXPENSES </t>
    </r>
    <r>
      <rPr>
        <b/>
        <vertAlign val="superscript"/>
        <sz val="10"/>
        <rFont val="Arial"/>
        <family val="2"/>
      </rPr>
      <t>(1)</t>
    </r>
  </si>
  <si>
    <r>
      <t xml:space="preserve">TRANSFERS </t>
    </r>
    <r>
      <rPr>
        <b/>
        <vertAlign val="superscript"/>
        <sz val="10"/>
        <rFont val="Arial"/>
        <family val="2"/>
      </rPr>
      <t>(2)</t>
    </r>
  </si>
  <si>
    <r>
      <t xml:space="preserve">&amp; SERVICES </t>
    </r>
    <r>
      <rPr>
        <b/>
        <vertAlign val="superscript"/>
        <sz val="10"/>
        <rFont val="Arial"/>
        <family val="2"/>
      </rPr>
      <t>(4)</t>
    </r>
  </si>
  <si>
    <r>
      <t xml:space="preserve">COSTS </t>
    </r>
    <r>
      <rPr>
        <b/>
        <vertAlign val="superscript"/>
        <sz val="10"/>
        <rFont val="Arial"/>
        <family val="2"/>
      </rPr>
      <t>(5)</t>
    </r>
  </si>
  <si>
    <r>
      <t>(2)</t>
    </r>
    <r>
      <rPr>
        <sz val="9"/>
        <rFont val="Arial"/>
        <family val="2"/>
      </rPr>
      <t xml:space="preserve">  Operating fund transfers are payments to other school divisions, organizations and individuals.  These are removed to provide more accurate</t>
    </r>
  </si>
  <si>
    <r>
      <t>(3)</t>
    </r>
    <r>
      <rPr>
        <sz val="9"/>
        <rFont val="Arial"/>
        <family val="2"/>
      </rPr>
      <t xml:space="preserve">  As reported on pages 10 and 13 (on a provincial basis).</t>
    </r>
  </si>
  <si>
    <r>
      <t>(5)</t>
    </r>
    <r>
      <rPr>
        <sz val="9"/>
        <rFont val="Arial"/>
        <family val="2"/>
      </rPr>
      <t xml:space="preserve">  As reported on page 4.</t>
    </r>
  </si>
  <si>
    <r>
      <t xml:space="preserve">SINGLE TRACK </t>
    </r>
    <r>
      <rPr>
        <b/>
        <vertAlign val="superscript"/>
        <sz val="10"/>
        <rFont val="Arial"/>
        <family val="2"/>
      </rPr>
      <t>(1)</t>
    </r>
  </si>
  <si>
    <r>
      <t xml:space="preserve">DUAL TRACK </t>
    </r>
    <r>
      <rPr>
        <b/>
        <vertAlign val="superscript"/>
        <sz val="10"/>
        <rFont val="Arial"/>
        <family val="2"/>
      </rPr>
      <t>(2)</t>
    </r>
  </si>
  <si>
    <r>
      <t>(1)</t>
    </r>
    <r>
      <rPr>
        <sz val="9"/>
        <rFont val="Arial"/>
        <family val="2"/>
      </rPr>
      <t xml:space="preserve">  90% or more of Regular Instruction enrolment is in one language program.</t>
    </r>
  </si>
  <si>
    <r>
      <t>(2)</t>
    </r>
    <r>
      <rPr>
        <sz val="9"/>
        <rFont val="Arial"/>
        <family val="2"/>
      </rPr>
      <t xml:space="preserve">  No one language program comprises 90% or more of Regular Instruction enrolment.</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</si>
  <si>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</si>
  <si>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</si>
  <si>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</si>
  <si>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</si>
  <si>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INSTRUCTION </t>
    </r>
    <r>
      <rPr>
        <b/>
        <vertAlign val="superscript"/>
        <sz val="10"/>
        <rFont val="Arial"/>
        <family val="2"/>
      </rPr>
      <t>(1)</t>
    </r>
  </si>
  <si>
    <r>
      <t xml:space="preserve">EDUCATOR </t>
    </r>
    <r>
      <rPr>
        <b/>
        <vertAlign val="superscript"/>
        <sz val="10"/>
        <rFont val="Arial"/>
        <family val="2"/>
      </rPr>
      <t>(2)</t>
    </r>
  </si>
  <si>
    <r>
      <t>(2)</t>
    </r>
    <r>
      <rPr>
        <sz val="9"/>
        <rFont val="Arial"/>
        <family val="2"/>
      </rPr>
      <t xml:space="preserve">  The total number of pupils enrolled in schools adjusted for full time equivalence (F.T.E.).  Full time equivalent means pupils are counted on the</t>
    </r>
  </si>
  <si>
    <t xml:space="preserve">      basis of time attending school - eg. Kindergarten as 1/2.  This total is the same as reported on page 7.</t>
  </si>
  <si>
    <t xml:space="preserve">      music, ESL, etc. in addition to regular classroom teachers.  School-based administrative personnel are excluded.</t>
  </si>
  <si>
    <r>
      <t>(1)</t>
    </r>
    <r>
      <rPr>
        <sz val="9"/>
        <rFont val="Arial"/>
        <family val="2"/>
      </rPr>
      <t xml:space="preserve">  Based on object code 330 instructional-teaching personnel and F.T.E. students in Function 100.  Included are teachers in physical education,</t>
    </r>
  </si>
  <si>
    <r>
      <t>(2)</t>
    </r>
    <r>
      <rPr>
        <sz val="9"/>
        <rFont val="Arial"/>
        <family val="2"/>
      </rPr>
      <t xml:space="preserve">  Based on total instructional-teaching (excluding Community Education and Adult Learning Centres) as well as school-based administrative</t>
    </r>
  </si>
  <si>
    <t xml:space="preserve">      are excluded.  While this definition is consistent with Statistics Canada's, the provincial ratio may not agree exactly due to different data sources.</t>
  </si>
  <si>
    <r>
      <t xml:space="preserve">  RECHARGE </t>
    </r>
    <r>
      <rPr>
        <vertAlign val="superscript"/>
        <sz val="10"/>
        <rFont val="Arial"/>
        <family val="2"/>
      </rPr>
      <t>(1)</t>
    </r>
  </si>
  <si>
    <r>
      <t xml:space="preserve">SINGLE TRACK SCHOOLS </t>
    </r>
    <r>
      <rPr>
        <b/>
        <vertAlign val="superscript"/>
        <sz val="10"/>
        <rFont val="Arial"/>
        <family val="2"/>
      </rPr>
      <t>(1)</t>
    </r>
  </si>
  <si>
    <r>
      <t>(1)</t>
    </r>
    <r>
      <rPr>
        <sz val="9"/>
        <rFont val="Arial"/>
        <family val="2"/>
      </rPr>
      <t xml:space="preserve">  90% or more of Regular Instruction enrolment is in one language.</t>
    </r>
  </si>
  <si>
    <r>
      <t xml:space="preserve">DUAL TRACK SCHOOLS </t>
    </r>
    <r>
      <rPr>
        <b/>
        <vertAlign val="superscript"/>
        <sz val="10"/>
        <rFont val="Arial"/>
        <family val="2"/>
      </rPr>
      <t>(1)</t>
    </r>
  </si>
  <si>
    <r>
      <t>(1)</t>
    </r>
    <r>
      <rPr>
        <sz val="9"/>
        <rFont val="Arial"/>
        <family val="2"/>
      </rPr>
      <t xml:space="preserve">  No one language program comprises 90% or more of Regular Instruction enrolment.</t>
    </r>
  </si>
  <si>
    <r>
      <t xml:space="preserve">GIFTED EDUCATION </t>
    </r>
    <r>
      <rPr>
        <b/>
        <vertAlign val="superscript"/>
        <sz val="10"/>
        <rFont val="Arial"/>
        <family val="2"/>
      </rPr>
      <t>(1)</t>
    </r>
  </si>
  <si>
    <r>
      <t xml:space="preserve">SQ. FT. </t>
    </r>
    <r>
      <rPr>
        <b/>
        <vertAlign val="superscript"/>
        <sz val="10"/>
        <rFont val="Arial"/>
        <family val="2"/>
      </rPr>
      <t>(1)</t>
    </r>
  </si>
  <si>
    <r>
      <t xml:space="preserve">PUPIL </t>
    </r>
    <r>
      <rPr>
        <b/>
        <vertAlign val="superscript"/>
        <sz val="10"/>
        <rFont val="Arial"/>
        <family val="2"/>
      </rPr>
      <t>(2)</t>
    </r>
  </si>
  <si>
    <r>
      <t>(2)</t>
    </r>
    <r>
      <rPr>
        <sz val="9"/>
        <rFont val="Arial"/>
        <family val="2"/>
      </rPr>
      <t xml:space="preserve">  Square footage (as per note above) divided by total F.T.E. enrolment (from page 7).</t>
    </r>
  </si>
  <si>
    <r>
      <t>(1)</t>
    </r>
    <r>
      <rPr>
        <sz val="9"/>
        <rFont val="Arial"/>
        <family val="2"/>
      </rPr>
      <t xml:space="preserve">  Assessment per resident pupil is based on total portioned assessment adjusted for allocations to the D.S.F.M. and corresponds to data provided</t>
    </r>
  </si>
  <si>
    <t xml:space="preserve">      in the calculation of support to school divisions.  Assessment per resident pupil for Flin Flon, Frontier and Mystery Lake reflects non-assessed</t>
  </si>
  <si>
    <t xml:space="preserve">      mining properties.  D.S.F.M. assessment per resident pupil is derived on a pro rata basis according to enrolment within D.S.F.M. boundaries.</t>
  </si>
  <si>
    <t xml:space="preserve">      400 (Community Education and Services).</t>
  </si>
  <si>
    <r>
      <t xml:space="preserve">PROVINCIAL </t>
    </r>
    <r>
      <rPr>
        <b/>
        <vertAlign val="superscript"/>
        <sz val="10"/>
        <rFont val="Arial"/>
        <family val="2"/>
      </rPr>
      <t>(1)</t>
    </r>
  </si>
  <si>
    <t xml:space="preserve">      information.</t>
  </si>
  <si>
    <t>FOR ADULTS</t>
  </si>
  <si>
    <r>
      <t>(1)</t>
    </r>
    <r>
      <rPr>
        <sz val="9"/>
        <rFont val="Arial"/>
        <family val="2"/>
      </rPr>
      <t xml:space="preserve">  From page 4 (for more information, see page 4).</t>
    </r>
  </si>
  <si>
    <r>
      <t>(2)</t>
    </r>
    <r>
      <rPr>
        <sz val="9"/>
        <rFont val="Arial"/>
        <family val="2"/>
      </rPr>
      <t xml:space="preserve">  From page 9 (for more information, see page 9).</t>
    </r>
  </si>
  <si>
    <r>
      <t xml:space="preserve">PER PUPIL </t>
    </r>
    <r>
      <rPr>
        <b/>
        <vertAlign val="superscript"/>
        <sz val="10"/>
        <rFont val="Arial"/>
        <family val="2"/>
      </rPr>
      <t>(1)</t>
    </r>
  </si>
  <si>
    <t>SEPT. 30, 2004</t>
  </si>
  <si>
    <t>PROPERTY</t>
  </si>
  <si>
    <r>
      <t xml:space="preserve">PROGRAM </t>
    </r>
    <r>
      <rPr>
        <b/>
        <vertAlign val="superscript"/>
        <sz val="9"/>
        <rFont val="Arial"/>
        <family val="2"/>
      </rPr>
      <t>(1)</t>
    </r>
  </si>
  <si>
    <r>
      <t xml:space="preserve">TAX CREDIT </t>
    </r>
    <r>
      <rPr>
        <b/>
        <vertAlign val="superscript"/>
        <sz val="9"/>
        <rFont val="Arial"/>
        <family val="2"/>
      </rPr>
      <t>(2)</t>
    </r>
  </si>
  <si>
    <r>
      <t xml:space="preserve">REVENUE </t>
    </r>
    <r>
      <rPr>
        <b/>
        <vertAlign val="superscript"/>
        <sz val="9"/>
        <rFont val="Arial"/>
        <family val="2"/>
      </rPr>
      <t>(3)</t>
    </r>
  </si>
  <si>
    <r>
      <t xml:space="preserve">REVENUE </t>
    </r>
    <r>
      <rPr>
        <b/>
        <vertAlign val="superscript"/>
        <sz val="9"/>
        <rFont val="Arial"/>
        <family val="2"/>
      </rPr>
      <t>(4)</t>
    </r>
  </si>
  <si>
    <r>
      <t xml:space="preserve">REVENUE </t>
    </r>
    <r>
      <rPr>
        <b/>
        <vertAlign val="superscript"/>
        <sz val="9"/>
        <rFont val="Arial"/>
        <family val="2"/>
      </rPr>
      <t>(5)</t>
    </r>
  </si>
  <si>
    <t xml:space="preserve"> WPG. TECH. COLLEGE</t>
  </si>
  <si>
    <t xml:space="preserve">      directly to school divisions as revenue from the Province of Manitoba to more accurately reflect the amount of provincial funding provided in</t>
  </si>
  <si>
    <t xml:space="preserve">      support of education.  Amounts shown here do not include the income tax portion of the EPTC nor the Pensioner’s School Tax Assistance</t>
  </si>
  <si>
    <t xml:space="preserve">      (PSTA) because these are not quantifiable on a school division basis.  For the income tax portion of the EPTC and the PSTA, see page i.</t>
  </si>
  <si>
    <r>
      <t>(2)</t>
    </r>
    <r>
      <rPr>
        <sz val="9"/>
        <rFont val="Arial"/>
        <family val="2"/>
      </rPr>
      <t xml:space="preserve">  Effective for the 2005 tax year, the Resident Homeowner Advance portion of the Manitoba Education Property Tax Credit (EPTC) is provided</t>
    </r>
  </si>
  <si>
    <r>
      <t xml:space="preserve">(3) </t>
    </r>
    <r>
      <rPr>
        <sz val="9"/>
        <rFont val="Arial"/>
        <family val="2"/>
      </rPr>
      <t xml:space="preserve"> Includes other miscellaneous support (Institutional Programs, Adult Learning Centres, General Support Grant, etc.).</t>
    </r>
  </si>
  <si>
    <r>
      <t>(4)</t>
    </r>
    <r>
      <rPr>
        <sz val="9"/>
        <rFont val="Arial"/>
        <family val="2"/>
      </rPr>
      <t xml:space="preserve">  Includes revenue from other provincial government departments.</t>
    </r>
  </si>
  <si>
    <t xml:space="preserve">      division for more information.   Does not include costs related to generalized enrichment activities undertaken by school divisions, or</t>
  </si>
  <si>
    <t xml:space="preserve">      International Baccalaureate and Advanced Placement classes.</t>
  </si>
  <si>
    <r>
      <t>(1)</t>
    </r>
    <r>
      <rPr>
        <sz val="9"/>
        <rFont val="Arial"/>
        <family val="2"/>
      </rPr>
      <t xml:space="preserve">  Operating fund transfers (i.e. payments to other school divisions, organizations and individuals) are excluded to provide more accurate per pupil</t>
    </r>
  </si>
  <si>
    <t xml:space="preserve">      staff - eg. department heads, coordinators, principals and vice-principals - and K-12 F.T.E. enrolment.  Division administrators (Function 500)</t>
  </si>
  <si>
    <t>K-12</t>
  </si>
  <si>
    <t>K-12  F.T.E.</t>
  </si>
  <si>
    <t xml:space="preserve">      costs.  Also excluded are expenditures on educational services not provided to K-12 pupils: Function 300 (Adult Learning Centres) and Function</t>
  </si>
  <si>
    <t>NON K-12</t>
  </si>
  <si>
    <r>
      <t xml:space="preserve">(1)  </t>
    </r>
    <r>
      <rPr>
        <sz val="9"/>
        <rFont val="Arial"/>
        <family val="2"/>
      </rPr>
      <t>The portion shown here is comprised of operating support only.  The total provincial contribution to K-12 public school education, which also</t>
    </r>
  </si>
  <si>
    <t>2005/2006 ACTUAL</t>
  </si>
  <si>
    <t>SEPT. 30, 2005</t>
  </si>
  <si>
    <t xml:space="preserve">      district Whiteshell includes out-of-district pupils.</t>
  </si>
  <si>
    <r>
      <t xml:space="preserve">LEVY </t>
    </r>
    <r>
      <rPr>
        <b/>
        <vertAlign val="superscript"/>
        <sz val="10"/>
        <rFont val="Arial"/>
        <family val="2"/>
      </rPr>
      <t>(1)</t>
    </r>
  </si>
  <si>
    <r>
      <t xml:space="preserve">MILL RATE </t>
    </r>
    <r>
      <rPr>
        <b/>
        <vertAlign val="superscript"/>
        <sz val="10"/>
        <rFont val="Arial"/>
        <family val="2"/>
      </rPr>
      <t>(2)</t>
    </r>
  </si>
  <si>
    <t>2005/06</t>
  </si>
  <si>
    <t>ADDITIONAL</t>
  </si>
  <si>
    <t>SCHOOL DIVISION</t>
  </si>
  <si>
    <r>
      <t xml:space="preserve">SUPPORT </t>
    </r>
    <r>
      <rPr>
        <b/>
        <vertAlign val="superscript"/>
        <sz val="9"/>
        <rFont val="Arial"/>
        <family val="2"/>
      </rPr>
      <t>(1)</t>
    </r>
  </si>
  <si>
    <r>
      <t xml:space="preserve">SUPPORT </t>
    </r>
    <r>
      <rPr>
        <b/>
        <vertAlign val="superscript"/>
        <sz val="9"/>
        <rFont val="Arial"/>
        <family val="2"/>
      </rPr>
      <t>(2)</t>
    </r>
  </si>
  <si>
    <r>
      <t xml:space="preserve">GUARANTEE </t>
    </r>
    <r>
      <rPr>
        <b/>
        <vertAlign val="superscript"/>
        <sz val="9"/>
        <rFont val="Arial"/>
        <family val="2"/>
      </rPr>
      <t>(3)</t>
    </r>
  </si>
  <si>
    <r>
      <t xml:space="preserve">SUPPORT </t>
    </r>
    <r>
      <rPr>
        <b/>
        <vertAlign val="superscript"/>
        <sz val="9"/>
        <rFont val="Arial"/>
        <family val="2"/>
      </rPr>
      <t>(4)</t>
    </r>
  </si>
  <si>
    <r>
      <t>(2)</t>
    </r>
    <r>
      <rPr>
        <sz val="9"/>
        <rFont val="Arial"/>
        <family val="2"/>
      </rPr>
      <t xml:space="preserve">  Additional Equalization is provided to specifically assist school divisions or districts that have both higher than average tax effort and lower than</t>
    </r>
  </si>
  <si>
    <t xml:space="preserve">      average assessment per pupil.</t>
  </si>
  <si>
    <r>
      <t>(3)</t>
    </r>
    <r>
      <rPr>
        <sz val="9"/>
        <rFont val="Arial"/>
        <family val="2"/>
      </rPr>
      <t xml:space="preserve">  A guarantee is provided to ensure amalgamated divisions receive no less funding than they would have received if they were unamalgamated.</t>
    </r>
  </si>
  <si>
    <r>
      <t>(4)</t>
    </r>
    <r>
      <rPr>
        <sz val="9"/>
        <rFont val="Arial"/>
        <family val="2"/>
      </rPr>
      <t xml:space="preserve">  Includes School Buildings "D" Support, Technology Education Equipment and other minor capital support.</t>
    </r>
  </si>
  <si>
    <r>
      <t xml:space="preserve">PROGRAM </t>
    </r>
    <r>
      <rPr>
        <b/>
        <vertAlign val="superscript"/>
        <sz val="10"/>
        <rFont val="Arial"/>
        <family val="2"/>
      </rPr>
      <t>(5)</t>
    </r>
  </si>
  <si>
    <r>
      <t>(5)</t>
    </r>
    <r>
      <rPr>
        <sz val="9"/>
        <rFont val="Arial"/>
        <family val="2"/>
      </rPr>
      <t xml:space="preserve">  Includes adjustment for days schools are closed (not shown).</t>
    </r>
  </si>
  <si>
    <r>
      <t>(2)</t>
    </r>
    <r>
      <rPr>
        <sz val="9"/>
        <rFont val="Arial"/>
        <family val="2"/>
      </rPr>
      <t xml:space="preserve">  Mill rates for Flin Flon and Mystery Lake are adjusted for mining revenue.</t>
    </r>
  </si>
  <si>
    <r>
      <t xml:space="preserve">OTHER  </t>
    </r>
    <r>
      <rPr>
        <b/>
        <vertAlign val="superscript"/>
        <sz val="10"/>
        <rFont val="Arial"/>
        <family val="2"/>
      </rPr>
      <t>1</t>
    </r>
  </si>
  <si>
    <r>
      <t xml:space="preserve"> SUNRISE </t>
    </r>
    <r>
      <rPr>
        <vertAlign val="superscript"/>
        <sz val="10"/>
        <rFont val="Arial"/>
        <family val="2"/>
      </rPr>
      <t>(2)</t>
    </r>
  </si>
  <si>
    <t xml:space="preserve">  PROPERTY TAXES</t>
  </si>
  <si>
    <t xml:space="preserve"> FUNCTION 200: STUDENT SUPPORT SERVICES</t>
  </si>
  <si>
    <t>2006/2007 ACTUAL</t>
  </si>
  <si>
    <t>STUDENT SUPPORT</t>
  </si>
  <si>
    <t>INSTRUCTIONAL &amp; OTHER</t>
  </si>
  <si>
    <r>
      <t>(2)</t>
    </r>
    <r>
      <rPr>
        <sz val="9"/>
        <rFont val="Arial"/>
        <family val="2"/>
      </rPr>
      <t xml:space="preserve">  Reallocation of administration costs associated with Adult Learning Centre operations from Function 500 to Function 300.</t>
    </r>
  </si>
  <si>
    <t xml:space="preserve"> FUNCTION 600: INSTRUCTIONAL &amp; OTHER SUPPORT SERVICES</t>
  </si>
  <si>
    <t>2006/07</t>
  </si>
  <si>
    <r>
      <t xml:space="preserve">2006/07 </t>
    </r>
    <r>
      <rPr>
        <b/>
        <vertAlign val="superscript"/>
        <sz val="10"/>
        <rFont val="Arial"/>
        <family val="2"/>
      </rPr>
      <t>(2)</t>
    </r>
  </si>
  <si>
    <t>2005</t>
  </si>
  <si>
    <r>
      <t xml:space="preserve">2006 </t>
    </r>
    <r>
      <rPr>
        <b/>
        <vertAlign val="superscript"/>
        <sz val="10"/>
        <rFont val="Arial"/>
        <family val="2"/>
      </rPr>
      <t>(3)</t>
    </r>
  </si>
  <si>
    <r>
      <t xml:space="preserve">2006 </t>
    </r>
    <r>
      <rPr>
        <b/>
        <vertAlign val="superscript"/>
        <sz val="10"/>
        <rFont val="Arial"/>
        <family val="2"/>
      </rPr>
      <t>(4)</t>
    </r>
  </si>
  <si>
    <t>2005/2006 AND 2006/2007 ACTUAL</t>
  </si>
  <si>
    <t>SEPT. 30, 2006</t>
  </si>
  <si>
    <t>N-12</t>
  </si>
  <si>
    <t>STUDENT</t>
  </si>
  <si>
    <r>
      <t xml:space="preserve">SERVICES </t>
    </r>
    <r>
      <rPr>
        <b/>
        <vertAlign val="superscript"/>
        <sz val="10"/>
        <rFont val="Arial"/>
        <family val="2"/>
      </rPr>
      <t>(1)</t>
    </r>
  </si>
  <si>
    <t>CHILDHOOD</t>
  </si>
  <si>
    <t>ENGLISH AS AN</t>
  </si>
  <si>
    <r>
      <t>(1)</t>
    </r>
    <r>
      <rPr>
        <sz val="9"/>
        <rFont val="Arial"/>
        <family val="2"/>
      </rPr>
      <t xml:space="preserve">  New grant for 2006/07.  Please see 2006/07 Funding of Schools Booklet for more information.  Support for Function 200 Student Support Services</t>
    </r>
  </si>
  <si>
    <t xml:space="preserve">      expenditures less Counselling and Guidance and categorical support for Special Needs.</t>
  </si>
  <si>
    <r>
      <t>(1)</t>
    </r>
    <r>
      <rPr>
        <sz val="9"/>
        <rFont val="Arial"/>
        <family val="2"/>
      </rPr>
      <t xml:space="preserve">  Gross special levy requisitioned by school divisions for the 2006 tax year.  Actual remittance to school divisions by municipalities is reduced by</t>
    </r>
  </si>
  <si>
    <t>PLACEMENT</t>
  </si>
  <si>
    <r>
      <t xml:space="preserve">PLACEMENT </t>
    </r>
    <r>
      <rPr>
        <b/>
        <vertAlign val="superscript"/>
        <sz val="10"/>
        <rFont val="Arial"/>
        <family val="2"/>
      </rPr>
      <t>(1)</t>
    </r>
  </si>
  <si>
    <t>PAGE 6 OF 17</t>
  </si>
  <si>
    <r>
      <t xml:space="preserve">GUIDANCE </t>
    </r>
    <r>
      <rPr>
        <b/>
        <vertAlign val="superscript"/>
        <sz val="10"/>
        <rFont val="Arial"/>
        <family val="2"/>
      </rPr>
      <t>(1)</t>
    </r>
  </si>
  <si>
    <r>
      <t>(1)</t>
    </r>
    <r>
      <rPr>
        <sz val="9"/>
        <rFont val="Arial"/>
        <family val="2"/>
      </rPr>
      <t xml:space="preserve">  Formerly under Function 600, Instructional and Pupil Support Services (see explanatory note 12 on page viii). </t>
    </r>
  </si>
  <si>
    <t>PAGE 1 OF 17</t>
  </si>
  <si>
    <t>PAGE 16 OF 17</t>
  </si>
  <si>
    <t>PAGE 15 OF 17</t>
  </si>
  <si>
    <t>PAGE 14 OF 17</t>
  </si>
  <si>
    <t>PAGE 13 OF 17</t>
  </si>
  <si>
    <t>PAGE 12 OF 17</t>
  </si>
  <si>
    <t>PAGE 11 OF 17</t>
  </si>
  <si>
    <t>PAGE 10 OF 17</t>
  </si>
  <si>
    <t>PAGE 9 OF 17</t>
  </si>
  <si>
    <t>PAGE 8 OF 17</t>
  </si>
  <si>
    <t>PAGE 7 OF 17</t>
  </si>
  <si>
    <t>PAGE 5 OF 17</t>
  </si>
  <si>
    <t>PAGE 4 OF 17</t>
  </si>
  <si>
    <t>PAGE 3 OF 17</t>
  </si>
  <si>
    <t>PAGE 2 OF 17</t>
  </si>
  <si>
    <t>PAGE 17 OF 17</t>
  </si>
  <si>
    <t>INTEREST AND</t>
  </si>
  <si>
    <t>BANK CHARGES</t>
  </si>
  <si>
    <t>BAD</t>
  </si>
  <si>
    <t xml:space="preserve">      the Education Property Tax Credit.  See pages 42 and 43 for more detail.</t>
  </si>
  <si>
    <t>FOR THE 2006 TAXATION YEAR (2006 IS A REASSESSMENT YEAR)</t>
  </si>
  <si>
    <t>PORTIONED</t>
  </si>
  <si>
    <t xml:space="preserve"> SUPPORT LEVY</t>
  </si>
  <si>
    <r>
      <t xml:space="preserve">PORTIONED ASSESSMENT AND EDUCATION SUPPORT LEVY   </t>
    </r>
    <r>
      <rPr>
        <b/>
        <vertAlign val="superscript"/>
        <sz val="10"/>
        <rFont val="Arial"/>
        <family val="2"/>
      </rPr>
      <t>(1)</t>
    </r>
  </si>
  <si>
    <r>
      <t>(1)</t>
    </r>
    <r>
      <rPr>
        <sz val="9"/>
        <rFont val="Arial"/>
        <family val="2"/>
      </rPr>
      <t xml:space="preserve"> Effective 2006, the Education Support Levy is no longer raised on residential property.  The mill rate for other property in 2006 is 16.08.</t>
    </r>
  </si>
  <si>
    <r>
      <t>(1)</t>
    </r>
    <r>
      <rPr>
        <sz val="9"/>
        <rFont val="Arial"/>
        <family val="2"/>
      </rPr>
      <t xml:space="preserve">  For a definition of Adult Learning Centres, see expense definitions, page iii.  Expenses shown here may differ from those shown for Adult</t>
    </r>
  </si>
  <si>
    <t>TOTAL DEFINED ADMINISTRATION EXPENSES</t>
  </si>
  <si>
    <r>
      <t xml:space="preserve">ADMINISTRATION EXPENSES </t>
    </r>
    <r>
      <rPr>
        <b/>
        <vertAlign val="superscript"/>
        <sz val="10"/>
        <rFont val="Arial"/>
        <family val="2"/>
      </rPr>
      <t>(1)</t>
    </r>
    <r>
      <rPr>
        <b/>
        <sz val="9"/>
        <rFont val="Arial"/>
        <family val="2"/>
      </rPr>
      <t xml:space="preserve"> 2006/2007 ACTUAL</t>
    </r>
  </si>
  <si>
    <t>RECONCILIATION  OF  EXPENSES</t>
  </si>
  <si>
    <r>
      <t xml:space="preserve">EXPENSES </t>
    </r>
    <r>
      <rPr>
        <b/>
        <vertAlign val="superscript"/>
        <sz val="10"/>
        <rFont val="Arial"/>
        <family val="2"/>
      </rPr>
      <t>(1)</t>
    </r>
    <r>
      <rPr>
        <sz val="9"/>
        <color indexed="9"/>
        <rFont val="Arial"/>
        <family val="2"/>
      </rPr>
      <t>X</t>
    </r>
  </si>
  <si>
    <t>ACCUMULATED</t>
  </si>
  <si>
    <t>CLOSING</t>
  </si>
  <si>
    <t>SURPLUS /</t>
  </si>
  <si>
    <t>EQUITY</t>
  </si>
  <si>
    <t>PAGE 1 OF 4</t>
  </si>
  <si>
    <t>PAGE 3 OF 4</t>
  </si>
  <si>
    <t>PAGE 2 OF 4</t>
  </si>
  <si>
    <t>PAGE 4 OF 4</t>
  </si>
  <si>
    <t>EXPENSE BY FUNCTION AND OBJECT</t>
  </si>
  <si>
    <t>EXPENSE BY 2ND LEVEL OBJECT</t>
  </si>
  <si>
    <t>AS A PERCENTAGE OF TOTAL OPERATING FUND EXPENSES</t>
  </si>
  <si>
    <t>STUDENT SUPPORT SERVICES</t>
  </si>
  <si>
    <r>
      <t xml:space="preserve">OF TRANFERS </t>
    </r>
    <r>
      <rPr>
        <b/>
        <vertAlign val="superscript"/>
        <sz val="10"/>
        <rFont val="Arial"/>
        <family val="2"/>
      </rPr>
      <t>(3)</t>
    </r>
  </si>
  <si>
    <t>EXPENSES NET</t>
  </si>
  <si>
    <r>
      <t>(1)</t>
    </r>
    <r>
      <rPr>
        <sz val="9"/>
        <rFont val="Arial"/>
        <family val="2"/>
      </rPr>
      <t xml:space="preserve">  Total operating expenses as reported on the Schedule of Revenue, Expenses and Accumulated Surplus by each school division.</t>
    </r>
  </si>
  <si>
    <r>
      <t>(4)</t>
    </r>
    <r>
      <rPr>
        <sz val="9"/>
        <rFont val="Arial"/>
        <family val="2"/>
      </rPr>
      <t xml:space="preserve">  Expenses for Adult Learning Centres and Community Education and Services (Functions 300 and 400).</t>
    </r>
  </si>
  <si>
    <r>
      <t>(3)</t>
    </r>
    <r>
      <rPr>
        <sz val="9"/>
        <rFont val="Arial"/>
        <family val="2"/>
      </rPr>
      <t xml:space="preserve">  Provincially supported pupils (actual September 30, 2005 for 2006/07 and actual September 30, 2004 for 2005/06).  The special revenue</t>
    </r>
  </si>
  <si>
    <t>ANALYSIS OF EXPENSE BY FUNCTION</t>
  </si>
  <si>
    <t>ANALYSIS OF EXPENSE BY OBJECT</t>
  </si>
  <si>
    <t xml:space="preserve"> ANALYSIS OF OPERATIONS AND MAINTENANCE EXPENSES FOR SCHOOL BUILDINGS</t>
  </si>
  <si>
    <t>ANALYSIS OF EXPENSE BY PROGRAM</t>
  </si>
  <si>
    <r>
      <t>(1)</t>
    </r>
    <r>
      <rPr>
        <sz val="9"/>
        <rFont val="Arial"/>
        <family val="2"/>
      </rPr>
      <t xml:space="preserve">  Formerly Exceptional (see explanatory note 12 on page viii and expense definition on page iii).</t>
    </r>
  </si>
  <si>
    <t>Payroll Tax.</t>
  </si>
  <si>
    <t>OPERATING FUND COST PER PUPIL</t>
  </si>
  <si>
    <r>
      <t xml:space="preserve">(1) </t>
    </r>
    <r>
      <rPr>
        <sz val="9"/>
        <rFont val="Arial"/>
        <family val="2"/>
      </rPr>
      <t xml:space="preserve"> All expenses related to gifted programming may not be included due to the difficulty of costing certain programming.  Contact your school</t>
    </r>
  </si>
  <si>
    <r>
      <t xml:space="preserve">(1) </t>
    </r>
    <r>
      <rPr>
        <sz val="9"/>
        <rFont val="Arial"/>
        <family val="2"/>
      </rPr>
      <t xml:space="preserve"> Excludes information technology expenses in Function 300 (Adult Learning Centres), Function 400 (Community Education and Services)</t>
    </r>
  </si>
  <si>
    <t xml:space="preserve">      and form part of Total Information Technology Expenses.</t>
  </si>
  <si>
    <r>
      <t>(1)</t>
    </r>
    <r>
      <rPr>
        <sz val="9"/>
        <rFont val="Arial"/>
        <family val="2"/>
      </rPr>
      <t xml:space="preserve">  Excludes information technology expenses in Function 300 (Adult Learning Centres) and Function 400 (Community Education and Services).</t>
    </r>
  </si>
  <si>
    <r>
      <t>(2)</t>
    </r>
    <r>
      <rPr>
        <sz val="9"/>
        <rFont val="Arial"/>
        <family val="2"/>
      </rPr>
      <t xml:space="preserve">  Total Management Information Services expenses in Function 500 (from page 27).</t>
    </r>
  </si>
  <si>
    <t xml:space="preserve">      and Management Information Services in Function 500.  Total expenses for Management Information Services are included on page 39</t>
  </si>
  <si>
    <r>
      <t xml:space="preserve"> INFORMATION TECHNOLOGY EXPENSES </t>
    </r>
    <r>
      <rPr>
        <b/>
        <vertAlign val="superscript"/>
        <sz val="10"/>
        <rFont val="Arial"/>
        <family val="2"/>
      </rPr>
      <t>(1)</t>
    </r>
  </si>
  <si>
    <t>ANALYSIS OF TRANSPORTATION EXPENSES (CONT'D)</t>
  </si>
  <si>
    <t>ANALYSIS OF TRANSPORTATION EXPENSES</t>
  </si>
  <si>
    <r>
      <t>(1)</t>
    </r>
    <r>
      <rPr>
        <sz val="9"/>
        <rFont val="Arial"/>
        <family val="2"/>
      </rPr>
      <t xml:space="preserve">  Based on area (square footage) of active school buildings as at June 30, 2007.  Includes rented and leased space.</t>
    </r>
  </si>
  <si>
    <t>June 30 / 07</t>
  </si>
  <si>
    <r>
      <t xml:space="preserve">EXPENSES </t>
    </r>
    <r>
      <rPr>
        <b/>
        <vertAlign val="superscript"/>
        <sz val="10"/>
        <rFont val="Arial"/>
        <family val="2"/>
      </rPr>
      <t>(2)</t>
    </r>
  </si>
  <si>
    <r>
      <t>(2)</t>
    </r>
    <r>
      <rPr>
        <sz val="9"/>
        <rFont val="Arial"/>
        <family val="2"/>
      </rPr>
      <t xml:space="preserve">  Operating expenses include transfers to other school divisions, organizations and individuals but not net transfers to capital.  These are the</t>
    </r>
  </si>
  <si>
    <t>RESERVE</t>
  </si>
  <si>
    <t>COMPRISED OF:</t>
  </si>
  <si>
    <t>EQUITY IN</t>
  </si>
  <si>
    <t>TANGIBLE</t>
  </si>
  <si>
    <r>
      <t>(1)</t>
    </r>
    <r>
      <rPr>
        <sz val="9"/>
        <rFont val="Arial"/>
        <family val="2"/>
      </rPr>
      <t xml:space="preserve">  Land and improvements.</t>
    </r>
  </si>
  <si>
    <t>GENERATED</t>
  </si>
  <si>
    <t>FUNDS</t>
  </si>
  <si>
    <r>
      <t>(1)</t>
    </r>
    <r>
      <rPr>
        <sz val="9"/>
        <rFont val="Arial"/>
        <family val="2"/>
      </rPr>
      <t xml:space="preserve">  Comprised of principal and interest payments for issued debentures to finance asset additions.</t>
    </r>
  </si>
  <si>
    <t>BAD DEBT</t>
  </si>
  <si>
    <t>EXPENSE</t>
  </si>
  <si>
    <r>
      <t xml:space="preserve">  RECHARGE </t>
    </r>
    <r>
      <rPr>
        <vertAlign val="superscript"/>
        <sz val="9"/>
        <rFont val="Arial"/>
        <family val="2"/>
      </rPr>
      <t>(1)</t>
    </r>
  </si>
  <si>
    <r>
      <t>(1)</t>
    </r>
    <r>
      <rPr>
        <sz val="9"/>
        <rFont val="Arial"/>
        <family val="2"/>
      </rPr>
      <t xml:space="preserve">  Reallocation of school building costs associated with Adult Learning Centre operations to Function 300</t>
    </r>
  </si>
  <si>
    <t>Reallocation of school building costs associated with Adult Learning Centre operations to Function 300</t>
  </si>
  <si>
    <t xml:space="preserve">  BAD DEBT EXPENSE</t>
  </si>
  <si>
    <r>
      <t xml:space="preserve">GOVERNMENT </t>
    </r>
    <r>
      <rPr>
        <b/>
        <vertAlign val="superscript"/>
        <sz val="10"/>
        <rFont val="Arial"/>
        <family val="2"/>
      </rPr>
      <t>(1)</t>
    </r>
  </si>
  <si>
    <r>
      <t xml:space="preserve">SOURCES </t>
    </r>
    <r>
      <rPr>
        <b/>
        <vertAlign val="superscript"/>
        <sz val="10"/>
        <rFont val="Arial"/>
        <family val="2"/>
      </rPr>
      <t>(2)</t>
    </r>
  </si>
  <si>
    <r>
      <t xml:space="preserve">LAND </t>
    </r>
    <r>
      <rPr>
        <b/>
        <vertAlign val="superscript"/>
        <sz val="10"/>
        <rFont val="Arial"/>
        <family val="2"/>
      </rPr>
      <t>(1)</t>
    </r>
  </si>
  <si>
    <r>
      <t>BUILDINGS</t>
    </r>
    <r>
      <rPr>
        <b/>
        <vertAlign val="superscript"/>
        <sz val="10"/>
        <rFont val="Arial"/>
        <family val="2"/>
      </rPr>
      <t xml:space="preserve"> (2)</t>
    </r>
  </si>
  <si>
    <r>
      <t xml:space="preserve">ASSETS </t>
    </r>
    <r>
      <rPr>
        <b/>
        <vertAlign val="superscript"/>
        <sz val="10"/>
        <rFont val="Arial"/>
        <family val="2"/>
      </rPr>
      <t>(1)</t>
    </r>
  </si>
  <si>
    <r>
      <t xml:space="preserve">ACCOUNTS </t>
    </r>
    <r>
      <rPr>
        <b/>
        <vertAlign val="superscript"/>
        <sz val="10"/>
        <rFont val="Arial"/>
        <family val="2"/>
      </rPr>
      <t>(2)</t>
    </r>
  </si>
  <si>
    <r>
      <t xml:space="preserve">(5) </t>
    </r>
    <r>
      <rPr>
        <sz val="9"/>
        <rFont val="Arial"/>
        <family val="2"/>
      </rPr>
      <t xml:space="preserve"> Total provincial contribution to public education is 70.6%.  See page i for more details.</t>
    </r>
  </si>
  <si>
    <t xml:space="preserve">      page 42 for EPTC revenue.</t>
  </si>
  <si>
    <r>
      <t>(1)</t>
    </r>
    <r>
      <rPr>
        <sz val="9"/>
        <rFont val="Arial"/>
        <family val="2"/>
      </rPr>
      <t xml:space="preserve">  Municipal Government revenue is net of $126,614,530 in Education Property Tax Credit (EPTC) revenue paid directly to school divisions.  See</t>
    </r>
  </si>
  <si>
    <r>
      <t>(1)</t>
    </r>
    <r>
      <rPr>
        <sz val="9"/>
        <rFont val="Arial"/>
        <family val="2"/>
      </rPr>
      <t xml:space="preserve">  Based on a grant per eligible pupil at September 30, 2005.</t>
    </r>
  </si>
  <si>
    <t xml:space="preserve">  ACCUMULATED SURPLUS / EQUITY</t>
  </si>
  <si>
    <r>
      <t xml:space="preserve">ITEMS </t>
    </r>
    <r>
      <rPr>
        <b/>
        <vertAlign val="superscript"/>
        <sz val="9"/>
        <rFont val="Arial"/>
        <family val="2"/>
      </rPr>
      <t>(3)</t>
    </r>
  </si>
  <si>
    <r>
      <t xml:space="preserve">AMORTIZATION </t>
    </r>
    <r>
      <rPr>
        <b/>
        <vertAlign val="superscript"/>
        <sz val="9"/>
        <rFont val="Arial"/>
        <family val="2"/>
      </rPr>
      <t>(1)</t>
    </r>
  </si>
  <si>
    <r>
      <t xml:space="preserve">INTEREST </t>
    </r>
    <r>
      <rPr>
        <b/>
        <vertAlign val="superscript"/>
        <sz val="9"/>
        <rFont val="Arial"/>
        <family val="2"/>
      </rPr>
      <t>(2)</t>
    </r>
  </si>
  <si>
    <r>
      <t xml:space="preserve">(3) </t>
    </r>
    <r>
      <rPr>
        <sz val="9"/>
        <rFont val="Arial"/>
        <family val="2"/>
      </rPr>
      <t xml:space="preserve"> Includes loss/(gain) on disposal of capital assets.</t>
    </r>
  </si>
  <si>
    <r>
      <t xml:space="preserve">(2) </t>
    </r>
    <r>
      <rPr>
        <sz val="9"/>
        <rFont val="Arial"/>
        <family val="2"/>
      </rPr>
      <t xml:space="preserve"> Includes interest payments on previously issued debentures.</t>
    </r>
  </si>
  <si>
    <r>
      <t>GOVERNMENT</t>
    </r>
    <r>
      <rPr>
        <b/>
        <vertAlign val="superscript"/>
        <sz val="9"/>
        <rFont val="Arial"/>
        <family val="2"/>
      </rPr>
      <t xml:space="preserve"> (1)</t>
    </r>
  </si>
  <si>
    <r>
      <t>(1)</t>
    </r>
    <r>
      <rPr>
        <sz val="9"/>
        <rFont val="Arial"/>
        <family val="2"/>
      </rPr>
      <t xml:space="preserve"> The Special Purpose Fund reports controlled school generated funds and controlled charitable foundations.  Controlled school generated funds</t>
    </r>
  </si>
  <si>
    <r>
      <t xml:space="preserve">SPECIAL PURPOSE FUND 2006/2007 ACTUAL </t>
    </r>
    <r>
      <rPr>
        <b/>
        <vertAlign val="superscript"/>
        <sz val="9"/>
        <rFont val="Arial"/>
        <family val="2"/>
      </rPr>
      <t>(1)</t>
    </r>
  </si>
  <si>
    <r>
      <t xml:space="preserve">(2)  </t>
    </r>
    <r>
      <rPr>
        <sz val="9"/>
        <rFont val="Arial"/>
        <family val="2"/>
      </rPr>
      <t>Internally restricted and held for future capital expense purposes.</t>
    </r>
  </si>
  <si>
    <t xml:space="preserve">      and liabilities.</t>
  </si>
  <si>
    <r>
      <t>(1)</t>
    </r>
    <r>
      <rPr>
        <sz val="9"/>
        <rFont val="Arial"/>
        <family val="2"/>
      </rPr>
      <t xml:space="preserve">  Formerly Special Needs Classes. </t>
    </r>
  </si>
  <si>
    <r>
      <t>(2)</t>
    </r>
    <r>
      <rPr>
        <sz val="9"/>
        <rFont val="Arial"/>
        <family val="2"/>
      </rPr>
      <t xml:space="preserve">  Formerly Students with Special Needs in Regular Classes.  Expenditures shown are extra costs associated with special needs students in regular</t>
    </r>
  </si>
  <si>
    <t xml:space="preserve">       classes, not the total cost of educating those students.</t>
  </si>
  <si>
    <r>
      <t xml:space="preserve">PLACEMENT </t>
    </r>
    <r>
      <rPr>
        <b/>
        <vertAlign val="superscript"/>
        <sz val="10"/>
        <rFont val="Arial"/>
        <family val="2"/>
      </rPr>
      <t>(2)</t>
    </r>
  </si>
  <si>
    <t>HEALTH AND</t>
  </si>
  <si>
    <t>EDUCATION LEVY</t>
  </si>
  <si>
    <r>
      <t>EQUIPMENT</t>
    </r>
    <r>
      <rPr>
        <b/>
        <vertAlign val="superscript"/>
        <sz val="10"/>
        <rFont val="Arial"/>
        <family val="2"/>
      </rPr>
      <t xml:space="preserve"> (2)</t>
    </r>
  </si>
  <si>
    <r>
      <t xml:space="preserve">(2) </t>
    </r>
    <r>
      <rPr>
        <sz val="9"/>
        <rFont val="Arial"/>
        <family val="2"/>
      </rPr>
      <t xml:space="preserve"> Capitalized Information Technology equipment is reported on page 49.</t>
    </r>
  </si>
  <si>
    <t>NET TRANSFERS</t>
  </si>
  <si>
    <r>
      <t>(2)</t>
    </r>
    <r>
      <rPr>
        <sz val="9"/>
        <rFont val="Arial"/>
        <family val="2"/>
      </rPr>
      <t xml:space="preserve">  Includes support for coordinators, clinicians and level II and III pupils.  Note: total special needs support is $145,514,009  (Student Services,</t>
    </r>
  </si>
  <si>
    <t xml:space="preserve">      page 57 and Special Needs).</t>
  </si>
  <si>
    <r>
      <t>(1)</t>
    </r>
    <r>
      <rPr>
        <sz val="9"/>
        <rFont val="Arial"/>
        <family val="2"/>
      </rPr>
      <t xml:space="preserve">  School divisions are required to limit the proportion of the budget spent on administration expenditures in defined categories to 4% (urban school</t>
    </r>
  </si>
  <si>
    <t xml:space="preserve">      divisions), 4.5% (rural school divisions) and 5.0% (northern school divisions).  Frontier school division, D.S.F.M. and the Winnipeg Technical College</t>
  </si>
  <si>
    <t xml:space="preserve">      are exempt from these limits and are not reflected in the above totals.  The defined administration categories exclude administration at the school</t>
  </si>
  <si>
    <t xml:space="preserve">      level (Function 100 - Regular Instruction, Program 110) and special needs administration (Function 200 - Exceptional, Program 210).  This appendix</t>
  </si>
  <si>
    <t xml:space="preserve">      provides an analysis of the defined administration expenditures as a percentage of the adjusted operating expenditure base.  Expenditures shown for</t>
  </si>
  <si>
    <t xml:space="preserve">      Function 500, Programs 605 or 710 may differ from corresponding amounts shown elsewhere in this report owing to the inclusion of operating</t>
  </si>
  <si>
    <t xml:space="preserve">      transfers for the purpose of calculating administration costs.</t>
  </si>
  <si>
    <t>FURNITURE /</t>
  </si>
  <si>
    <t>COMPUTER</t>
  </si>
  <si>
    <t>FIXTURES &amp;</t>
  </si>
  <si>
    <t>HARDWARE &amp;</t>
  </si>
  <si>
    <r>
      <t xml:space="preserve">SOFTWARE </t>
    </r>
    <r>
      <rPr>
        <b/>
        <vertAlign val="superscript"/>
        <sz val="10"/>
        <rFont val="Arial"/>
        <family val="2"/>
      </rPr>
      <t xml:space="preserve"> (3)</t>
    </r>
  </si>
  <si>
    <r>
      <t xml:space="preserve">(3) </t>
    </r>
    <r>
      <rPr>
        <sz val="9"/>
        <rFont val="Arial"/>
        <family val="2"/>
      </rPr>
      <t xml:space="preserve"> For information technology equipment purchased in Operating Fund, see page 38.</t>
    </r>
  </si>
  <si>
    <r>
      <t>(1)</t>
    </r>
    <r>
      <rPr>
        <sz val="9"/>
        <rFont val="Arial"/>
        <family val="2"/>
      </rPr>
      <t xml:space="preserve">  Includes food services, health services, and other activities related to instructional and other support not included in previous programs.</t>
    </r>
  </si>
  <si>
    <t>TO / (FROM)</t>
  </si>
  <si>
    <r>
      <t xml:space="preserve">(2) </t>
    </r>
    <r>
      <rPr>
        <sz val="9"/>
        <rFont val="Arial"/>
        <family val="2"/>
      </rPr>
      <t xml:space="preserve"> Comprised of school and other building new construction and betterments financed primarily through debenture debt.  Includes </t>
    </r>
  </si>
  <si>
    <t xml:space="preserve">       leasehold improvements and assets under construction.</t>
  </si>
  <si>
    <r>
      <t xml:space="preserve">(4)  </t>
    </r>
    <r>
      <rPr>
        <sz val="9"/>
        <rFont val="Arial"/>
        <family val="2"/>
      </rPr>
      <t>Includes school buses and other vehicles.</t>
    </r>
  </si>
  <si>
    <r>
      <t xml:space="preserve">  VEHICLES  </t>
    </r>
    <r>
      <rPr>
        <vertAlign val="superscript"/>
        <sz val="10"/>
        <rFont val="Arial"/>
        <family val="2"/>
      </rPr>
      <t>(4)</t>
    </r>
  </si>
  <si>
    <t xml:space="preserve">     are those  funds which the school has unilateral authority to make decisions as to when, how, and on what the funds are to be spent (e.g. Parent </t>
  </si>
  <si>
    <t xml:space="preserve">     council and student council funds are not included).  </t>
  </si>
  <si>
    <r>
      <t>(3)</t>
    </r>
    <r>
      <rPr>
        <sz val="9"/>
        <rFont val="Arial"/>
        <family val="2"/>
      </rPr>
      <t xml:space="preserve">  Administration, supervision and coordination of Curriculum Consulting and Development (Function 600, Program 605).</t>
    </r>
  </si>
  <si>
    <r>
      <t>(1)</t>
    </r>
    <r>
      <rPr>
        <sz val="9"/>
        <rFont val="Arial"/>
        <family val="2"/>
      </rPr>
      <t xml:space="preserve">  All other categorical support not shown elsewhere (eg. Heritage Language, Northern Allowance, etc.).</t>
    </r>
  </si>
  <si>
    <r>
      <t>(2)</t>
    </r>
    <r>
      <rPr>
        <sz val="9"/>
        <rFont val="Arial"/>
        <family val="2"/>
      </rPr>
      <t xml:space="preserve">  Includes other governments, investment income, donations and other.</t>
    </r>
  </si>
  <si>
    <t>(from page 61)</t>
  </si>
  <si>
    <t xml:space="preserve">  FISCAL YEAR ADDITIONS TO TANGIBLE CAPITAL ASSETS</t>
  </si>
  <si>
    <r>
      <t>(3)</t>
    </r>
    <r>
      <rPr>
        <sz val="9"/>
        <rFont val="Arial"/>
        <family val="2"/>
      </rPr>
      <t xml:space="preserve">  From page 55 (for more information, see page 55).</t>
    </r>
  </si>
  <si>
    <r>
      <t>(4)</t>
    </r>
    <r>
      <rPr>
        <sz val="9"/>
        <rFont val="Arial"/>
        <family val="2"/>
      </rPr>
      <t xml:space="preserve">  From page 53 (for more information, see page 53).</t>
    </r>
  </si>
  <si>
    <t>http://www.edu.gov.mb.ca/k12/finance/sbr/frame/index.html</t>
  </si>
  <si>
    <r>
      <t>(1)</t>
    </r>
    <r>
      <rPr>
        <sz val="9"/>
        <rFont val="Arial"/>
        <family val="2"/>
      </rPr>
      <t xml:space="preserve">  Includes amortization of capital assets over their useful lives as defined in section 8 of the FRAME Manual - available on the Internet at:</t>
    </r>
  </si>
  <si>
    <t>-</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</si>
  <si>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</si>
  <si>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</si>
  <si>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</si>
  <si>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</si>
  <si>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FRAME Report: 2006/07 Actual</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</si>
  <si>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</si>
  <si>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ANALYSIS OF OPERATING FUND REVENUE: 2006/2007 ACTUAL</t>
  </si>
  <si>
    <t>ACTUAL SEPTEMBER 30, 2006</t>
  </si>
  <si>
    <t>OPERATING FUND 2006/2007 ACTUAL</t>
  </si>
  <si>
    <t>CAPITAL FUND 2006/2007 ACTUAL</t>
  </si>
  <si>
    <t>% OF 2006/2007</t>
  </si>
  <si>
    <t>ADMINISTRATION EXPENSES 2006/2007 ACTUAL</t>
  </si>
  <si>
    <t>FOR THE YEAR ENDED JUNE 30,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</si>
</sst>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0.00_ ;\(#,##0.00\)"/>
    <numFmt numFmtId="199" formatCode="_(* #,##0.000_);_(* \(#,##0.000\);_(* &quot;-&quot;??_);_(@_)"/>
    <numFmt numFmtId="200" formatCode="_(* #,##0.0_);_(* \(#,##0.0\);_(* &quot;-&quot;??_);_(@_)"/>
    <numFmt numFmtId="201" formatCode="_-* #,##0.0_-;\-* #,##0.0_-;_-* &quot;-&quot;?_-;_-@_-"/>
    <numFmt numFmtId="202" formatCode="_(* #,##0.0_);_(* \(#,##0.0\);_(* &quot;-&quot;?_);_(@_)"/>
    <numFmt numFmtId="203" formatCode="_(&quot;$&quot;* #,##0.0_);_(&quot;$&quot;* \(#,##0.0\);_(&quot;$&quot;* &quot;-&quot;??_);_(@_)"/>
    <numFmt numFmtId="204" formatCode="&quot;$&quot;#,##0.0_);[Red]\(&quot;$&quot;#,##0.0\)"/>
    <numFmt numFmtId="205" formatCode="#,##0.0\ [$$-C0C]"/>
    <numFmt numFmtId="206" formatCode="#,##0.0,,"/>
    <numFmt numFmtId="207" formatCode="_(* #,##0.0__\);_(* \(#,##0.0\);_(* &quot;-&quot;?_);_(@_)"/>
    <numFmt numFmtId="208" formatCode="_(* #,##0.0,_);_(* \(#,##0.0\);_(* &quot;-&quot;?_);_(@_)"/>
    <numFmt numFmtId="209" formatCode="_ #,##0.0__;_(* \(#,##0.0\);_(* &quot;-&quot;?_);_(@_)"/>
    <numFmt numFmtId="210" formatCode="_ #,##0.0___;_(* \(###0.0\);_(* &quot;-&quot;?_);_(@_)"/>
    <numFmt numFmtId="211" formatCode="_ #,##0.0___;_(* \(###0.0\)"/>
    <numFmt numFmtId="212" formatCode="_ #,##0.0___;"/>
    <numFmt numFmtId="213" formatCode="&quot;$&quot;#,##0.0_);\(&quot;$&quot;#,##0.0\)"/>
    <numFmt numFmtId="214" formatCode="[$-1009]mmmm\ d\,\ yyyy"/>
    <numFmt numFmtId="215" formatCode="[$-F800]dddd\,\ mmmm\ dd\,\ yyyy"/>
    <numFmt numFmtId="216" formatCode="[$-409]dddd\,\ mmmm\ dd\,\ yyyy"/>
    <numFmt numFmtId="217" formatCode="0.000"/>
  </numFmts>
  <fonts count="23">
    <font>
      <sz val="9"/>
      <name val="Times New Roman"/>
      <family val="0"/>
    </font>
    <font>
      <sz val="10"/>
      <name val="Times New Roman"/>
      <family val="0"/>
    </font>
    <font>
      <sz val="10"/>
      <name val="Courier"/>
      <family val="0"/>
    </font>
    <font>
      <sz val="10"/>
      <name val="Arial"/>
      <family val="2"/>
    </font>
    <font>
      <b/>
      <sz val="9"/>
      <name val="Arial"/>
      <family val="2"/>
    </font>
    <font>
      <vertAlign val="superscript"/>
      <sz val="9"/>
      <name val="Arial"/>
      <family val="2"/>
    </font>
    <font>
      <sz val="8"/>
      <name val="Times New Roman"/>
      <family val="0"/>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b/>
      <sz val="8"/>
      <name val="Arial"/>
      <family val="2"/>
    </font>
    <font>
      <u val="single"/>
      <sz val="9"/>
      <name val="Arial"/>
      <family val="2"/>
    </font>
    <font>
      <sz val="11"/>
      <name val="Times New Roman"/>
      <family val="0"/>
    </font>
    <font>
      <sz val="11"/>
      <name val="Arial"/>
      <family val="2"/>
    </font>
    <font>
      <sz val="9"/>
      <color indexed="9"/>
      <name val="Arial"/>
      <family val="2"/>
    </font>
    <font>
      <u val="single"/>
      <sz val="9"/>
      <color indexed="12"/>
      <name val="Times New Roman"/>
      <family val="0"/>
    </font>
    <font>
      <u val="single"/>
      <sz val="9"/>
      <color indexed="36"/>
      <name val="Times New Roman"/>
      <family val="0"/>
    </font>
    <font>
      <b/>
      <sz val="11"/>
      <name val="Arial"/>
      <family val="2"/>
    </font>
    <font>
      <u val="single"/>
      <sz val="9"/>
      <color indexed="12"/>
      <name val="Arial"/>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27"/>
        <bgColor indexed="64"/>
      </patternFill>
    </fill>
    <fill>
      <patternFill patternType="solid">
        <fgColor indexed="27"/>
        <bgColor indexed="64"/>
      </patternFill>
    </fill>
    <fill>
      <patternFill patternType="solid">
        <fgColor indexed="41"/>
        <bgColor indexed="64"/>
      </patternFill>
    </fill>
    <fill>
      <patternFill patternType="solid">
        <fgColor indexed="27"/>
        <bgColor indexed="64"/>
      </patternFill>
    </fill>
    <fill>
      <patternFill patternType="solid">
        <fgColor indexed="41"/>
        <bgColor indexed="64"/>
      </patternFill>
    </fill>
  </fills>
  <borders count="46">
    <border>
      <left/>
      <right/>
      <top/>
      <bottom/>
      <diagonal/>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color indexed="63"/>
      </left>
      <right>
        <color indexed="63"/>
      </right>
      <top style="thin">
        <color indexed="8"/>
      </top>
      <bottom style="thin"/>
    </border>
    <border>
      <left>
        <color indexed="63"/>
      </left>
      <right style="thin"/>
      <top>
        <color indexed="63"/>
      </top>
      <bottom>
        <color indexed="63"/>
      </bottom>
    </border>
    <border>
      <left style="thin">
        <color indexed="8"/>
      </left>
      <right style="double">
        <color indexed="8"/>
      </right>
      <top style="thin">
        <color indexed="8"/>
      </top>
      <bottom style="thin">
        <color indexed="8"/>
      </bottom>
    </border>
    <border>
      <left style="thin"/>
      <right style="thin"/>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style="double">
        <color indexed="8"/>
      </left>
      <right style="thin">
        <color indexed="8"/>
      </right>
      <top style="thin">
        <color indexed="8"/>
      </top>
      <bottom style="thin">
        <color indexed="8"/>
      </bottom>
    </border>
    <border>
      <left style="thin"/>
      <right>
        <color indexed="63"/>
      </right>
      <top style="thin"/>
      <bottom style="thin"/>
    </border>
    <border>
      <left style="thin">
        <color indexed="8"/>
      </left>
      <right style="double">
        <color indexed="8"/>
      </right>
      <top style="thin"/>
      <bottom>
        <color indexed="63"/>
      </bottom>
    </border>
    <border>
      <left style="thin">
        <color indexed="8"/>
      </left>
      <right style="double">
        <color indexed="8"/>
      </right>
      <top>
        <color indexed="63"/>
      </top>
      <bottom style="thin">
        <color indexed="8"/>
      </bottom>
    </border>
    <border>
      <left>
        <color indexed="63"/>
      </left>
      <right style="thin">
        <color indexed="8"/>
      </right>
      <top style="thin"/>
      <bottom>
        <color indexed="63"/>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 fillId="0" borderId="0">
      <alignment/>
      <protection/>
    </xf>
    <xf numFmtId="9" fontId="1" fillId="0" borderId="0" applyFont="0" applyFill="0" applyBorder="0" applyAlignment="0" applyProtection="0"/>
  </cellStyleXfs>
  <cellXfs count="606">
    <xf numFmtId="37" fontId="0" fillId="0" borderId="0" xfId="0" applyAlignment="1">
      <alignment/>
    </xf>
    <xf numFmtId="37" fontId="7" fillId="0" borderId="0" xfId="0" applyFont="1" applyAlignment="1">
      <alignment/>
    </xf>
    <xf numFmtId="37" fontId="8" fillId="0" borderId="0" xfId="0" applyFont="1" applyAlignment="1">
      <alignment/>
    </xf>
    <xf numFmtId="37" fontId="7" fillId="0" borderId="0" xfId="0" applyFont="1" applyAlignment="1">
      <alignment horizontal="right"/>
    </xf>
    <xf numFmtId="37" fontId="4" fillId="0" borderId="0" xfId="0" applyFont="1" applyAlignment="1">
      <alignment/>
    </xf>
    <xf numFmtId="172" fontId="7" fillId="0" borderId="0" xfId="0" applyNumberFormat="1" applyFont="1" applyAlignment="1" applyProtection="1">
      <alignment/>
      <protection/>
    </xf>
    <xf numFmtId="37" fontId="7" fillId="3" borderId="0" xfId="0" applyFont="1" applyFill="1" applyAlignment="1">
      <alignment/>
    </xf>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4" xfId="0" applyFont="1" applyFill="1" applyBorder="1" applyAlignment="1">
      <alignment horizontal="center"/>
    </xf>
    <xf numFmtId="0" fontId="4" fillId="3" borderId="5" xfId="0" applyNumberFormat="1" applyFont="1" applyFill="1" applyBorder="1" applyAlignment="1">
      <alignment horizontal="center"/>
    </xf>
    <xf numFmtId="37" fontId="4" fillId="3" borderId="5" xfId="0" applyFont="1" applyFill="1" applyBorder="1" applyAlignment="1">
      <alignment horizontal="center"/>
    </xf>
    <xf numFmtId="37" fontId="4" fillId="3" borderId="1" xfId="0" applyFont="1" applyFill="1" applyBorder="1" applyAlignment="1">
      <alignment horizontal="center"/>
    </xf>
    <xf numFmtId="0" fontId="4" fillId="3" borderId="6" xfId="0" applyNumberFormat="1" applyFont="1" applyFill="1" applyBorder="1" applyAlignment="1">
      <alignment horizontal="center"/>
    </xf>
    <xf numFmtId="37" fontId="4" fillId="3" borderId="6" xfId="0" applyFont="1" applyFill="1" applyBorder="1" applyAlignment="1">
      <alignment horizontal="center"/>
    </xf>
    <xf numFmtId="49" fontId="4" fillId="0" borderId="7" xfId="0" applyNumberFormat="1" applyFont="1" applyBorder="1" applyAlignment="1">
      <alignment/>
    </xf>
    <xf numFmtId="37" fontId="4" fillId="3" borderId="2" xfId="0" applyFont="1" applyFill="1" applyBorder="1" applyAlignment="1">
      <alignment horizontal="center"/>
    </xf>
    <xf numFmtId="49" fontId="4" fillId="0" borderId="8" xfId="0" applyNumberFormat="1" applyFont="1" applyBorder="1" applyAlignment="1">
      <alignment/>
    </xf>
    <xf numFmtId="37" fontId="4" fillId="3" borderId="9" xfId="0" applyFont="1" applyFill="1" applyBorder="1" applyAlignment="1">
      <alignment horizontal="center" vertical="top"/>
    </xf>
    <xf numFmtId="37" fontId="4" fillId="3" borderId="10" xfId="0" applyFont="1" applyFill="1" applyBorder="1" applyAlignment="1">
      <alignment horizontal="center" vertical="top"/>
    </xf>
    <xf numFmtId="49" fontId="4" fillId="0" borderId="0" xfId="0" applyNumberFormat="1" applyFont="1" applyAlignment="1">
      <alignment/>
    </xf>
    <xf numFmtId="49" fontId="7" fillId="0" borderId="1" xfId="0" applyNumberFormat="1" applyFont="1" applyBorder="1" applyAlignment="1">
      <alignment vertical="center"/>
    </xf>
    <xf numFmtId="191" fontId="7" fillId="0" borderId="1" xfId="0" applyNumberFormat="1" applyFont="1" applyBorder="1" applyAlignment="1">
      <alignment vertical="center"/>
    </xf>
    <xf numFmtId="49" fontId="7" fillId="0" borderId="0" xfId="0" applyNumberFormat="1" applyFont="1" applyAlignment="1">
      <alignment vertical="center"/>
    </xf>
    <xf numFmtId="192" fontId="7" fillId="0" borderId="0" xfId="0" applyNumberFormat="1" applyFont="1" applyAlignment="1">
      <alignment vertical="center"/>
    </xf>
    <xf numFmtId="37" fontId="7" fillId="0" borderId="11" xfId="0" applyFont="1" applyBorder="1" applyAlignment="1">
      <alignment/>
    </xf>
    <xf numFmtId="49" fontId="7" fillId="0" borderId="0" xfId="0" applyNumberFormat="1" applyFont="1" applyAlignment="1">
      <alignment/>
    </xf>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alignment/>
    </xf>
    <xf numFmtId="172" fontId="7" fillId="0" borderId="3" xfId="0" applyNumberFormat="1" applyFont="1" applyBorder="1" applyAlignment="1" applyProtection="1">
      <alignment horizontal="centerContinuous"/>
      <protection/>
    </xf>
    <xf numFmtId="37" fontId="7" fillId="3" borderId="11" xfId="0" applyFont="1" applyFill="1" applyBorder="1" applyAlignment="1">
      <alignment horizontal="centerContinuous"/>
    </xf>
    <xf numFmtId="37" fontId="7" fillId="3" borderId="0" xfId="0" applyFont="1" applyFill="1" applyBorder="1" applyAlignment="1">
      <alignment/>
    </xf>
    <xf numFmtId="37" fontId="7" fillId="0" borderId="0" xfId="0" applyNumberFormat="1" applyFont="1" applyBorder="1" applyAlignment="1" applyProtection="1">
      <alignment/>
      <protection/>
    </xf>
    <xf numFmtId="37" fontId="4" fillId="0" borderId="4" xfId="0" applyFont="1" applyBorder="1" applyAlignment="1">
      <alignment/>
    </xf>
    <xf numFmtId="37" fontId="4" fillId="3" borderId="5" xfId="0" applyFont="1" applyFill="1" applyBorder="1" applyAlignment="1">
      <alignment horizontal="right"/>
    </xf>
    <xf numFmtId="37" fontId="4" fillId="0" borderId="8" xfId="0" applyFont="1" applyBorder="1" applyAlignment="1">
      <alignment/>
    </xf>
    <xf numFmtId="37" fontId="4" fillId="0" borderId="10" xfId="0" applyFont="1" applyBorder="1" applyAlignment="1">
      <alignment horizontal="right"/>
    </xf>
    <xf numFmtId="191" fontId="7" fillId="0" borderId="1" xfId="0" applyNumberFormat="1" applyFont="1" applyBorder="1" applyAlignment="1">
      <alignment horizontal="right" vertical="center"/>
    </xf>
    <xf numFmtId="37" fontId="7" fillId="0" borderId="0" xfId="0" applyFont="1" applyAlignment="1">
      <alignment/>
    </xf>
    <xf numFmtId="37" fontId="7" fillId="0" borderId="13" xfId="0" applyFont="1" applyBorder="1" applyAlignment="1">
      <alignment/>
    </xf>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alignment/>
    </xf>
    <xf numFmtId="37" fontId="7" fillId="3" borderId="0" xfId="0" applyFont="1" applyFill="1" applyAlignment="1">
      <alignment horizontal="centerContinuous"/>
    </xf>
    <xf numFmtId="37" fontId="7" fillId="0" borderId="14" xfId="0" applyFont="1" applyBorder="1" applyAlignment="1">
      <alignment/>
    </xf>
    <xf numFmtId="37" fontId="7" fillId="0" borderId="5" xfId="0" applyFont="1" applyBorder="1" applyAlignment="1">
      <alignment/>
    </xf>
    <xf numFmtId="37" fontId="4" fillId="0" borderId="10" xfId="0" applyFont="1" applyBorder="1" applyAlignment="1">
      <alignment horizontal="center"/>
    </xf>
    <xf numFmtId="37" fontId="4" fillId="3" borderId="9" xfId="0" applyFont="1" applyFill="1" applyBorder="1" applyAlignment="1">
      <alignment horizontal="centerContinuous"/>
    </xf>
    <xf numFmtId="37" fontId="4" fillId="0" borderId="15" xfId="0" applyFont="1" applyBorder="1" applyAlignment="1">
      <alignment/>
    </xf>
    <xf numFmtId="191" fontId="7" fillId="0" borderId="1" xfId="0" applyNumberFormat="1" applyFont="1" applyBorder="1" applyAlignment="1" applyProtection="1">
      <alignment/>
      <protection/>
    </xf>
    <xf numFmtId="191" fontId="7" fillId="0" borderId="6" xfId="0" applyNumberFormat="1" applyFont="1" applyBorder="1" applyAlignment="1" applyProtection="1">
      <alignment/>
      <protection/>
    </xf>
    <xf numFmtId="37" fontId="7" fillId="0" borderId="6" xfId="0" applyFont="1" applyBorder="1" applyAlignment="1">
      <alignment/>
    </xf>
    <xf numFmtId="191" fontId="7" fillId="0" borderId="16" xfId="0" applyNumberFormat="1" applyFont="1" applyBorder="1" applyAlignment="1" applyProtection="1">
      <alignment/>
      <protection/>
    </xf>
    <xf numFmtId="37" fontId="7" fillId="0" borderId="1" xfId="0" applyNumberFormat="1" applyFont="1" applyBorder="1" applyAlignment="1" applyProtection="1">
      <alignment/>
      <protection/>
    </xf>
    <xf numFmtId="37" fontId="7" fillId="0" borderId="6" xfId="0" applyNumberFormat="1" applyFont="1" applyBorder="1" applyAlignment="1" applyProtection="1">
      <alignment/>
      <protection/>
    </xf>
    <xf numFmtId="37" fontId="7" fillId="0" borderId="16" xfId="0" applyNumberFormat="1" applyFont="1" applyBorder="1" applyAlignment="1" applyProtection="1">
      <alignment/>
      <protection/>
    </xf>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Alignment="1" applyProtection="1">
      <alignment/>
      <protection/>
    </xf>
    <xf numFmtId="37" fontId="7" fillId="0" borderId="17" xfId="0" applyFont="1" applyBorder="1" applyAlignment="1">
      <alignment/>
    </xf>
    <xf numFmtId="37" fontId="4" fillId="0" borderId="18" xfId="0" applyFont="1" applyBorder="1" applyAlignment="1">
      <alignment/>
    </xf>
    <xf numFmtId="191" fontId="4" fillId="0" borderId="19" xfId="0" applyNumberFormat="1" applyFont="1" applyBorder="1" applyAlignment="1" applyProtection="1">
      <alignment/>
      <protection/>
    </xf>
    <xf numFmtId="191" fontId="4" fillId="0" borderId="18" xfId="0" applyNumberFormat="1" applyFont="1" applyBorder="1" applyAlignment="1" applyProtection="1">
      <alignment/>
      <protection/>
    </xf>
    <xf numFmtId="191" fontId="7" fillId="0" borderId="13" xfId="0" applyNumberFormat="1" applyFont="1" applyBorder="1" applyAlignment="1">
      <alignment/>
    </xf>
    <xf numFmtId="172" fontId="7" fillId="0" borderId="2" xfId="0" applyNumberFormat="1" applyFont="1" applyBorder="1" applyAlignment="1" applyProtection="1">
      <alignment/>
      <protection/>
    </xf>
    <xf numFmtId="37" fontId="7" fillId="3" borderId="2" xfId="0" applyFont="1" applyFill="1" applyBorder="1" applyAlignment="1">
      <alignment horizontal="center"/>
    </xf>
    <xf numFmtId="172" fontId="7" fillId="0" borderId="3" xfId="0" applyNumberFormat="1" applyFont="1" applyBorder="1" applyAlignment="1" applyProtection="1">
      <alignment/>
      <protection/>
    </xf>
    <xf numFmtId="37" fontId="7" fillId="3" borderId="3" xfId="0" applyFont="1" applyFill="1" applyBorder="1" applyAlignment="1">
      <alignment/>
    </xf>
    <xf numFmtId="37" fontId="4" fillId="0" borderId="7" xfId="0" applyFont="1" applyBorder="1" applyAlignment="1">
      <alignment/>
    </xf>
    <xf numFmtId="37" fontId="4" fillId="3" borderId="0" xfId="0" applyFont="1" applyFill="1" applyBorder="1" applyAlignment="1">
      <alignment horizontal="right"/>
    </xf>
    <xf numFmtId="37" fontId="4" fillId="3" borderId="1" xfId="0" applyFont="1" applyFill="1" applyBorder="1" applyAlignment="1">
      <alignment/>
    </xf>
    <xf numFmtId="37" fontId="4" fillId="3" borderId="0" xfId="0" applyFont="1" applyFill="1" applyAlignment="1">
      <alignment/>
    </xf>
    <xf numFmtId="196" fontId="7" fillId="0" borderId="1" xfId="0" applyNumberFormat="1" applyFont="1" applyBorder="1" applyAlignment="1">
      <alignment vertical="center"/>
    </xf>
    <xf numFmtId="196"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alignment/>
    </xf>
    <xf numFmtId="37" fontId="4" fillId="3" borderId="3" xfId="0" applyFont="1" applyFill="1" applyBorder="1" applyAlignment="1" applyProtection="1">
      <alignment horizontal="centerContinuous" vertical="center"/>
      <protection/>
    </xf>
    <xf numFmtId="37" fontId="7" fillId="3" borderId="3" xfId="0" applyFont="1" applyFill="1" applyBorder="1" applyAlignment="1">
      <alignment/>
    </xf>
    <xf numFmtId="37" fontId="4" fillId="3" borderId="4" xfId="0" applyFont="1" applyFill="1" applyBorder="1" applyAlignment="1">
      <alignment horizontal="centerContinuous"/>
    </xf>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75" fontId="7" fillId="0" borderId="11" xfId="0" applyNumberFormat="1" applyFont="1" applyBorder="1" applyAlignment="1" applyProtection="1">
      <alignment/>
      <protection/>
    </xf>
    <xf numFmtId="37" fontId="7" fillId="0" borderId="0" xfId="0" applyFont="1" applyAlignment="1">
      <alignment horizontal="centerContinuous"/>
    </xf>
    <xf numFmtId="175" fontId="7" fillId="0" borderId="0" xfId="0" applyNumberFormat="1" applyFont="1" applyAlignment="1" applyProtection="1">
      <alignment horizontal="centerContinuous"/>
      <protection/>
    </xf>
    <xf numFmtId="37" fontId="7" fillId="3" borderId="2" xfId="0" applyFont="1" applyFill="1" applyBorder="1" applyAlignment="1">
      <alignment horizontal="right"/>
    </xf>
    <xf numFmtId="37" fontId="4" fillId="0" borderId="9" xfId="0" applyFont="1" applyBorder="1" applyAlignment="1">
      <alignment/>
    </xf>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Alignment="1" applyProtection="1">
      <alignment/>
      <protection/>
    </xf>
    <xf numFmtId="37" fontId="7" fillId="4" borderId="0" xfId="0" applyFont="1" applyFill="1" applyBorder="1" applyAlignment="1">
      <alignment/>
    </xf>
    <xf numFmtId="175" fontId="7" fillId="5" borderId="0" xfId="0" applyNumberFormat="1" applyFont="1" applyFill="1" applyBorder="1" applyAlignment="1" applyProtection="1">
      <alignment/>
      <protection/>
    </xf>
    <xf numFmtId="175" fontId="4" fillId="5" borderId="0" xfId="0" applyNumberFormat="1" applyFont="1" applyFill="1" applyBorder="1" applyAlignment="1" applyProtection="1">
      <alignment/>
      <protection/>
    </xf>
    <xf numFmtId="37" fontId="7" fillId="3" borderId="0" xfId="0" applyFont="1" applyFill="1" applyAlignment="1" applyProtection="1">
      <alignment/>
      <protection/>
    </xf>
    <xf numFmtId="37" fontId="4" fillId="3" borderId="2" xfId="0" applyFont="1" applyFill="1" applyBorder="1" applyAlignment="1" applyProtection="1">
      <alignment horizontal="centerContinuous" vertical="center"/>
      <protection/>
    </xf>
    <xf numFmtId="37" fontId="7" fillId="3" borderId="2" xfId="0" applyFont="1" applyFill="1" applyBorder="1" applyAlignment="1" applyProtection="1">
      <alignment horizontal="centerContinuous"/>
      <protection/>
    </xf>
    <xf numFmtId="37" fontId="7" fillId="3" borderId="2" xfId="0" applyFont="1" applyFill="1" applyBorder="1" applyAlignment="1" applyProtection="1">
      <alignment horizontal="right"/>
      <protection/>
    </xf>
    <xf numFmtId="37" fontId="4" fillId="3" borderId="3" xfId="0" applyFont="1" applyFill="1" applyBorder="1" applyAlignment="1" applyProtection="1" quotePrefix="1">
      <alignment horizontal="centerContinuous" vertical="center"/>
      <protection/>
    </xf>
    <xf numFmtId="37" fontId="7" fillId="3" borderId="3" xfId="0" applyFont="1" applyFill="1" applyBorder="1" applyAlignment="1" applyProtection="1">
      <alignment horizontal="centerContinuous"/>
      <protection/>
    </xf>
    <xf numFmtId="37" fontId="7" fillId="3" borderId="3" xfId="0" applyFont="1" applyFill="1" applyBorder="1" applyAlignment="1" applyProtection="1" quotePrefix="1">
      <alignment horizontal="centerContinuous"/>
      <protection/>
    </xf>
    <xf numFmtId="37" fontId="7" fillId="3" borderId="3" xfId="0" applyFont="1" applyFill="1" applyBorder="1" applyAlignment="1" applyProtection="1">
      <alignment/>
      <protection/>
    </xf>
    <xf numFmtId="182" fontId="7" fillId="3" borderId="0" xfId="0" applyNumberFormat="1" applyFont="1" applyFill="1" applyAlignment="1" applyProtection="1">
      <alignment/>
      <protection/>
    </xf>
    <xf numFmtId="37" fontId="4" fillId="0" borderId="20" xfId="0" applyFont="1" applyBorder="1" applyAlignment="1" applyProtection="1">
      <alignment horizontal="centerContinuous"/>
      <protection/>
    </xf>
    <xf numFmtId="37" fontId="4" fillId="0" borderId="3" xfId="0" applyFont="1" applyBorder="1" applyAlignment="1" applyProtection="1">
      <alignment horizontal="centerContinuous"/>
      <protection/>
    </xf>
    <xf numFmtId="37" fontId="4" fillId="0" borderId="21" xfId="0" applyFont="1" applyBorder="1" applyAlignment="1" applyProtection="1">
      <alignment horizontal="centerContinuous"/>
      <protection/>
    </xf>
    <xf numFmtId="37" fontId="4" fillId="0" borderId="10" xfId="0" applyFont="1" applyBorder="1" applyAlignment="1" applyProtection="1">
      <alignment horizontal="centerContinuous"/>
      <protection/>
    </xf>
    <xf numFmtId="37" fontId="4" fillId="0" borderId="7" xfId="0" applyFont="1" applyBorder="1" applyAlignment="1">
      <alignment vertical="center"/>
    </xf>
    <xf numFmtId="37" fontId="4" fillId="0" borderId="0" xfId="0" applyFont="1" applyBorder="1" applyAlignment="1" applyProtection="1">
      <alignment horizontal="center" vertical="center"/>
      <protection/>
    </xf>
    <xf numFmtId="37" fontId="4" fillId="0" borderId="16" xfId="0" applyFont="1" applyBorder="1" applyAlignment="1" applyProtection="1">
      <alignment vertical="center"/>
      <protection/>
    </xf>
    <xf numFmtId="37" fontId="4" fillId="0" borderId="16" xfId="0" applyFont="1" applyBorder="1" applyAlignment="1" applyProtection="1">
      <alignment horizontal="center" vertical="center"/>
      <protection/>
    </xf>
    <xf numFmtId="37" fontId="4" fillId="0" borderId="22" xfId="0" applyFont="1" applyBorder="1" applyAlignment="1" applyProtection="1">
      <alignment horizontal="center" vertical="center"/>
      <protection/>
    </xf>
    <xf numFmtId="37" fontId="4" fillId="0" borderId="1" xfId="0" applyFont="1" applyBorder="1" applyAlignment="1" applyProtection="1">
      <alignment horizontal="center" vertical="center"/>
      <protection/>
    </xf>
    <xf numFmtId="37" fontId="4" fillId="0" borderId="8" xfId="0" applyFont="1" applyBorder="1" applyAlignment="1">
      <alignment vertical="center"/>
    </xf>
    <xf numFmtId="37" fontId="4" fillId="0" borderId="3" xfId="0" applyFont="1" applyBorder="1" applyAlignment="1" applyProtection="1">
      <alignment horizontal="center" vertical="center"/>
      <protection/>
    </xf>
    <xf numFmtId="37" fontId="4" fillId="0" borderId="20" xfId="0" applyFont="1" applyBorder="1" applyAlignment="1" applyProtection="1">
      <alignment horizontal="center" vertical="center"/>
      <protection/>
    </xf>
    <xf numFmtId="37" fontId="4" fillId="0" borderId="21" xfId="0" applyFont="1" applyBorder="1" applyAlignment="1" applyProtection="1">
      <alignment horizontal="center" vertical="center"/>
      <protection/>
    </xf>
    <xf numFmtId="37" fontId="4" fillId="0" borderId="9" xfId="0" applyFont="1" applyBorder="1" applyAlignment="1" applyProtection="1">
      <alignment horizontal="center" vertical="center"/>
      <protection/>
    </xf>
    <xf numFmtId="196" fontId="7" fillId="0" borderId="23" xfId="0" applyNumberFormat="1" applyFont="1" applyBorder="1" applyAlignment="1">
      <alignment vertical="center"/>
    </xf>
    <xf numFmtId="196" fontId="7" fillId="0" borderId="6" xfId="0" applyNumberFormat="1" applyFont="1" applyBorder="1" applyAlignment="1">
      <alignment vertical="center"/>
    </xf>
    <xf numFmtId="37" fontId="7" fillId="0" borderId="11" xfId="0" applyFont="1" applyBorder="1" applyAlignment="1" applyProtection="1">
      <alignment/>
      <protection/>
    </xf>
    <xf numFmtId="49" fontId="8" fillId="0" borderId="0" xfId="0" applyNumberFormat="1" applyFont="1" applyAlignment="1">
      <alignment/>
    </xf>
    <xf numFmtId="37" fontId="8" fillId="0" borderId="0" xfId="0" applyFont="1" applyAlignment="1" applyProtection="1">
      <alignment/>
      <protection/>
    </xf>
    <xf numFmtId="37" fontId="8" fillId="0" borderId="0" xfId="0" applyFont="1" applyAlignment="1">
      <alignment horizontal="left"/>
    </xf>
    <xf numFmtId="37" fontId="8" fillId="0" borderId="0" xfId="0" applyFont="1" applyAlignment="1">
      <alignment/>
    </xf>
    <xf numFmtId="49" fontId="8" fillId="0" borderId="0" xfId="0" applyNumberFormat="1" applyFont="1" applyAlignment="1">
      <alignment horizontal="right"/>
    </xf>
    <xf numFmtId="49" fontId="13" fillId="0" borderId="6" xfId="0" applyNumberFormat="1" applyFont="1" applyBorder="1" applyAlignment="1">
      <alignment/>
    </xf>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4"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applyAlignment="1">
      <alignment/>
    </xf>
    <xf numFmtId="191" fontId="7" fillId="3" borderId="7" xfId="0" applyNumberFormat="1" applyFont="1" applyFill="1" applyBorder="1" applyAlignment="1" applyProtection="1">
      <alignment/>
      <protection/>
    </xf>
    <xf numFmtId="174" fontId="7" fillId="3" borderId="7" xfId="0" applyNumberFormat="1" applyFont="1" applyFill="1" applyBorder="1" applyAlignment="1" applyProtection="1">
      <alignment/>
      <protection/>
    </xf>
    <xf numFmtId="37" fontId="7" fillId="3" borderId="25" xfId="0" applyFont="1" applyFill="1" applyBorder="1" applyAlignment="1">
      <alignment/>
    </xf>
    <xf numFmtId="191" fontId="7" fillId="3" borderId="25" xfId="0" applyNumberFormat="1" applyFont="1" applyFill="1" applyBorder="1" applyAlignment="1" applyProtection="1">
      <alignment/>
      <protection/>
    </xf>
    <xf numFmtId="37" fontId="7" fillId="0" borderId="25" xfId="0" applyFont="1" applyBorder="1" applyAlignment="1">
      <alignment/>
    </xf>
    <xf numFmtId="191" fontId="7" fillId="0" borderId="25" xfId="0" applyNumberFormat="1" applyFont="1" applyBorder="1" applyAlignment="1" applyProtection="1">
      <alignment/>
      <protection/>
    </xf>
    <xf numFmtId="191" fontId="7" fillId="0" borderId="25" xfId="0" applyNumberFormat="1" applyFont="1" applyBorder="1" applyAlignment="1">
      <alignment/>
    </xf>
    <xf numFmtId="37" fontId="7" fillId="0" borderId="8" xfId="0" applyFont="1" applyBorder="1" applyAlignment="1">
      <alignment horizontal="left"/>
    </xf>
    <xf numFmtId="37" fontId="4" fillId="0" borderId="24" xfId="0" applyFont="1" applyFill="1" applyBorder="1" applyAlignment="1">
      <alignment/>
    </xf>
    <xf numFmtId="37" fontId="7" fillId="0" borderId="25" xfId="0" applyFont="1" applyBorder="1" applyAlignment="1" quotePrefix="1">
      <alignment horizontal="left"/>
    </xf>
    <xf numFmtId="37" fontId="7" fillId="0" borderId="8" xfId="0" applyFont="1" applyBorder="1" applyAlignment="1">
      <alignment/>
    </xf>
    <xf numFmtId="37" fontId="4" fillId="0" borderId="7" xfId="0" applyFont="1" applyFill="1" applyBorder="1" applyAlignment="1">
      <alignment/>
    </xf>
    <xf numFmtId="174" fontId="7" fillId="0" borderId="0" xfId="0" applyNumberFormat="1" applyFont="1" applyAlignment="1" applyProtection="1">
      <alignment/>
      <protection/>
    </xf>
    <xf numFmtId="49" fontId="7" fillId="0" borderId="0" xfId="0" applyNumberFormat="1" applyFont="1" applyAlignment="1">
      <alignment/>
    </xf>
    <xf numFmtId="49" fontId="8" fillId="0" borderId="0" xfId="0" applyNumberFormat="1" applyFont="1" applyAlignment="1">
      <alignment/>
    </xf>
    <xf numFmtId="37" fontId="7" fillId="0" borderId="0" xfId="0" applyFont="1" applyAlignment="1" quotePrefix="1">
      <alignment horizontal="left"/>
    </xf>
    <xf numFmtId="172" fontId="7" fillId="0" borderId="2" xfId="0" applyNumberFormat="1" applyFont="1" applyBorder="1" applyAlignment="1" applyProtection="1">
      <alignment vertical="center"/>
      <protection/>
    </xf>
    <xf numFmtId="37" fontId="7" fillId="3" borderId="2" xfId="0" applyFont="1" applyFill="1" applyBorder="1" applyAlignment="1">
      <alignment horizontal="right" vertical="center"/>
    </xf>
    <xf numFmtId="172" fontId="7" fillId="0" borderId="3" xfId="0" applyNumberFormat="1" applyFont="1" applyBorder="1" applyAlignment="1" applyProtection="1">
      <alignment vertical="center"/>
      <protection/>
    </xf>
    <xf numFmtId="37" fontId="4" fillId="3" borderId="6" xfId="0" applyFont="1" applyFill="1" applyBorder="1" applyAlignment="1">
      <alignment/>
    </xf>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72" fontId="7" fillId="0" borderId="2" xfId="0" applyNumberFormat="1" applyFont="1" applyBorder="1" applyAlignment="1" applyProtection="1">
      <alignment horizontal="centerContinuous" vertical="center"/>
      <protection/>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Alignment="1" applyProtection="1">
      <alignment/>
      <protection locked="0"/>
    </xf>
    <xf numFmtId="172" fontId="7" fillId="0" borderId="3" xfId="0" applyNumberFormat="1" applyFont="1" applyBorder="1" applyAlignment="1" applyProtection="1">
      <alignment horizontal="centerContinuous" vertical="center"/>
      <protection/>
    </xf>
    <xf numFmtId="37" fontId="7" fillId="3" borderId="3" xfId="0" applyFont="1" applyFill="1" applyBorder="1" applyAlignment="1">
      <alignment horizontal="centerContinuous" vertical="center"/>
    </xf>
    <xf numFmtId="37" fontId="10" fillId="0" borderId="3" xfId="0" applyFont="1" applyBorder="1" applyAlignment="1" applyProtection="1">
      <alignment/>
      <protection locked="0"/>
    </xf>
    <xf numFmtId="37" fontId="4" fillId="0" borderId="26" xfId="0" applyFont="1" applyFill="1" applyBorder="1" applyAlignment="1">
      <alignment horizontal="centerContinuous"/>
    </xf>
    <xf numFmtId="37" fontId="4" fillId="0" borderId="27" xfId="0" applyFont="1" applyFill="1" applyBorder="1" applyAlignment="1">
      <alignment horizontal="centerContinuous"/>
    </xf>
    <xf numFmtId="37" fontId="4" fillId="0" borderId="28" xfId="0" applyFont="1" applyFill="1" applyBorder="1" applyAlignment="1">
      <alignment horizontal="left"/>
    </xf>
    <xf numFmtId="37" fontId="7" fillId="0" borderId="26" xfId="0" applyFont="1" applyFill="1" applyBorder="1" applyAlignment="1">
      <alignment/>
    </xf>
    <xf numFmtId="37" fontId="7" fillId="0" borderId="29" xfId="0" applyFont="1" applyFill="1" applyBorder="1" applyAlignment="1">
      <alignment/>
    </xf>
    <xf numFmtId="191" fontId="7" fillId="0" borderId="1" xfId="0" applyNumberFormat="1" applyFont="1" applyBorder="1" applyAlignment="1">
      <alignment/>
    </xf>
    <xf numFmtId="191" fontId="7" fillId="0" borderId="0" xfId="0" applyNumberFormat="1" applyFont="1" applyAlignment="1">
      <alignment/>
    </xf>
    <xf numFmtId="37" fontId="7" fillId="0" borderId="12" xfId="0" applyFont="1" applyBorder="1" applyAlignment="1">
      <alignment/>
    </xf>
    <xf numFmtId="37" fontId="4" fillId="3" borderId="17" xfId="0" applyFont="1" applyFill="1" applyBorder="1" applyAlignment="1">
      <alignment horizontal="left"/>
    </xf>
    <xf numFmtId="37" fontId="4" fillId="3" borderId="13" xfId="0" applyFont="1" applyFill="1" applyBorder="1" applyAlignment="1">
      <alignment/>
    </xf>
    <xf numFmtId="37" fontId="7" fillId="3" borderId="13" xfId="0" applyFont="1" applyFill="1" applyBorder="1" applyAlignment="1">
      <alignment/>
    </xf>
    <xf numFmtId="37" fontId="7" fillId="3" borderId="18" xfId="0" applyFont="1" applyFill="1" applyBorder="1" applyAlignment="1">
      <alignment/>
    </xf>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alignment/>
    </xf>
    <xf numFmtId="0" fontId="7" fillId="3" borderId="3" xfId="0" applyNumberFormat="1" applyFont="1" applyFill="1" applyBorder="1" applyAlignment="1">
      <alignment/>
    </xf>
    <xf numFmtId="37" fontId="7" fillId="3" borderId="6" xfId="0" applyFont="1" applyFill="1" applyBorder="1" applyAlignment="1">
      <alignment/>
    </xf>
    <xf numFmtId="37" fontId="4" fillId="0" borderId="5" xfId="0" applyFont="1" applyBorder="1" applyAlignment="1">
      <alignment horizontal="centerContinuous"/>
    </xf>
    <xf numFmtId="39" fontId="7" fillId="0" borderId="0" xfId="0" applyNumberFormat="1" applyFont="1" applyAlignment="1" applyProtection="1">
      <alignment/>
      <protection/>
    </xf>
    <xf numFmtId="37" fontId="4" fillId="3" borderId="17" xfId="0" applyFont="1" applyFill="1" applyBorder="1" applyAlignment="1">
      <alignment/>
    </xf>
    <xf numFmtId="37" fontId="4" fillId="3" borderId="13" xfId="0" applyFont="1" applyFill="1" applyBorder="1" applyAlignment="1">
      <alignment/>
    </xf>
    <xf numFmtId="37" fontId="7" fillId="3" borderId="13" xfId="0" applyFont="1" applyFill="1" applyBorder="1" applyAlignment="1">
      <alignment/>
    </xf>
    <xf numFmtId="37" fontId="7" fillId="3" borderId="18" xfId="0" applyFont="1" applyFill="1" applyBorder="1" applyAlignment="1">
      <alignment/>
    </xf>
    <xf numFmtId="37" fontId="4" fillId="0" borderId="18" xfId="0" applyFont="1" applyBorder="1" applyAlignment="1">
      <alignment horizontal="centerContinuous"/>
    </xf>
    <xf numFmtId="172" fontId="7" fillId="0" borderId="2" xfId="0" applyNumberFormat="1" applyFont="1" applyBorder="1" applyAlignment="1" applyProtection="1">
      <alignment horizontal="centerContinuous"/>
      <protection/>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Alignment="1" applyProtection="1">
      <alignment/>
      <protection/>
    </xf>
    <xf numFmtId="37" fontId="7" fillId="3" borderId="13" xfId="0" applyFont="1" applyFill="1" applyBorder="1" applyAlignment="1" applyProtection="1">
      <alignment/>
      <protection/>
    </xf>
    <xf numFmtId="37" fontId="7" fillId="3" borderId="18" xfId="0" applyFont="1" applyFill="1" applyBorder="1" applyAlignment="1" applyProtection="1">
      <alignment/>
      <protection/>
    </xf>
    <xf numFmtId="37" fontId="4" fillId="3" borderId="1" xfId="0" applyFont="1" applyFill="1" applyBorder="1" applyAlignment="1" applyProtection="1">
      <alignment/>
      <protection/>
    </xf>
    <xf numFmtId="37" fontId="4" fillId="3" borderId="6" xfId="0" applyFont="1" applyFill="1" applyBorder="1" applyAlignment="1" applyProtection="1">
      <alignment horizontal="center"/>
      <protection/>
    </xf>
    <xf numFmtId="37" fontId="4" fillId="3" borderId="1" xfId="0" applyFont="1" applyFill="1" applyBorder="1" applyAlignment="1" applyProtection="1">
      <alignment horizontal="centerContinuous"/>
      <protection/>
    </xf>
    <xf numFmtId="37" fontId="4" fillId="0" borderId="9" xfId="0" applyFont="1" applyBorder="1" applyAlignment="1" applyProtection="1">
      <alignment horizontal="centerContinuous"/>
      <protection/>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applyAlignment="1">
      <alignment/>
    </xf>
    <xf numFmtId="37" fontId="7" fillId="0" borderId="0" xfId="0" applyFont="1" applyBorder="1" applyAlignment="1">
      <alignment/>
    </xf>
    <xf numFmtId="37" fontId="7" fillId="3" borderId="2" xfId="0" applyFont="1" applyFill="1" applyBorder="1" applyAlignment="1" quotePrefix="1">
      <alignment/>
    </xf>
    <xf numFmtId="37" fontId="7" fillId="3" borderId="2" xfId="0" applyFont="1" applyFill="1" applyBorder="1" applyAlignment="1" applyProtection="1">
      <alignment/>
      <protection/>
    </xf>
    <xf numFmtId="37" fontId="7" fillId="3" borderId="3" xfId="0" applyFont="1" applyFill="1" applyBorder="1" applyAlignment="1" applyProtection="1">
      <alignment/>
      <protection/>
    </xf>
    <xf numFmtId="37" fontId="7" fillId="3" borderId="3" xfId="0" applyFont="1" applyFill="1" applyBorder="1" applyAlignment="1" applyProtection="1">
      <alignment horizontal="center"/>
      <protection/>
    </xf>
    <xf numFmtId="37" fontId="4" fillId="3" borderId="17" xfId="0" applyFont="1" applyFill="1" applyBorder="1" applyAlignment="1" applyProtection="1">
      <alignment/>
      <protection/>
    </xf>
    <xf numFmtId="37" fontId="7" fillId="3" borderId="13" xfId="0" applyFont="1" applyFill="1" applyBorder="1" applyAlignment="1" applyProtection="1">
      <alignment horizontal="centerContinuous"/>
      <protection/>
    </xf>
    <xf numFmtId="37" fontId="7" fillId="3" borderId="18" xfId="0" applyFont="1" applyFill="1" applyBorder="1" applyAlignment="1" applyProtection="1">
      <alignment horizontal="centerContinuous"/>
      <protection/>
    </xf>
    <xf numFmtId="37" fontId="4" fillId="3" borderId="6" xfId="0" applyFont="1" applyFill="1" applyBorder="1" applyAlignment="1" applyProtection="1">
      <alignment/>
      <protection/>
    </xf>
    <xf numFmtId="37" fontId="4" fillId="3" borderId="30" xfId="0" applyFont="1" applyFill="1" applyBorder="1" applyAlignment="1" applyProtection="1">
      <alignment horizontal="center"/>
      <protection/>
    </xf>
    <xf numFmtId="37" fontId="4" fillId="3" borderId="3" xfId="0" applyFont="1" applyFill="1" applyBorder="1" applyAlignment="1" applyProtection="1">
      <alignment horizontal="centerContinuous"/>
      <protection/>
    </xf>
    <xf numFmtId="37" fontId="4" fillId="3" borderId="10" xfId="0" applyFont="1" applyFill="1" applyBorder="1" applyAlignment="1" applyProtection="1">
      <alignment horizontal="centerContinuous"/>
      <protection/>
    </xf>
    <xf numFmtId="37" fontId="7" fillId="0" borderId="6" xfId="0" applyFont="1" applyBorder="1" applyAlignment="1" applyProtection="1">
      <alignment/>
      <protection/>
    </xf>
    <xf numFmtId="37" fontId="4" fillId="0" borderId="30" xfId="0" applyFont="1" applyBorder="1" applyAlignment="1" applyProtection="1">
      <alignment horizontal="center"/>
      <protection/>
    </xf>
    <xf numFmtId="37" fontId="7" fillId="0" borderId="4" xfId="0" applyFont="1" applyBorder="1" applyAlignment="1" applyProtection="1">
      <alignment/>
      <protection/>
    </xf>
    <xf numFmtId="37" fontId="4" fillId="0" borderId="6" xfId="0" applyFont="1" applyBorder="1" applyAlignment="1" applyProtection="1">
      <alignment horizontal="center"/>
      <protection/>
    </xf>
    <xf numFmtId="37" fontId="4" fillId="0" borderId="31" xfId="0" applyFont="1" applyBorder="1" applyAlignment="1" applyProtection="1">
      <alignment horizontal="centerContinuous"/>
      <protection/>
    </xf>
    <xf numFmtId="37" fontId="4" fillId="0" borderId="9" xfId="0" applyFont="1" applyBorder="1" applyAlignment="1" applyProtection="1">
      <alignment horizontal="center"/>
      <protection/>
    </xf>
    <xf numFmtId="191" fontId="7" fillId="0" borderId="16" xfId="0" applyNumberFormat="1" applyFont="1" applyBorder="1" applyAlignment="1">
      <alignment vertical="center"/>
    </xf>
    <xf numFmtId="197" fontId="7" fillId="0" borderId="30" xfId="0" applyNumberFormat="1" applyFont="1" applyBorder="1" applyAlignment="1">
      <alignment vertical="center"/>
    </xf>
    <xf numFmtId="197" fontId="7" fillId="0" borderId="0" xfId="0" applyNumberFormat="1" applyFont="1" applyAlignment="1">
      <alignment vertical="center"/>
    </xf>
    <xf numFmtId="0" fontId="4" fillId="3" borderId="13" xfId="0" applyNumberFormat="1" applyFont="1" applyFill="1" applyBorder="1" applyAlignment="1" applyProtection="1">
      <alignment horizontal="centerContinuous"/>
      <protection/>
    </xf>
    <xf numFmtId="0" fontId="7" fillId="3" borderId="18" xfId="0" applyNumberFormat="1" applyFont="1" applyFill="1" applyBorder="1" applyAlignment="1" applyProtection="1">
      <alignment horizontal="centerContinuous"/>
      <protection/>
    </xf>
    <xf numFmtId="37" fontId="4" fillId="3" borderId="6" xfId="0" applyFont="1" applyFill="1" applyBorder="1" applyAlignment="1" applyProtection="1">
      <alignment horizontal="centerContinuous"/>
      <protection/>
    </xf>
    <xf numFmtId="10" fontId="7" fillId="3" borderId="2" xfId="0" applyNumberFormat="1" applyFont="1" applyFill="1" applyBorder="1" applyAlignment="1" applyProtection="1">
      <alignment horizontal="centerContinuous"/>
      <protection/>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72" fontId="7" fillId="0" borderId="0" xfId="0" applyNumberFormat="1" applyFont="1" applyBorder="1" applyAlignment="1" applyProtection="1">
      <alignment/>
      <protection/>
    </xf>
    <xf numFmtId="37" fontId="4" fillId="3" borderId="17" xfId="0" applyFont="1" applyFill="1" applyBorder="1" applyAlignment="1">
      <alignment horizontal="centerContinuous"/>
    </xf>
    <xf numFmtId="172" fontId="10" fillId="0" borderId="0" xfId="0" applyNumberFormat="1" applyFont="1" applyAlignment="1" applyProtection="1">
      <alignment/>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alignment/>
    </xf>
    <xf numFmtId="37" fontId="4" fillId="0" borderId="3" xfId="0" applyFont="1" applyBorder="1" applyAlignment="1" quotePrefix="1">
      <alignment horizontal="centerContinuous" vertical="center"/>
    </xf>
    <xf numFmtId="37" fontId="7" fillId="0" borderId="3" xfId="0" applyFont="1" applyBorder="1" applyAlignment="1">
      <alignment horizontal="centerContinuous"/>
    </xf>
    <xf numFmtId="37" fontId="7" fillId="0" borderId="3" xfId="0" applyFont="1" applyBorder="1" applyAlignment="1">
      <alignment/>
    </xf>
    <xf numFmtId="172" fontId="7" fillId="0" borderId="13" xfId="0" applyNumberFormat="1" applyFont="1" applyBorder="1" applyAlignment="1" applyProtection="1">
      <alignment vertical="center"/>
      <protection/>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applyFont="1" applyFill="1" applyBorder="1" applyAlignment="1" applyProtection="1" quotePrefix="1">
      <alignment horizontal="centerContinuous" vertical="center"/>
      <protection/>
    </xf>
    <xf numFmtId="37" fontId="4" fillId="0" borderId="4" xfId="0" applyFont="1" applyBorder="1" applyAlignment="1">
      <alignment horizontal="centerContinuous"/>
    </xf>
    <xf numFmtId="37" fontId="4" fillId="0" borderId="4" xfId="0" applyFont="1" applyBorder="1" applyAlignment="1">
      <alignment horizontal="center"/>
    </xf>
    <xf numFmtId="37" fontId="4" fillId="0" borderId="1" xfId="0" applyFont="1" applyBorder="1" applyAlignment="1">
      <alignment horizontal="centerContinuous"/>
    </xf>
    <xf numFmtId="37" fontId="4" fillId="0" borderId="1" xfId="0" applyFont="1" applyBorder="1" applyAlignment="1">
      <alignment horizontal="center"/>
    </xf>
    <xf numFmtId="37" fontId="7" fillId="0" borderId="0" xfId="0" applyFont="1" applyAlignment="1">
      <alignment wrapText="1"/>
    </xf>
    <xf numFmtId="37" fontId="14" fillId="0" borderId="0" xfId="0" applyFont="1" applyAlignment="1">
      <alignment/>
    </xf>
    <xf numFmtId="37" fontId="4" fillId="0" borderId="0" xfId="0" applyFont="1" applyAlignment="1">
      <alignment/>
    </xf>
    <xf numFmtId="172" fontId="7" fillId="0" borderId="0" xfId="0" applyNumberFormat="1" applyFont="1" applyAlignment="1">
      <alignment/>
    </xf>
    <xf numFmtId="37" fontId="7" fillId="0" borderId="32" xfId="0" applyFont="1" applyBorder="1" applyAlignment="1">
      <alignment/>
    </xf>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applyFont="1" applyBorder="1" applyAlignment="1" quotePrefix="1">
      <alignment horizontal="centerContinuous"/>
    </xf>
    <xf numFmtId="172" fontId="7" fillId="0" borderId="12" xfId="0" applyNumberFormat="1" applyFont="1" applyBorder="1" applyAlignment="1" applyProtection="1">
      <alignment vertical="center"/>
      <protection/>
    </xf>
    <xf numFmtId="37" fontId="4" fillId="0" borderId="12" xfId="0" applyFont="1" applyBorder="1" applyAlignment="1">
      <alignment horizontal="centerContinuous" vertical="center"/>
    </xf>
    <xf numFmtId="172" fontId="7" fillId="0" borderId="11" xfId="0" applyNumberFormat="1" applyFont="1" applyBorder="1" applyAlignment="1" applyProtection="1">
      <alignment vertical="center"/>
      <protection/>
    </xf>
    <xf numFmtId="37" fontId="7" fillId="0" borderId="11" xfId="0" applyFont="1" applyBorder="1" applyAlignment="1">
      <alignment/>
    </xf>
    <xf numFmtId="37" fontId="7" fillId="0" borderId="2" xfId="0" applyFont="1" applyBorder="1" applyAlignment="1" quotePrefix="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8" fillId="0" borderId="0" xfId="0" applyNumberFormat="1" applyFont="1" applyAlignment="1">
      <alignment horizontal="left"/>
    </xf>
    <xf numFmtId="37" fontId="15" fillId="0" borderId="3" xfId="0" applyFont="1" applyBorder="1" applyAlignment="1">
      <alignment horizontal="centerContinuous" vertical="center"/>
    </xf>
    <xf numFmtId="49" fontId="4" fillId="0" borderId="9" xfId="0" applyNumberFormat="1" applyFont="1" applyBorder="1" applyAlignment="1">
      <alignment/>
    </xf>
    <xf numFmtId="49" fontId="7" fillId="0" borderId="1" xfId="0" applyNumberFormat="1" applyFont="1" applyBorder="1" applyAlignment="1">
      <alignment/>
    </xf>
    <xf numFmtId="196" fontId="7" fillId="0" borderId="1" xfId="0" applyNumberFormat="1" applyFont="1" applyBorder="1" applyAlignment="1">
      <alignment/>
    </xf>
    <xf numFmtId="195" fontId="7" fillId="0" borderId="0" xfId="0" applyNumberFormat="1" applyFont="1" applyAlignment="1">
      <alignment/>
    </xf>
    <xf numFmtId="196" fontId="7" fillId="0" borderId="0" xfId="0" applyNumberFormat="1" applyFont="1" applyAlignment="1">
      <alignment/>
    </xf>
    <xf numFmtId="191" fontId="7" fillId="0" borderId="0" xfId="0" applyNumberFormat="1" applyFont="1" applyAlignment="1" applyProtection="1">
      <alignment/>
      <protection/>
    </xf>
    <xf numFmtId="37" fontId="4" fillId="0" borderId="25" xfId="0" applyFont="1" applyBorder="1" applyAlignment="1">
      <alignment horizontal="center" vertical="center"/>
    </xf>
    <xf numFmtId="171" fontId="7" fillId="0" borderId="0" xfId="16"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4" fillId="3" borderId="11" xfId="0" applyFont="1" applyFill="1" applyBorder="1" applyAlignment="1" applyProtection="1">
      <alignment horizontal="centerContinuous" vertical="top"/>
      <protection/>
    </xf>
    <xf numFmtId="37" fontId="7" fillId="3" borderId="11" xfId="0" applyFont="1" applyFill="1" applyBorder="1" applyAlignment="1" applyProtection="1" quotePrefix="1">
      <alignment horizontal="centerContinuous" vertical="center"/>
      <protection/>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49" fontId="4" fillId="5" borderId="19" xfId="0" applyNumberFormat="1" applyFont="1" applyFill="1" applyBorder="1" applyAlignment="1">
      <alignment horizont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applyFont="1" applyFill="1" applyBorder="1" applyAlignment="1" quotePrefix="1">
      <alignment horizontal="right"/>
    </xf>
    <xf numFmtId="37" fontId="4" fillId="0" borderId="33" xfId="0" applyFont="1" applyBorder="1" applyAlignment="1">
      <alignment horizontal="center"/>
    </xf>
    <xf numFmtId="37" fontId="7" fillId="0" borderId="7" xfId="0" applyFont="1" applyBorder="1" applyAlignment="1">
      <alignment/>
    </xf>
    <xf numFmtId="37" fontId="4" fillId="0" borderId="25" xfId="0" applyFont="1" applyBorder="1" applyAlignment="1">
      <alignment horizontal="center"/>
    </xf>
    <xf numFmtId="37" fontId="4" fillId="6" borderId="25" xfId="0" applyFont="1" applyFill="1" applyBorder="1" applyAlignment="1">
      <alignment horizontal="center"/>
    </xf>
    <xf numFmtId="37" fontId="4" fillId="6" borderId="8" xfId="0" applyFont="1" applyFill="1" applyBorder="1" applyAlignment="1">
      <alignment horizontal="center"/>
    </xf>
    <xf numFmtId="49" fontId="7" fillId="0" borderId="0" xfId="0" applyNumberFormat="1" applyFont="1" applyBorder="1" applyAlignment="1">
      <alignment horizontal="left"/>
    </xf>
    <xf numFmtId="37" fontId="7" fillId="0" borderId="0" xfId="0" applyFont="1" applyBorder="1" applyAlignment="1">
      <alignment/>
    </xf>
    <xf numFmtId="37" fontId="7" fillId="3" borderId="0" xfId="0" applyFont="1" applyFill="1" applyBorder="1" applyAlignment="1">
      <alignment horizontal="right"/>
    </xf>
    <xf numFmtId="37" fontId="4" fillId="3" borderId="33" xfId="0" applyFont="1" applyFill="1" applyBorder="1" applyAlignment="1">
      <alignment horizontal="centerContinuous" vertical="center"/>
    </xf>
    <xf numFmtId="37" fontId="4" fillId="0" borderId="33" xfId="0" applyFont="1" applyBorder="1" applyAlignment="1">
      <alignment horizontal="center" vertical="center"/>
    </xf>
    <xf numFmtId="37" fontId="7" fillId="0" borderId="0" xfId="0" applyFont="1" applyBorder="1" applyAlignment="1">
      <alignment horizontal="left"/>
    </xf>
    <xf numFmtId="172" fontId="7" fillId="0" borderId="13" xfId="0" applyNumberFormat="1" applyFont="1" applyBorder="1" applyAlignment="1" applyProtection="1">
      <alignment/>
      <protection/>
    </xf>
    <xf numFmtId="37" fontId="7" fillId="0" borderId="13" xfId="0" applyFont="1" applyBorder="1" applyAlignment="1">
      <alignment horizontal="centerContinuous" vertical="center"/>
    </xf>
    <xf numFmtId="172" fontId="7" fillId="0" borderId="0" xfId="0" applyNumberFormat="1" applyFont="1" applyAlignment="1" applyProtection="1">
      <alignment horizontal="centerContinuous"/>
      <protection/>
    </xf>
    <xf numFmtId="37" fontId="4" fillId="0" borderId="17" xfId="0" applyFont="1" applyBorder="1" applyAlignment="1">
      <alignment horizontal="centerContinuous" vertical="center"/>
    </xf>
    <xf numFmtId="37" fontId="4" fillId="0" borderId="6" xfId="0" applyFont="1" applyBorder="1" applyAlignment="1">
      <alignment horizontal="center"/>
    </xf>
    <xf numFmtId="37" fontId="10" fillId="0" borderId="13" xfId="0" applyFont="1" applyBorder="1" applyAlignment="1" applyProtection="1">
      <alignment horizontal="centerContinuous" vertical="center"/>
      <protection locked="0"/>
    </xf>
    <xf numFmtId="171" fontId="7" fillId="0" borderId="0" xfId="16" applyFont="1" applyAlignment="1">
      <alignment/>
    </xf>
    <xf numFmtId="37" fontId="7" fillId="0" borderId="0" xfId="0" applyFont="1" applyAlignment="1" quotePrefix="1">
      <alignment/>
    </xf>
    <xf numFmtId="37" fontId="4" fillId="0" borderId="26" xfId="0" applyFont="1" applyBorder="1" applyAlignment="1">
      <alignment horizontal="centerContinuous" vertical="center"/>
    </xf>
    <xf numFmtId="37" fontId="7" fillId="0" borderId="26"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applyAlignment="1">
      <alignment/>
    </xf>
    <xf numFmtId="37" fontId="7" fillId="0" borderId="10" xfId="0" applyFont="1" applyBorder="1" applyAlignment="1">
      <alignment horizontal="centerContinuous"/>
    </xf>
    <xf numFmtId="49" fontId="12" fillId="0" borderId="10" xfId="0" applyNumberFormat="1" applyFont="1" applyBorder="1" applyAlignment="1">
      <alignment horizontal="center"/>
    </xf>
    <xf numFmtId="49" fontId="12" fillId="0" borderId="8" xfId="0" applyNumberFormat="1" applyFont="1" applyBorder="1" applyAlignment="1">
      <alignment horizontal="center" vertical="top"/>
    </xf>
    <xf numFmtId="49" fontId="8" fillId="0" borderId="0" xfId="0" applyNumberFormat="1" applyFont="1" applyBorder="1" applyAlignment="1">
      <alignment horizontal="left"/>
    </xf>
    <xf numFmtId="37" fontId="4" fillId="3" borderId="5" xfId="0" applyFont="1" applyFill="1" applyBorder="1" applyAlignment="1">
      <alignment vertical="center"/>
    </xf>
    <xf numFmtId="37" fontId="4" fillId="0" borderId="10" xfId="0" applyFont="1" applyBorder="1" applyAlignment="1">
      <alignment horizontal="right" vertical="center"/>
    </xf>
    <xf numFmtId="10" fontId="7" fillId="0" borderId="0" xfId="23" applyNumberFormat="1" applyFont="1" applyAlignment="1">
      <alignment/>
    </xf>
    <xf numFmtId="37" fontId="9" fillId="3" borderId="0" xfId="0" applyFont="1" applyFill="1" applyAlignment="1">
      <alignment horizontal="centerContinuous"/>
    </xf>
    <xf numFmtId="37" fontId="9" fillId="0" borderId="0" xfId="0" applyFont="1" applyAlignment="1">
      <alignment horizontal="centerContinuous"/>
    </xf>
    <xf numFmtId="37" fontId="8" fillId="0" borderId="0" xfId="0" applyFont="1" applyBorder="1" applyAlignment="1">
      <alignment/>
    </xf>
    <xf numFmtId="49" fontId="4" fillId="0" borderId="24" xfId="0" applyNumberFormat="1" applyFont="1" applyBorder="1" applyAlignment="1">
      <alignment horizontal="center" vertical="center"/>
    </xf>
    <xf numFmtId="37" fontId="4" fillId="7" borderId="17" xfId="0" applyFont="1" applyFill="1" applyBorder="1" applyAlignment="1">
      <alignment horizontal="centerContinuous"/>
    </xf>
    <xf numFmtId="37" fontId="4" fillId="7" borderId="18" xfId="0" applyFont="1" applyFill="1" applyBorder="1" applyAlignment="1">
      <alignment horizontal="centerContinuous"/>
    </xf>
    <xf numFmtId="37" fontId="4" fillId="7" borderId="18" xfId="0" applyFont="1" applyFill="1" applyBorder="1" applyAlignment="1">
      <alignment horizontal="centerContinuous" vertical="center"/>
    </xf>
    <xf numFmtId="49" fontId="7" fillId="7" borderId="1" xfId="0" applyNumberFormat="1" applyFont="1" applyFill="1" applyBorder="1" applyAlignment="1">
      <alignment vertical="center"/>
    </xf>
    <xf numFmtId="191" fontId="7" fillId="7" borderId="1" xfId="0" applyNumberFormat="1" applyFont="1" applyFill="1" applyBorder="1" applyAlignment="1">
      <alignment vertical="center"/>
    </xf>
    <xf numFmtId="49" fontId="4" fillId="7" borderId="19" xfId="16" applyNumberFormat="1" applyFont="1" applyFill="1" applyBorder="1" applyAlignment="1">
      <alignment vertical="center"/>
    </xf>
    <xf numFmtId="191" fontId="4" fillId="7" borderId="19" xfId="0" applyNumberFormat="1" applyFont="1" applyFill="1" applyBorder="1" applyAlignment="1">
      <alignment vertical="center"/>
    </xf>
    <xf numFmtId="37" fontId="4" fillId="7" borderId="17" xfId="0" applyFont="1" applyFill="1" applyBorder="1" applyAlignment="1" applyProtection="1">
      <alignment horizontal="centerContinuous" vertical="center"/>
      <protection/>
    </xf>
    <xf numFmtId="37" fontId="4" fillId="7" borderId="13" xfId="0" applyFont="1" applyFill="1" applyBorder="1" applyAlignment="1" applyProtection="1">
      <alignment horizontal="centerContinuous"/>
      <protection/>
    </xf>
    <xf numFmtId="37" fontId="4" fillId="7" borderId="18" xfId="0" applyFont="1" applyFill="1" applyBorder="1" applyAlignment="1" applyProtection="1">
      <alignment horizontal="centerContinuous"/>
      <protection/>
    </xf>
    <xf numFmtId="196" fontId="7" fillId="7" borderId="1" xfId="0" applyNumberFormat="1" applyFont="1" applyFill="1" applyBorder="1" applyAlignment="1">
      <alignment vertical="center"/>
    </xf>
    <xf numFmtId="196" fontId="7" fillId="7" borderId="23" xfId="0" applyNumberFormat="1" applyFont="1" applyFill="1" applyBorder="1" applyAlignment="1">
      <alignment vertical="center"/>
    </xf>
    <xf numFmtId="196" fontId="7" fillId="7" borderId="6" xfId="0" applyNumberFormat="1" applyFont="1" applyFill="1" applyBorder="1" applyAlignment="1">
      <alignment vertical="center"/>
    </xf>
    <xf numFmtId="196" fontId="4" fillId="7" borderId="19" xfId="0" applyNumberFormat="1" applyFont="1" applyFill="1" applyBorder="1" applyAlignment="1">
      <alignment vertical="center"/>
    </xf>
    <xf numFmtId="196" fontId="4" fillId="7" borderId="34" xfId="0" applyNumberFormat="1" applyFont="1" applyFill="1" applyBorder="1" applyAlignment="1">
      <alignment vertical="center"/>
    </xf>
    <xf numFmtId="196" fontId="4" fillId="7" borderId="18" xfId="0" applyNumberFormat="1" applyFont="1" applyFill="1" applyBorder="1" applyAlignment="1">
      <alignment vertical="center"/>
    </xf>
    <xf numFmtId="37" fontId="4" fillId="7" borderId="17" xfId="0" applyFont="1" applyFill="1" applyBorder="1" applyAlignment="1" applyProtection="1">
      <alignment horizontal="centerContinuous"/>
      <protection/>
    </xf>
    <xf numFmtId="37" fontId="4" fillId="7" borderId="20" xfId="0" applyFont="1" applyFill="1" applyBorder="1" applyAlignment="1">
      <alignment horizontal="centerContinuous"/>
    </xf>
    <xf numFmtId="37" fontId="4" fillId="7" borderId="3" xfId="0" applyFont="1" applyFill="1" applyBorder="1" applyAlignment="1">
      <alignment horizontal="centerContinuous"/>
    </xf>
    <xf numFmtId="37" fontId="4" fillId="7" borderId="10" xfId="0" applyFont="1" applyFill="1" applyBorder="1" applyAlignment="1">
      <alignment horizontal="centerContinuous"/>
    </xf>
    <xf numFmtId="37" fontId="4" fillId="7" borderId="9" xfId="0" applyFont="1" applyFill="1" applyBorder="1" applyAlignment="1">
      <alignment horizontal="center"/>
    </xf>
    <xf numFmtId="37" fontId="4" fillId="7" borderId="19" xfId="0" applyFont="1" applyFill="1" applyBorder="1" applyAlignment="1">
      <alignment horizontal="center"/>
    </xf>
    <xf numFmtId="37" fontId="4" fillId="7" borderId="17" xfId="0" applyFont="1" applyFill="1" applyBorder="1" applyAlignment="1">
      <alignment horizontal="centerContinuous" vertical="center"/>
    </xf>
    <xf numFmtId="37" fontId="7" fillId="7" borderId="13" xfId="0" applyFont="1" applyFill="1" applyBorder="1" applyAlignment="1">
      <alignment horizontal="centerContinuous"/>
    </xf>
    <xf numFmtId="37" fontId="7" fillId="7" borderId="18" xfId="0" applyFont="1" applyFill="1" applyBorder="1" applyAlignment="1">
      <alignment horizontal="centerContinuous"/>
    </xf>
    <xf numFmtId="37" fontId="4" fillId="7" borderId="4" xfId="0" applyFont="1" applyFill="1" applyBorder="1" applyAlignment="1">
      <alignment horizontal="centerContinuous"/>
    </xf>
    <xf numFmtId="37" fontId="4" fillId="7" borderId="5" xfId="0" applyFont="1" applyFill="1" applyBorder="1" applyAlignment="1">
      <alignment horizontal="center"/>
    </xf>
    <xf numFmtId="37" fontId="4" fillId="7" borderId="2" xfId="0" applyFont="1" applyFill="1" applyBorder="1" applyAlignment="1">
      <alignment horizontal="center"/>
    </xf>
    <xf numFmtId="37" fontId="7" fillId="7" borderId="5" xfId="0" applyFont="1" applyFill="1" applyBorder="1" applyAlignment="1">
      <alignment horizontal="centerContinuous"/>
    </xf>
    <xf numFmtId="37" fontId="4" fillId="7" borderId="9" xfId="0" applyFont="1" applyFill="1" applyBorder="1" applyAlignment="1">
      <alignment horizontal="centerContinuous"/>
    </xf>
    <xf numFmtId="37" fontId="7" fillId="7" borderId="3" xfId="0" applyFont="1" applyFill="1" applyBorder="1" applyAlignment="1">
      <alignment horizontal="centerContinuous"/>
    </xf>
    <xf numFmtId="37" fontId="4" fillId="7" borderId="14" xfId="0" applyFont="1" applyFill="1" applyBorder="1" applyAlignment="1">
      <alignment horizontal="centerContinuous"/>
    </xf>
    <xf numFmtId="37" fontId="4" fillId="7" borderId="5" xfId="0" applyFont="1" applyFill="1" applyBorder="1" applyAlignment="1">
      <alignment horizontal="centerContinuous"/>
    </xf>
    <xf numFmtId="37" fontId="4" fillId="7" borderId="2" xfId="0" applyFont="1" applyFill="1" applyBorder="1" applyAlignment="1">
      <alignment/>
    </xf>
    <xf numFmtId="37" fontId="4" fillId="7" borderId="2" xfId="0" applyFont="1" applyFill="1" applyBorder="1" applyAlignment="1">
      <alignment horizontal="centerContinuous"/>
    </xf>
    <xf numFmtId="37" fontId="4" fillId="8" borderId="24" xfId="0" applyFont="1" applyFill="1" applyBorder="1" applyAlignment="1">
      <alignment/>
    </xf>
    <xf numFmtId="37" fontId="4" fillId="9" borderId="24" xfId="0" applyFont="1" applyFill="1" applyBorder="1" applyAlignment="1">
      <alignment/>
    </xf>
    <xf numFmtId="37" fontId="4" fillId="8" borderId="35" xfId="0" applyFont="1" applyFill="1" applyBorder="1" applyAlignment="1">
      <alignment/>
    </xf>
    <xf numFmtId="37" fontId="7" fillId="7" borderId="2" xfId="0" applyFont="1" applyFill="1" applyBorder="1" applyAlignment="1">
      <alignment horizontal="centerContinuous"/>
    </xf>
    <xf numFmtId="37" fontId="7" fillId="7" borderId="10" xfId="0" applyFont="1" applyFill="1" applyBorder="1" applyAlignment="1">
      <alignment horizontal="centerContinuous"/>
    </xf>
    <xf numFmtId="37" fontId="7" fillId="7" borderId="14" xfId="0" applyFont="1" applyFill="1" applyBorder="1" applyAlignment="1">
      <alignment/>
    </xf>
    <xf numFmtId="37" fontId="4" fillId="7" borderId="14" xfId="0" applyFont="1" applyFill="1" applyBorder="1" applyAlignment="1">
      <alignment horizontal="left"/>
    </xf>
    <xf numFmtId="37" fontId="4" fillId="7" borderId="2" xfId="0" applyFont="1" applyFill="1" applyBorder="1" applyAlignment="1">
      <alignment horizontal="left"/>
    </xf>
    <xf numFmtId="37" fontId="4" fillId="7" borderId="5" xfId="0" applyFont="1" applyFill="1" applyBorder="1" applyAlignment="1">
      <alignment horizontal="left"/>
    </xf>
    <xf numFmtId="37" fontId="4" fillId="7" borderId="36" xfId="0" applyFont="1" applyFill="1" applyBorder="1" applyAlignment="1">
      <alignment horizontal="centerContinuous"/>
    </xf>
    <xf numFmtId="37" fontId="4" fillId="7" borderId="12" xfId="0" applyFont="1" applyFill="1" applyBorder="1" applyAlignment="1">
      <alignment horizontal="centerContinuous"/>
    </xf>
    <xf numFmtId="37" fontId="4" fillId="7" borderId="37" xfId="0" applyFont="1" applyFill="1" applyBorder="1" applyAlignment="1">
      <alignment horizontal="centerContinuous"/>
    </xf>
    <xf numFmtId="37" fontId="4" fillId="7" borderId="36" xfId="0" applyFont="1" applyFill="1" applyBorder="1" applyAlignment="1">
      <alignment horizontal="left"/>
    </xf>
    <xf numFmtId="37" fontId="4" fillId="7" borderId="12" xfId="0" applyFont="1" applyFill="1" applyBorder="1" applyAlignment="1">
      <alignment horizontal="left"/>
    </xf>
    <xf numFmtId="37" fontId="4" fillId="7" borderId="37" xfId="0" applyFont="1" applyFill="1" applyBorder="1" applyAlignment="1">
      <alignment horizontal="left"/>
    </xf>
    <xf numFmtId="37" fontId="4" fillId="7" borderId="38" xfId="0" applyFont="1" applyFill="1" applyBorder="1" applyAlignment="1">
      <alignment horizontal="centerContinuous"/>
    </xf>
    <xf numFmtId="37" fontId="4" fillId="7" borderId="11" xfId="0" applyFont="1" applyFill="1" applyBorder="1" applyAlignment="1">
      <alignment horizontal="centerContinuous"/>
    </xf>
    <xf numFmtId="37" fontId="4" fillId="7" borderId="39" xfId="0" applyFont="1" applyFill="1" applyBorder="1" applyAlignment="1">
      <alignment horizontal="centerContinuous"/>
    </xf>
    <xf numFmtId="37" fontId="4" fillId="7" borderId="40" xfId="0" applyFont="1" applyFill="1" applyBorder="1" applyAlignment="1" applyProtection="1">
      <alignment horizontal="centerContinuous"/>
      <protection/>
    </xf>
    <xf numFmtId="37" fontId="7" fillId="7" borderId="0" xfId="0" applyFont="1" applyFill="1" applyAlignment="1" applyProtection="1">
      <alignment horizontal="centerContinuous"/>
      <protection/>
    </xf>
    <xf numFmtId="37" fontId="7" fillId="7" borderId="6" xfId="0" applyFont="1" applyFill="1" applyBorder="1" applyAlignment="1" applyProtection="1">
      <alignment horizontal="centerContinuous"/>
      <protection/>
    </xf>
    <xf numFmtId="37" fontId="4" fillId="7" borderId="16" xfId="0" applyFont="1" applyFill="1" applyBorder="1" applyAlignment="1" applyProtection="1">
      <alignment horizontal="centerContinuous"/>
      <protection/>
    </xf>
    <xf numFmtId="37" fontId="4" fillId="7" borderId="20" xfId="0" applyFont="1" applyFill="1" applyBorder="1" applyAlignment="1" applyProtection="1">
      <alignment horizontal="centerContinuous"/>
      <protection/>
    </xf>
    <xf numFmtId="37" fontId="4" fillId="7" borderId="3" xfId="0" applyFont="1" applyFill="1" applyBorder="1" applyAlignment="1" applyProtection="1">
      <alignment horizontal="centerContinuous"/>
      <protection/>
    </xf>
    <xf numFmtId="37" fontId="4" fillId="7" borderId="10" xfId="0" applyFont="1" applyFill="1" applyBorder="1" applyAlignment="1" applyProtection="1">
      <alignment horizontal="centerContinuous"/>
      <protection/>
    </xf>
    <xf numFmtId="49" fontId="7" fillId="10" borderId="1" xfId="0" applyNumberFormat="1" applyFont="1" applyFill="1" applyBorder="1" applyAlignment="1">
      <alignment vertical="center"/>
    </xf>
    <xf numFmtId="191" fontId="7" fillId="10" borderId="16" xfId="0" applyNumberFormat="1" applyFont="1" applyFill="1" applyBorder="1" applyAlignment="1">
      <alignment vertical="center"/>
    </xf>
    <xf numFmtId="197" fontId="7" fillId="10" borderId="30" xfId="0" applyNumberFormat="1" applyFont="1" applyFill="1" applyBorder="1" applyAlignment="1">
      <alignment vertical="center"/>
    </xf>
    <xf numFmtId="191" fontId="4" fillId="7" borderId="17" xfId="0" applyNumberFormat="1" applyFont="1" applyFill="1" applyBorder="1" applyAlignment="1">
      <alignment vertical="center"/>
    </xf>
    <xf numFmtId="197" fontId="4" fillId="7" borderId="41" xfId="0" applyNumberFormat="1" applyFont="1" applyFill="1" applyBorder="1" applyAlignment="1">
      <alignment vertical="center"/>
    </xf>
    <xf numFmtId="37" fontId="4" fillId="7" borderId="14" xfId="0" applyFont="1" applyFill="1" applyBorder="1" applyAlignment="1">
      <alignment/>
    </xf>
    <xf numFmtId="37" fontId="4" fillId="7" borderId="5" xfId="0" applyFont="1" applyFill="1" applyBorder="1" applyAlignment="1">
      <alignment/>
    </xf>
    <xf numFmtId="37" fontId="4" fillId="7" borderId="16" xfId="0" applyFont="1" applyFill="1" applyBorder="1" applyAlignment="1">
      <alignment horizontal="centerContinuous"/>
    </xf>
    <xf numFmtId="37" fontId="4" fillId="7" borderId="6" xfId="0" applyFont="1" applyFill="1" applyBorder="1" applyAlignment="1">
      <alignment horizontal="centerContinuous"/>
    </xf>
    <xf numFmtId="177" fontId="7" fillId="3" borderId="25" xfId="0" applyNumberFormat="1" applyFont="1" applyFill="1" applyBorder="1" applyAlignment="1" applyProtection="1">
      <alignment/>
      <protection/>
    </xf>
    <xf numFmtId="177" fontId="7" fillId="0" borderId="25" xfId="0" applyNumberFormat="1" applyFont="1" applyBorder="1" applyAlignment="1" applyProtection="1">
      <alignment/>
      <protection/>
    </xf>
    <xf numFmtId="177" fontId="4" fillId="0" borderId="7" xfId="23" applyNumberFormat="1" applyFont="1" applyFill="1" applyBorder="1" applyAlignment="1">
      <alignment/>
    </xf>
    <xf numFmtId="191" fontId="4" fillId="0" borderId="24" xfId="0" applyNumberFormat="1" applyFont="1" applyBorder="1" applyAlignment="1" applyProtection="1">
      <alignment/>
      <protection/>
    </xf>
    <xf numFmtId="177" fontId="4" fillId="0" borderId="24" xfId="0" applyNumberFormat="1" applyFont="1" applyBorder="1" applyAlignment="1" applyProtection="1">
      <alignment/>
      <protection/>
    </xf>
    <xf numFmtId="191" fontId="4" fillId="9" borderId="24" xfId="0" applyNumberFormat="1" applyFont="1" applyFill="1" applyBorder="1" applyAlignment="1" applyProtection="1">
      <alignment/>
      <protection/>
    </xf>
    <xf numFmtId="177" fontId="4" fillId="9" borderId="24" xfId="0" applyNumberFormat="1" applyFont="1" applyFill="1" applyBorder="1" applyAlignment="1" applyProtection="1">
      <alignment/>
      <protection/>
    </xf>
    <xf numFmtId="37" fontId="4" fillId="7" borderId="4" xfId="0" applyNumberFormat="1" applyFont="1" applyFill="1" applyBorder="1" applyAlignment="1" applyProtection="1">
      <alignment horizontal="centerContinuous"/>
      <protection/>
    </xf>
    <xf numFmtId="37" fontId="4" fillId="7" borderId="4" xfId="0" applyNumberFormat="1" applyFont="1" applyFill="1" applyBorder="1" applyAlignment="1" applyProtection="1">
      <alignment horizontal="center"/>
      <protection/>
    </xf>
    <xf numFmtId="37" fontId="4" fillId="7" borderId="4" xfId="0" applyFont="1" applyFill="1" applyBorder="1" applyAlignment="1">
      <alignment/>
    </xf>
    <xf numFmtId="37" fontId="4" fillId="7" borderId="1" xfId="0" applyNumberFormat="1" applyFont="1" applyFill="1" applyBorder="1" applyAlignment="1" applyProtection="1">
      <alignment horizontal="centerContinuous"/>
      <protection/>
    </xf>
    <xf numFmtId="37" fontId="4" fillId="7" borderId="1" xfId="0" applyNumberFormat="1" applyFont="1" applyFill="1" applyBorder="1" applyAlignment="1" applyProtection="1">
      <alignment/>
      <protection/>
    </xf>
    <xf numFmtId="37" fontId="4" fillId="7" borderId="1" xfId="0" applyFont="1" applyFill="1" applyBorder="1" applyAlignment="1">
      <alignment/>
    </xf>
    <xf numFmtId="37" fontId="4" fillId="7" borderId="1" xfId="0" applyFont="1" applyFill="1" applyBorder="1" applyAlignment="1">
      <alignment horizontal="centerContinuous"/>
    </xf>
    <xf numFmtId="37" fontId="4" fillId="7" borderId="9" xfId="0" applyNumberFormat="1" applyFont="1" applyFill="1" applyBorder="1" applyAlignment="1" applyProtection="1">
      <alignment horizontal="centerContinuous"/>
      <protection/>
    </xf>
    <xf numFmtId="191" fontId="7" fillId="7" borderId="1" xfId="0" applyNumberFormat="1" applyFont="1" applyFill="1" applyBorder="1" applyAlignment="1">
      <alignment/>
    </xf>
    <xf numFmtId="196" fontId="7" fillId="7" borderId="1" xfId="0" applyNumberFormat="1" applyFont="1" applyFill="1" applyBorder="1" applyAlignment="1">
      <alignment/>
    </xf>
    <xf numFmtId="49" fontId="7" fillId="7" borderId="1" xfId="0" applyNumberFormat="1" applyFont="1" applyFill="1" applyBorder="1" applyAlignment="1">
      <alignment/>
    </xf>
    <xf numFmtId="49" fontId="4" fillId="7" borderId="19" xfId="0" applyNumberFormat="1" applyFont="1" applyFill="1" applyBorder="1" applyAlignment="1">
      <alignment/>
    </xf>
    <xf numFmtId="191" fontId="4" fillId="7" borderId="19" xfId="0" applyNumberFormat="1" applyFont="1" applyFill="1" applyBorder="1" applyAlignment="1">
      <alignment/>
    </xf>
    <xf numFmtId="196" fontId="4" fillId="7" borderId="19" xfId="0" applyNumberFormat="1" applyFont="1" applyFill="1" applyBorder="1" applyAlignment="1" applyProtection="1">
      <alignment/>
      <protection/>
    </xf>
    <xf numFmtId="37" fontId="4" fillId="7" borderId="4" xfId="0" applyFont="1" applyFill="1" applyBorder="1" applyAlignment="1">
      <alignment horizontal="center"/>
    </xf>
    <xf numFmtId="37" fontId="4" fillId="7" borderId="1" xfId="0" applyFont="1" applyFill="1" applyBorder="1" applyAlignment="1">
      <alignment horizontal="center"/>
    </xf>
    <xf numFmtId="37" fontId="4" fillId="10" borderId="10" xfId="0" applyFont="1" applyFill="1" applyBorder="1" applyAlignment="1">
      <alignment horizontal="centerContinuous"/>
    </xf>
    <xf numFmtId="37" fontId="4" fillId="7" borderId="14" xfId="0" applyFont="1" applyFill="1" applyBorder="1" applyAlignment="1">
      <alignment/>
    </xf>
    <xf numFmtId="198" fontId="7" fillId="7" borderId="1" xfId="0" applyNumberFormat="1" applyFont="1" applyFill="1" applyBorder="1" applyAlignment="1">
      <alignment vertical="center"/>
    </xf>
    <xf numFmtId="198" fontId="7" fillId="0" borderId="1" xfId="0" applyNumberFormat="1" applyFont="1" applyBorder="1" applyAlignment="1">
      <alignment vertical="center"/>
    </xf>
    <xf numFmtId="198" fontId="7" fillId="7" borderId="1" xfId="0" applyNumberFormat="1" applyFont="1" applyFill="1" applyBorder="1" applyAlignment="1">
      <alignment horizontal="right" vertical="center"/>
    </xf>
    <xf numFmtId="198" fontId="0" fillId="0" borderId="0" xfId="0" applyNumberFormat="1" applyAlignment="1">
      <alignment/>
    </xf>
    <xf numFmtId="198" fontId="4" fillId="7" borderId="19" xfId="0" applyNumberFormat="1" applyFont="1" applyFill="1" applyBorder="1" applyAlignment="1">
      <alignment vertical="center"/>
    </xf>
    <xf numFmtId="191" fontId="7" fillId="7" borderId="1" xfId="0" applyNumberFormat="1" applyFont="1" applyFill="1" applyBorder="1" applyAlignment="1">
      <alignment horizontal="right" vertical="center"/>
    </xf>
    <xf numFmtId="191" fontId="0" fillId="0" borderId="0" xfId="0" applyNumberFormat="1" applyAlignment="1">
      <alignment/>
    </xf>
    <xf numFmtId="37" fontId="7" fillId="10" borderId="14" xfId="0" applyFont="1" applyFill="1" applyBorder="1" applyAlignment="1">
      <alignment/>
    </xf>
    <xf numFmtId="37" fontId="7" fillId="10" borderId="2" xfId="0" applyFont="1" applyFill="1" applyBorder="1" applyAlignment="1">
      <alignment/>
    </xf>
    <xf numFmtId="37" fontId="7" fillId="10" borderId="2" xfId="0" applyFont="1" applyFill="1" applyBorder="1" applyAlignment="1">
      <alignment horizontal="centerContinuous"/>
    </xf>
    <xf numFmtId="37" fontId="7" fillId="10" borderId="5" xfId="0" applyFont="1" applyFill="1" applyBorder="1" applyAlignment="1">
      <alignment horizontal="centerContinuous"/>
    </xf>
    <xf numFmtId="37" fontId="4" fillId="10" borderId="2" xfId="0" applyFont="1" applyFill="1" applyBorder="1" applyAlignment="1">
      <alignment horizontal="centerContinuous"/>
    </xf>
    <xf numFmtId="37" fontId="4" fillId="10" borderId="5" xfId="0" applyFont="1" applyFill="1" applyBorder="1" applyAlignment="1">
      <alignment horizontal="centerContinuous"/>
    </xf>
    <xf numFmtId="37" fontId="4" fillId="10" borderId="20" xfId="0" applyFont="1" applyFill="1" applyBorder="1" applyAlignment="1">
      <alignment horizontal="centerContinuous"/>
    </xf>
    <xf numFmtId="37" fontId="4" fillId="10" borderId="3" xfId="0" applyFont="1" applyFill="1" applyBorder="1" applyAlignment="1">
      <alignment horizontal="centerContinuous"/>
    </xf>
    <xf numFmtId="37" fontId="7" fillId="7" borderId="0" xfId="0" applyFont="1" applyFill="1" applyAlignment="1">
      <alignment horizontal="centerContinuous"/>
    </xf>
    <xf numFmtId="37" fontId="4" fillId="7" borderId="0" xfId="0" applyFont="1" applyFill="1" applyAlignment="1">
      <alignment/>
    </xf>
    <xf numFmtId="37" fontId="4" fillId="7" borderId="1" xfId="0" applyFont="1" applyFill="1" applyBorder="1" applyAlignment="1">
      <alignment/>
    </xf>
    <xf numFmtId="37" fontId="4" fillId="7" borderId="0" xfId="0" applyFont="1" applyFill="1" applyBorder="1" applyAlignment="1">
      <alignment horizontal="centerContinuous"/>
    </xf>
    <xf numFmtId="37" fontId="4" fillId="7" borderId="14" xfId="0" applyFont="1" applyFill="1" applyBorder="1" applyAlignment="1">
      <alignment horizontal="centerContinuous" vertical="center"/>
    </xf>
    <xf numFmtId="37" fontId="4" fillId="7" borderId="16" xfId="0" applyFont="1" applyFill="1" applyBorder="1" applyAlignment="1">
      <alignment horizontal="centerContinuous" vertical="center"/>
    </xf>
    <xf numFmtId="37" fontId="7" fillId="7" borderId="6" xfId="0" applyFont="1" applyFill="1" applyBorder="1" applyAlignment="1">
      <alignment horizontal="centerContinuous"/>
    </xf>
    <xf numFmtId="37" fontId="4" fillId="7" borderId="2" xfId="0" applyFont="1" applyFill="1" applyBorder="1" applyAlignment="1">
      <alignment horizontal="centerContinuous" vertical="center"/>
    </xf>
    <xf numFmtId="37" fontId="4" fillId="7" borderId="0" xfId="0" applyFont="1" applyFill="1" applyBorder="1" applyAlignment="1">
      <alignment horizontal="centerContinuous" vertical="center"/>
    </xf>
    <xf numFmtId="37" fontId="4" fillId="7" borderId="42" xfId="23" applyNumberFormat="1" applyFont="1" applyFill="1" applyBorder="1" applyAlignment="1">
      <alignment horizontal="centerContinuous" vertical="center"/>
    </xf>
    <xf numFmtId="37" fontId="7" fillId="7" borderId="26" xfId="23" applyNumberFormat="1" applyFont="1" applyFill="1" applyBorder="1" applyAlignment="1">
      <alignment horizontal="centerContinuous"/>
    </xf>
    <xf numFmtId="37" fontId="7" fillId="7" borderId="29" xfId="23" applyNumberFormat="1" applyFont="1" applyFill="1" applyBorder="1" applyAlignment="1">
      <alignment horizontal="centerContinuous"/>
    </xf>
    <xf numFmtId="37" fontId="4" fillId="8" borderId="24" xfId="0" applyFont="1" applyFill="1" applyBorder="1" applyAlignment="1">
      <alignment horizontal="centerContinuous" vertical="center"/>
    </xf>
    <xf numFmtId="37" fontId="7" fillId="8" borderId="26" xfId="0" applyFont="1" applyFill="1" applyBorder="1" applyAlignment="1">
      <alignment horizontal="centerContinuous"/>
    </xf>
    <xf numFmtId="37" fontId="7" fillId="8" borderId="29" xfId="0" applyFont="1" applyFill="1" applyBorder="1" applyAlignment="1">
      <alignment horizontal="centerContinuous"/>
    </xf>
    <xf numFmtId="196" fontId="7" fillId="0" borderId="1" xfId="0" applyNumberFormat="1" applyFont="1" applyBorder="1" applyAlignment="1">
      <alignment horizontal="right" vertical="center"/>
    </xf>
    <xf numFmtId="37" fontId="4" fillId="8" borderId="14" xfId="0" applyFont="1" applyFill="1" applyBorder="1" applyAlignment="1">
      <alignment horizontal="centerContinuous"/>
    </xf>
    <xf numFmtId="37" fontId="4" fillId="8" borderId="5" xfId="0" applyFont="1" applyFill="1" applyBorder="1" applyAlignment="1">
      <alignment horizontal="centerContinuous"/>
    </xf>
    <xf numFmtId="37" fontId="4" fillId="8" borderId="14" xfId="0" applyFont="1" applyFill="1" applyBorder="1" applyAlignment="1">
      <alignment/>
    </xf>
    <xf numFmtId="37" fontId="4" fillId="8" borderId="5" xfId="0" applyFont="1" applyFill="1" applyBorder="1" applyAlignment="1">
      <alignment/>
    </xf>
    <xf numFmtId="37" fontId="4" fillId="8" borderId="16" xfId="0" applyFont="1" applyFill="1" applyBorder="1" applyAlignment="1">
      <alignment horizontal="centerContinuous"/>
    </xf>
    <xf numFmtId="37" fontId="4" fillId="8" borderId="6" xfId="0" applyFont="1" applyFill="1" applyBorder="1" applyAlignment="1">
      <alignment horizontal="centerContinuous"/>
    </xf>
    <xf numFmtId="37" fontId="4" fillId="8" borderId="20" xfId="0" applyFont="1" applyFill="1" applyBorder="1" applyAlignment="1">
      <alignment horizontal="centerContinuous"/>
    </xf>
    <xf numFmtId="37" fontId="4" fillId="8" borderId="10" xfId="0" applyFont="1" applyFill="1" applyBorder="1" applyAlignment="1">
      <alignment horizontal="centerContinuous"/>
    </xf>
    <xf numFmtId="196" fontId="0" fillId="0" borderId="0" xfId="0" applyNumberFormat="1" applyAlignment="1">
      <alignment/>
    </xf>
    <xf numFmtId="196" fontId="4" fillId="7" borderId="19" xfId="0" applyNumberFormat="1" applyFont="1" applyFill="1" applyBorder="1" applyAlignment="1">
      <alignment/>
    </xf>
    <xf numFmtId="37" fontId="4" fillId="8" borderId="14" xfId="0" applyFont="1" applyFill="1" applyBorder="1" applyAlignment="1">
      <alignment horizontal="left"/>
    </xf>
    <xf numFmtId="37" fontId="4" fillId="8" borderId="5" xfId="0" applyFont="1" applyFill="1" applyBorder="1" applyAlignment="1">
      <alignment horizontal="left"/>
    </xf>
    <xf numFmtId="37" fontId="7" fillId="7" borderId="13" xfId="0" applyFont="1" applyFill="1" applyBorder="1" applyAlignment="1">
      <alignment horizontal="centerContinuous" vertical="center"/>
    </xf>
    <xf numFmtId="37" fontId="7" fillId="7" borderId="18" xfId="0" applyFont="1" applyFill="1" applyBorder="1" applyAlignment="1">
      <alignment horizontal="centerContinuous" vertical="center"/>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5" xfId="0" applyFont="1" applyFill="1" applyBorder="1" applyAlignment="1">
      <alignment horizontal="centerContinuous"/>
    </xf>
    <xf numFmtId="37" fontId="4" fillId="0" borderId="25" xfId="0" applyFont="1" applyFill="1" applyBorder="1" applyAlignment="1">
      <alignment/>
    </xf>
    <xf numFmtId="37" fontId="4" fillId="0" borderId="25" xfId="0" applyFont="1" applyFill="1" applyBorder="1" applyAlignment="1">
      <alignment horizontal="center"/>
    </xf>
    <xf numFmtId="37" fontId="4" fillId="0" borderId="8" xfId="0" applyFont="1" applyFill="1" applyBorder="1" applyAlignment="1">
      <alignment horizontal="centerContinuous"/>
    </xf>
    <xf numFmtId="37" fontId="4" fillId="7" borderId="13" xfId="0" applyFont="1" applyFill="1" applyBorder="1" applyAlignment="1">
      <alignment horizontal="centerContinuous" vertical="center"/>
    </xf>
    <xf numFmtId="37" fontId="7" fillId="3" borderId="13" xfId="0" applyFont="1" applyFill="1" applyBorder="1" applyAlignment="1" quotePrefix="1">
      <alignment horizontal="right" vertical="center"/>
    </xf>
    <xf numFmtId="37" fontId="7" fillId="3" borderId="13" xfId="0" applyFont="1" applyFill="1" applyBorder="1" applyAlignment="1">
      <alignment horizontal="right" vertical="center"/>
    </xf>
    <xf numFmtId="0" fontId="4" fillId="7" borderId="14" xfId="0" applyNumberFormat="1" applyFont="1" applyFill="1" applyBorder="1" applyAlignment="1">
      <alignment/>
    </xf>
    <xf numFmtId="0" fontId="4" fillId="7" borderId="2" xfId="0" applyNumberFormat="1" applyFont="1" applyFill="1" applyBorder="1" applyAlignment="1">
      <alignment/>
    </xf>
    <xf numFmtId="0" fontId="4" fillId="7" borderId="5" xfId="0" applyNumberFormat="1" applyFont="1" applyFill="1" applyBorder="1" applyAlignment="1">
      <alignment/>
    </xf>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protection/>
    </xf>
    <xf numFmtId="37" fontId="7" fillId="0" borderId="25" xfId="0" applyNumberFormat="1" applyFont="1" applyBorder="1" applyAlignment="1" applyProtection="1" quotePrefix="1">
      <alignment horizontal="left"/>
      <protection/>
    </xf>
    <xf numFmtId="37" fontId="4" fillId="3" borderId="17" xfId="0" applyFont="1" applyFill="1" applyBorder="1" applyAlignment="1" quotePrefix="1">
      <alignment horizontal="left"/>
    </xf>
    <xf numFmtId="49" fontId="4" fillId="5" borderId="19" xfId="0" applyNumberFormat="1" applyFont="1" applyFill="1" applyBorder="1" applyAlignment="1" quotePrefix="1">
      <alignment horizontal="center"/>
    </xf>
    <xf numFmtId="37" fontId="4" fillId="3" borderId="5" xfId="0" applyFont="1" applyFill="1" applyBorder="1" applyAlignment="1" quotePrefix="1">
      <alignment horizontal="center"/>
    </xf>
    <xf numFmtId="49" fontId="4" fillId="0" borderId="24" xfId="0" applyNumberFormat="1" applyFont="1" applyBorder="1" applyAlignment="1" quotePrefix="1">
      <alignment horizontal="center" vertical="center"/>
    </xf>
    <xf numFmtId="37" fontId="4" fillId="0" borderId="6" xfId="0" applyFont="1" applyBorder="1" applyAlignment="1" quotePrefix="1">
      <alignment horizontal="center"/>
    </xf>
    <xf numFmtId="37" fontId="4" fillId="0" borderId="10" xfId="0" applyFont="1" applyBorder="1" applyAlignment="1" quotePrefix="1">
      <alignment horizontal="center"/>
    </xf>
    <xf numFmtId="0" fontId="8" fillId="0" borderId="0" xfId="16" applyNumberFormat="1" applyFont="1" applyAlignment="1" quotePrefix="1">
      <alignment horizontal="left"/>
    </xf>
    <xf numFmtId="37" fontId="8" fillId="0" borderId="0" xfId="0" applyFont="1" applyAlignment="1" quotePrefix="1">
      <alignment horizontal="left"/>
    </xf>
    <xf numFmtId="37" fontId="4" fillId="11" borderId="14" xfId="0" applyFont="1" applyFill="1" applyBorder="1" applyAlignment="1">
      <alignment horizontal="centerContinuous"/>
    </xf>
    <xf numFmtId="37" fontId="4" fillId="11" borderId="2" xfId="0" applyFont="1" applyFill="1" applyBorder="1" applyAlignment="1">
      <alignment horizontal="centerContinuous"/>
    </xf>
    <xf numFmtId="37" fontId="4" fillId="11" borderId="5" xfId="0" applyFont="1" applyFill="1" applyBorder="1" applyAlignment="1">
      <alignment horizontal="centerContinuous"/>
    </xf>
    <xf numFmtId="37" fontId="4" fillId="11" borderId="20" xfId="0" applyFont="1" applyFill="1" applyBorder="1" applyAlignment="1">
      <alignment horizontal="centerContinuous"/>
    </xf>
    <xf numFmtId="37" fontId="4" fillId="11" borderId="3" xfId="0" applyFont="1" applyFill="1" applyBorder="1" applyAlignment="1">
      <alignment horizontal="centerContinuous"/>
    </xf>
    <xf numFmtId="37" fontId="4" fillId="11" borderId="10" xfId="0" applyFont="1" applyFill="1" applyBorder="1" applyAlignment="1">
      <alignment horizontal="centerContinuous"/>
    </xf>
    <xf numFmtId="37" fontId="7" fillId="3" borderId="2" xfId="0" applyFont="1" applyFill="1" applyBorder="1" applyAlignment="1" quotePrefix="1">
      <alignment horizontal="right" vertical="center"/>
    </xf>
    <xf numFmtId="37" fontId="4" fillId="11" borderId="4" xfId="0" applyNumberFormat="1" applyFont="1" applyFill="1" applyBorder="1" applyAlignment="1" applyProtection="1">
      <alignment horizontal="center"/>
      <protection/>
    </xf>
    <xf numFmtId="37" fontId="4" fillId="11" borderId="1" xfId="0" applyNumberFormat="1" applyFont="1" applyFill="1" applyBorder="1" applyAlignment="1" applyProtection="1">
      <alignment horizontal="center"/>
      <protection/>
    </xf>
    <xf numFmtId="37" fontId="4" fillId="11" borderId="9" xfId="0" applyNumberFormat="1" applyFont="1" applyFill="1" applyBorder="1" applyAlignment="1" applyProtection="1">
      <alignment horizontal="centerContinuous"/>
      <protection/>
    </xf>
    <xf numFmtId="49" fontId="4" fillId="11" borderId="19" xfId="16" applyNumberFormat="1" applyFont="1" applyFill="1" applyBorder="1" applyAlignment="1">
      <alignment vertical="center"/>
    </xf>
    <xf numFmtId="191" fontId="4" fillId="11" borderId="19" xfId="0" applyNumberFormat="1" applyFont="1" applyFill="1" applyBorder="1" applyAlignment="1">
      <alignment vertical="center"/>
    </xf>
    <xf numFmtId="0" fontId="4" fillId="0" borderId="3" xfId="0" applyNumberFormat="1" applyFont="1" applyBorder="1" applyAlignment="1">
      <alignment vertical="center"/>
    </xf>
    <xf numFmtId="172" fontId="7" fillId="0" borderId="2" xfId="0" applyNumberFormat="1" applyFont="1" applyBorder="1" applyAlignment="1" applyProtection="1">
      <alignment horizontal="left"/>
      <protection/>
    </xf>
    <xf numFmtId="49" fontId="8" fillId="0" borderId="0" xfId="0" applyNumberFormat="1" applyFont="1" applyBorder="1" applyAlignment="1" quotePrefix="1">
      <alignment horizontal="left"/>
    </xf>
    <xf numFmtId="37" fontId="4" fillId="0" borderId="8" xfId="0" applyFont="1" applyBorder="1" applyAlignment="1" quotePrefix="1">
      <alignment horizontal="center"/>
    </xf>
    <xf numFmtId="37" fontId="4" fillId="6" borderId="25" xfId="0" applyFont="1" applyFill="1" applyBorder="1" applyAlignment="1" quotePrefix="1">
      <alignment horizontal="center"/>
    </xf>
    <xf numFmtId="37" fontId="4" fillId="3" borderId="10" xfId="0" applyFont="1" applyFill="1" applyBorder="1" applyAlignment="1" quotePrefix="1">
      <alignment horizontal="center" vertical="top"/>
    </xf>
    <xf numFmtId="37" fontId="4" fillId="3" borderId="6" xfId="0" applyFont="1" applyFill="1" applyBorder="1" applyAlignment="1" quotePrefix="1">
      <alignment horizontal="center"/>
    </xf>
    <xf numFmtId="37" fontId="4" fillId="0" borderId="10" xfId="0" applyFont="1" applyBorder="1" applyAlignment="1" quotePrefix="1">
      <alignment horizontal="right" vertical="center"/>
    </xf>
    <xf numFmtId="37" fontId="4" fillId="0" borderId="36" xfId="0" applyFont="1" applyBorder="1" applyAlignment="1">
      <alignment/>
    </xf>
    <xf numFmtId="37" fontId="4" fillId="0" borderId="38" xfId="0" applyFont="1" applyBorder="1" applyAlignment="1">
      <alignment/>
    </xf>
    <xf numFmtId="37" fontId="4" fillId="3" borderId="14" xfId="0" applyFont="1" applyFill="1" applyBorder="1" applyAlignment="1">
      <alignment horizontal="left"/>
    </xf>
    <xf numFmtId="37" fontId="4" fillId="7" borderId="7" xfId="0" applyFont="1" applyFill="1" applyBorder="1" applyAlignment="1">
      <alignment horizontal="center"/>
    </xf>
    <xf numFmtId="37" fontId="4" fillId="7" borderId="25" xfId="0" applyFont="1" applyFill="1" applyBorder="1" applyAlignment="1">
      <alignment horizontal="center"/>
    </xf>
    <xf numFmtId="37" fontId="4" fillId="7" borderId="8" xfId="0" applyFont="1" applyFill="1" applyBorder="1" applyAlignment="1">
      <alignment horizontal="center"/>
    </xf>
    <xf numFmtId="37" fontId="4" fillId="10" borderId="1" xfId="0" applyFont="1" applyFill="1" applyBorder="1" applyAlignment="1">
      <alignment horizontal="center"/>
    </xf>
    <xf numFmtId="37" fontId="4" fillId="10" borderId="9" xfId="0" applyFont="1" applyFill="1" applyBorder="1" applyAlignment="1" quotePrefix="1">
      <alignment horizontal="center"/>
    </xf>
    <xf numFmtId="37" fontId="4" fillId="3" borderId="42" xfId="0" applyFont="1" applyFill="1" applyBorder="1" applyAlignment="1">
      <alignment horizontal="left"/>
    </xf>
    <xf numFmtId="37" fontId="4" fillId="7" borderId="5" xfId="0" applyFont="1" applyFill="1" applyBorder="1" applyAlignment="1">
      <alignment/>
    </xf>
    <xf numFmtId="37" fontId="4" fillId="7" borderId="6" xfId="0" applyFont="1" applyFill="1" applyBorder="1" applyAlignment="1">
      <alignment/>
    </xf>
    <xf numFmtId="37" fontId="4" fillId="3" borderId="14" xfId="0" applyFont="1" applyFill="1" applyBorder="1" applyAlignment="1" quotePrefix="1">
      <alignment horizontal="left"/>
    </xf>
    <xf numFmtId="49" fontId="8" fillId="0" borderId="0" xfId="0" applyNumberFormat="1" applyFont="1" applyAlignment="1" quotePrefix="1">
      <alignment horizontal="left"/>
    </xf>
    <xf numFmtId="37" fontId="4" fillId="3" borderId="4" xfId="0" applyFont="1" applyFill="1" applyBorder="1" applyAlignment="1" quotePrefix="1">
      <alignment horizontal="center"/>
    </xf>
    <xf numFmtId="37" fontId="4" fillId="7" borderId="14" xfId="0" applyFont="1" applyFill="1" applyBorder="1" applyAlignment="1" applyProtection="1">
      <alignment horizontal="centerContinuous"/>
      <protection/>
    </xf>
    <xf numFmtId="37" fontId="4" fillId="7" borderId="2" xfId="0" applyFont="1" applyFill="1" applyBorder="1" applyAlignment="1" applyProtection="1">
      <alignment horizontal="centerContinuous"/>
      <protection/>
    </xf>
    <xf numFmtId="37" fontId="4" fillId="7" borderId="4" xfId="0" applyFont="1" applyFill="1" applyBorder="1" applyAlignment="1" applyProtection="1">
      <alignment horizontal="center"/>
      <protection/>
    </xf>
    <xf numFmtId="37" fontId="4" fillId="7" borderId="9" xfId="0" applyFont="1" applyFill="1" applyBorder="1" applyAlignment="1" applyProtection="1">
      <alignment horizontal="center"/>
      <protection/>
    </xf>
    <xf numFmtId="49" fontId="7" fillId="0" borderId="0" xfId="0" applyNumberFormat="1" applyFont="1" applyAlignment="1" quotePrefix="1">
      <alignment horizontal="left"/>
    </xf>
    <xf numFmtId="37" fontId="7" fillId="0" borderId="0" xfId="0" applyFont="1" applyAlignment="1" quotePrefix="1">
      <alignment horizontal="right"/>
    </xf>
    <xf numFmtId="37" fontId="7" fillId="0" borderId="0" xfId="0" applyNumberFormat="1" applyFont="1" applyAlignment="1" applyProtection="1">
      <alignment horizontal="right"/>
      <protection/>
    </xf>
    <xf numFmtId="37" fontId="4" fillId="10" borderId="9" xfId="0" applyFont="1" applyFill="1" applyBorder="1" applyAlignment="1">
      <alignment horizontal="center"/>
    </xf>
    <xf numFmtId="37" fontId="4" fillId="10" borderId="6" xfId="0" applyFont="1" applyFill="1" applyBorder="1" applyAlignment="1">
      <alignment horizontal="center"/>
    </xf>
    <xf numFmtId="37" fontId="4" fillId="8" borderId="43" xfId="0" applyFont="1" applyFill="1" applyBorder="1" applyAlignment="1">
      <alignment horizontal="center"/>
    </xf>
    <xf numFmtId="37" fontId="4" fillId="10" borderId="23" xfId="0" applyFont="1" applyFill="1" applyBorder="1" applyAlignment="1">
      <alignment horizontal="center"/>
    </xf>
    <xf numFmtId="37" fontId="4" fillId="10" borderId="44" xfId="0" applyFont="1" applyFill="1" applyBorder="1" applyAlignment="1" quotePrefix="1">
      <alignment horizontal="center"/>
    </xf>
    <xf numFmtId="191" fontId="7" fillId="7" borderId="6" xfId="0" applyNumberFormat="1" applyFont="1" applyFill="1" applyBorder="1" applyAlignment="1">
      <alignment vertical="center"/>
    </xf>
    <xf numFmtId="191" fontId="7" fillId="0" borderId="6" xfId="0" applyNumberFormat="1" applyFont="1" applyBorder="1" applyAlignment="1">
      <alignment vertical="center"/>
    </xf>
    <xf numFmtId="191" fontId="7" fillId="7" borderId="23" xfId="0" applyNumberFormat="1" applyFont="1" applyFill="1" applyBorder="1" applyAlignment="1">
      <alignment vertical="center"/>
    </xf>
    <xf numFmtId="191" fontId="7" fillId="0" borderId="23" xfId="0" applyNumberFormat="1" applyFont="1" applyBorder="1" applyAlignment="1">
      <alignment vertical="center"/>
    </xf>
    <xf numFmtId="191" fontId="4" fillId="7" borderId="18" xfId="0" applyNumberFormat="1" applyFont="1" applyFill="1" applyBorder="1" applyAlignment="1">
      <alignment vertical="center"/>
    </xf>
    <xf numFmtId="191" fontId="4" fillId="7" borderId="34" xfId="0" applyNumberFormat="1" applyFont="1" applyFill="1" applyBorder="1" applyAlignment="1">
      <alignment vertical="center"/>
    </xf>
    <xf numFmtId="37" fontId="4" fillId="7" borderId="7" xfId="0" applyFont="1" applyFill="1" applyBorder="1" applyAlignment="1">
      <alignment vertical="center"/>
    </xf>
    <xf numFmtId="37" fontId="4" fillId="7" borderId="25" xfId="0" applyFont="1" applyFill="1" applyBorder="1" applyAlignment="1">
      <alignment vertical="center"/>
    </xf>
    <xf numFmtId="37" fontId="4" fillId="7" borderId="8" xfId="0" applyFont="1" applyFill="1" applyBorder="1" applyAlignment="1">
      <alignment horizontal="centerContinuous"/>
    </xf>
    <xf numFmtId="37" fontId="4" fillId="7" borderId="7" xfId="0" applyFont="1" applyFill="1" applyBorder="1" applyAlignment="1">
      <alignment horizontal="centerContinuous"/>
    </xf>
    <xf numFmtId="37" fontId="4" fillId="0" borderId="25" xfId="0" applyFont="1" applyFill="1" applyBorder="1" applyAlignment="1">
      <alignment/>
    </xf>
    <xf numFmtId="177" fontId="4" fillId="0" borderId="25" xfId="23" applyNumberFormat="1" applyFont="1" applyFill="1" applyBorder="1" applyAlignment="1">
      <alignment/>
    </xf>
    <xf numFmtId="37" fontId="3" fillId="0" borderId="0" xfId="0" applyFont="1" applyAlignment="1">
      <alignment/>
    </xf>
    <xf numFmtId="49" fontId="13" fillId="0" borderId="0" xfId="0" applyNumberFormat="1" applyFont="1" applyAlignment="1">
      <alignment/>
    </xf>
    <xf numFmtId="49" fontId="8" fillId="0" borderId="0" xfId="0" applyNumberFormat="1" applyFont="1" applyAlignment="1" quotePrefix="1">
      <alignment horizontal="right"/>
    </xf>
    <xf numFmtId="37" fontId="4" fillId="10" borderId="10" xfId="0" applyFont="1" applyFill="1" applyBorder="1" applyAlignment="1" quotePrefix="1">
      <alignment horizontal="center"/>
    </xf>
    <xf numFmtId="37" fontId="4" fillId="0" borderId="28" xfId="0" applyNumberFormat="1" applyFont="1" applyBorder="1" applyAlignment="1" applyProtection="1">
      <alignment/>
      <protection/>
    </xf>
    <xf numFmtId="0" fontId="4" fillId="7" borderId="8" xfId="22" applyFont="1" applyFill="1" applyBorder="1" applyAlignment="1" quotePrefix="1">
      <alignment horizontal="center"/>
      <protection/>
    </xf>
    <xf numFmtId="49" fontId="8" fillId="0" borderId="0" xfId="22" applyNumberFormat="1" applyFont="1" applyAlignment="1" quotePrefix="1">
      <alignment horizontal="left"/>
      <protection/>
    </xf>
    <xf numFmtId="0" fontId="4" fillId="10" borderId="1" xfId="22" applyFont="1" applyFill="1" applyBorder="1" applyAlignment="1">
      <alignment horizontal="center"/>
      <protection/>
    </xf>
    <xf numFmtId="0" fontId="4" fillId="10" borderId="9" xfId="22" applyFont="1" applyFill="1" applyBorder="1" applyAlignment="1" quotePrefix="1">
      <alignment horizontal="center"/>
      <protection/>
    </xf>
    <xf numFmtId="0" fontId="8" fillId="0" borderId="0" xfId="22" applyFont="1" applyAlignment="1" quotePrefix="1">
      <alignment horizontal="left"/>
      <protection/>
    </xf>
    <xf numFmtId="0" fontId="8" fillId="0" borderId="0" xfId="22" applyFont="1" applyBorder="1" applyAlignment="1" quotePrefix="1">
      <alignment horizontal="left"/>
      <protection/>
    </xf>
    <xf numFmtId="0" fontId="4" fillId="10" borderId="9" xfId="22" applyFont="1" applyFill="1" applyBorder="1" applyAlignment="1">
      <alignment horizontal="center"/>
      <protection/>
    </xf>
    <xf numFmtId="37" fontId="4" fillId="8" borderId="4" xfId="0" applyFont="1" applyFill="1" applyBorder="1" applyAlignment="1">
      <alignment horizontal="center"/>
    </xf>
    <xf numFmtId="37" fontId="0" fillId="0" borderId="11" xfId="0" applyBorder="1" applyAlignment="1">
      <alignment/>
    </xf>
    <xf numFmtId="0" fontId="7" fillId="0" borderId="0" xfId="22" applyFont="1" applyAlignment="1" quotePrefix="1">
      <alignment horizontal="left"/>
      <protection/>
    </xf>
    <xf numFmtId="49" fontId="7" fillId="0" borderId="0" xfId="22" applyNumberFormat="1" applyFont="1" applyAlignment="1" quotePrefix="1">
      <alignment horizontal="left"/>
      <protection/>
    </xf>
    <xf numFmtId="37" fontId="7" fillId="3" borderId="26" xfId="0" applyFont="1" applyFill="1" applyBorder="1" applyAlignment="1">
      <alignment horizontal="centerContinuous"/>
    </xf>
    <xf numFmtId="37" fontId="7" fillId="3" borderId="29" xfId="0" applyFont="1" applyFill="1" applyBorder="1" applyAlignment="1">
      <alignment horizontal="centerContinuous"/>
    </xf>
    <xf numFmtId="37" fontId="4" fillId="7" borderId="7"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8" xfId="0" applyFont="1" applyFill="1" applyBorder="1" applyAlignment="1" quotePrefix="1">
      <alignment horizontal="center"/>
    </xf>
    <xf numFmtId="37" fontId="4" fillId="3" borderId="24" xfId="0" applyFont="1" applyFill="1" applyBorder="1" applyAlignment="1">
      <alignment horizontal="centerContinuous"/>
    </xf>
    <xf numFmtId="37" fontId="0" fillId="0" borderId="0" xfId="0" applyBorder="1" applyAlignment="1">
      <alignment/>
    </xf>
    <xf numFmtId="37" fontId="4" fillId="3" borderId="11" xfId="0" applyFont="1" applyFill="1" applyBorder="1" applyAlignment="1">
      <alignment horizontal="left"/>
    </xf>
    <xf numFmtId="37" fontId="7" fillId="3" borderId="11" xfId="0" applyFont="1" applyFill="1" applyBorder="1" applyAlignment="1">
      <alignment/>
    </xf>
    <xf numFmtId="37" fontId="8" fillId="0" borderId="0" xfId="0" applyFont="1" applyAlignment="1" quotePrefix="1">
      <alignment/>
    </xf>
    <xf numFmtId="49" fontId="22" fillId="0" borderId="0" xfId="21" applyNumberFormat="1" applyFont="1" applyAlignment="1">
      <alignment horizontal="left" indent="2"/>
    </xf>
    <xf numFmtId="37" fontId="4" fillId="3" borderId="12" xfId="0" applyFont="1" applyFill="1" applyBorder="1" applyAlignment="1" quotePrefix="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49" fontId="4" fillId="0" borderId="42" xfId="0" applyNumberFormat="1" applyFont="1" applyBorder="1" applyAlignment="1" quotePrefix="1">
      <alignment horizontal="center" vertical="center"/>
    </xf>
    <xf numFmtId="49" fontId="4" fillId="0" borderId="26" xfId="0" applyNumberFormat="1" applyFont="1" applyBorder="1" applyAlignment="1">
      <alignment horizontal="center" vertical="center"/>
    </xf>
    <xf numFmtId="49" fontId="4" fillId="0" borderId="29" xfId="0" applyNumberFormat="1" applyFont="1" applyBorder="1" applyAlignment="1">
      <alignment horizontal="center" vertical="center"/>
    </xf>
    <xf numFmtId="37" fontId="4" fillId="0" borderId="20" xfId="0" applyFont="1" applyBorder="1" applyAlignment="1">
      <alignment horizontal="center"/>
    </xf>
    <xf numFmtId="37" fontId="4" fillId="0" borderId="10" xfId="0" applyFont="1" applyBorder="1" applyAlignment="1">
      <alignment horizontal="center"/>
    </xf>
    <xf numFmtId="49" fontId="17" fillId="0" borderId="16" xfId="0" applyNumberFormat="1" applyFont="1" applyBorder="1" applyAlignment="1">
      <alignment horizontal="right" textRotation="180"/>
    </xf>
    <xf numFmtId="37" fontId="16" fillId="0" borderId="16" xfId="0" applyFont="1" applyBorder="1" applyAlignment="1">
      <alignment horizontal="right" textRotation="180"/>
    </xf>
    <xf numFmtId="49" fontId="17" fillId="0" borderId="15" xfId="0" applyNumberFormat="1" applyFont="1" applyBorder="1" applyAlignment="1">
      <alignment horizontal="right" vertical="top" textRotation="180"/>
    </xf>
    <xf numFmtId="37" fontId="17" fillId="0" borderId="15" xfId="0" applyFont="1" applyBorder="1" applyAlignment="1">
      <alignment horizontal="right" vertical="top" textRotation="180"/>
    </xf>
    <xf numFmtId="49" fontId="17" fillId="0" borderId="15" xfId="0" applyNumberFormat="1" applyFont="1" applyBorder="1" applyAlignment="1">
      <alignment horizontal="right" vertical="center" textRotation="180"/>
    </xf>
    <xf numFmtId="37" fontId="17" fillId="0" borderId="15" xfId="0" applyFont="1" applyBorder="1" applyAlignment="1">
      <alignment horizontal="right" vertical="center" textRotation="180"/>
    </xf>
    <xf numFmtId="37" fontId="4" fillId="7" borderId="14" xfId="0" applyFont="1" applyFill="1" applyBorder="1" applyAlignment="1">
      <alignment horizontal="center"/>
    </xf>
    <xf numFmtId="37" fontId="4" fillId="7" borderId="5" xfId="0" applyFont="1" applyFill="1" applyBorder="1" applyAlignment="1">
      <alignment horizontal="center"/>
    </xf>
    <xf numFmtId="37" fontId="4" fillId="7" borderId="20" xfId="0" applyFont="1" applyFill="1" applyBorder="1" applyAlignment="1">
      <alignment horizontal="center"/>
    </xf>
    <xf numFmtId="37" fontId="4" fillId="7" borderId="10" xfId="0" applyFont="1" applyFill="1" applyBorder="1" applyAlignment="1">
      <alignment horizontal="center"/>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0" borderId="12" xfId="0" applyFont="1" applyBorder="1" applyAlignment="1" quotePrefix="1">
      <alignment horizontal="center" vertical="center"/>
    </xf>
    <xf numFmtId="37" fontId="4" fillId="0" borderId="11" xfId="0" applyFont="1" applyBorder="1" applyAlignment="1" quotePrefix="1">
      <alignment horizontal="center" vertical="center"/>
    </xf>
    <xf numFmtId="37" fontId="4" fillId="8" borderId="12" xfId="0" applyFont="1" applyFill="1" applyBorder="1" applyAlignment="1">
      <alignment horizontal="center"/>
    </xf>
    <xf numFmtId="37" fontId="4" fillId="8" borderId="45" xfId="0" applyFont="1" applyFill="1" applyBorder="1" applyAlignment="1">
      <alignment horizontal="center"/>
    </xf>
    <xf numFmtId="37" fontId="4" fillId="7" borderId="25" xfId="0" applyFont="1" applyFill="1" applyBorder="1" applyAlignment="1" quotePrefix="1">
      <alignment horizontal="center"/>
    </xf>
    <xf numFmtId="37" fontId="4" fillId="7" borderId="8" xfId="0" applyFont="1" applyFill="1" applyBorder="1" applyAlignment="1">
      <alignment horizontal="center"/>
    </xf>
    <xf numFmtId="37" fontId="17" fillId="8" borderId="0" xfId="0" applyFont="1" applyFill="1" applyAlignment="1">
      <alignment/>
    </xf>
    <xf numFmtId="37" fontId="17" fillId="0" borderId="0" xfId="0" applyFont="1" applyAlignment="1">
      <alignment/>
    </xf>
    <xf numFmtId="37" fontId="21" fillId="8" borderId="0" xfId="0" applyFont="1" applyFill="1" applyAlignment="1">
      <alignment horizontal="center"/>
    </xf>
    <xf numFmtId="37" fontId="17" fillId="8" borderId="0" xfId="0" applyFont="1" applyFill="1" applyAlignment="1">
      <alignment/>
    </xf>
    <xf numFmtId="37" fontId="17" fillId="8" borderId="0" xfId="0" applyFont="1" applyFill="1" applyAlignment="1">
      <alignment wrapText="1"/>
    </xf>
  </cellXfs>
  <cellStyles count="10">
    <cellStyle name="Normal" xfId="0"/>
    <cellStyle name="BODY" xfId="15"/>
    <cellStyle name="Comma" xfId="16"/>
    <cellStyle name="Comma [0]" xfId="17"/>
    <cellStyle name="Currency" xfId="18"/>
    <cellStyle name="Currency [0]" xfId="19"/>
    <cellStyle name="Followed Hyperlink" xfId="20"/>
    <cellStyle name="Hyperlink" xfId="21"/>
    <cellStyle name="Normal_06 07 new frame pag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dusfb\Age%20and%20Area\Age%20and%20Area%202006-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005-06_frame_act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40 -"/>
      <sheetName val="- 41 -"/>
      <sheetName val="- 42 -"/>
      <sheetName val="- 43 -"/>
      <sheetName val="- 44 -"/>
      <sheetName val="- 47 -"/>
      <sheetName val="- 48 -"/>
      <sheetName val="- 49 -"/>
      <sheetName val="- 50 -"/>
      <sheetName val="- 52 -"/>
      <sheetName val="- 53 -"/>
      <sheetName val="- 55 -"/>
      <sheetName val="- 56 -"/>
      <sheetName val="- 57 -"/>
      <sheetName val="- 58 -"/>
      <sheetName val="- 59 -"/>
      <sheetName val="- 60 -"/>
      <sheetName val="- 61 -"/>
      <sheetName val="- 62 -"/>
      <sheetName val="- 63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edu.gov.mb.ca/k12/finance/sbr/frame/index.html" TargetMode="Externa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9"/>
  <sheetViews>
    <sheetView showGridLines="0" showRowColHeaders="0" showZeros="0" tabSelected="1" workbookViewId="0" topLeftCell="A1">
      <selection activeCell="B2" sqref="B2"/>
    </sheetView>
  </sheetViews>
  <sheetFormatPr defaultColWidth="9.33203125" defaultRowHeight="12" zeroHeight="1"/>
  <cols>
    <col min="1" max="1" width="9.33203125" style="602" customWidth="1"/>
    <col min="2" max="2" width="112.16015625" style="602" customWidth="1"/>
    <col min="3" max="3" width="60.83203125" style="602" customWidth="1"/>
    <col min="4" max="16384" width="9.33203125" style="602" hidden="1" customWidth="1"/>
  </cols>
  <sheetData>
    <row r="1" spans="1:3" ht="14.25">
      <c r="A1" s="601"/>
      <c r="B1" s="601"/>
      <c r="C1" s="601"/>
    </row>
    <row r="2" spans="1:3" ht="15">
      <c r="A2" s="601"/>
      <c r="B2" s="603" t="s">
        <v>626</v>
      </c>
      <c r="C2" s="601"/>
    </row>
    <row r="3" spans="1:3" ht="14.25">
      <c r="A3" s="601"/>
      <c r="B3" s="601"/>
      <c r="C3" s="601"/>
    </row>
    <row r="4" spans="1:3" ht="14.25">
      <c r="A4" s="601"/>
      <c r="B4" s="604" t="s">
        <v>622</v>
      </c>
      <c r="C4" s="604"/>
    </row>
    <row r="5" spans="1:3" ht="14.25">
      <c r="A5" s="601"/>
      <c r="B5" s="601"/>
      <c r="C5" s="601"/>
    </row>
    <row r="6" spans="1:3" ht="14.25">
      <c r="A6" s="601"/>
      <c r="B6" s="605" t="s">
        <v>623</v>
      </c>
      <c r="C6" s="601"/>
    </row>
    <row r="7" spans="1:3" ht="14.25">
      <c r="A7" s="601"/>
      <c r="B7" s="605"/>
      <c r="C7" s="601"/>
    </row>
    <row r="8" spans="1:3" ht="14.25">
      <c r="A8" s="601"/>
      <c r="B8" s="601"/>
      <c r="C8" s="601"/>
    </row>
    <row r="9" spans="1:3" ht="14.25">
      <c r="A9" s="601"/>
      <c r="B9" s="605" t="s">
        <v>624</v>
      </c>
      <c r="C9" s="601"/>
    </row>
    <row r="10" spans="1:3" ht="14.25">
      <c r="A10" s="601"/>
      <c r="B10" s="605"/>
      <c r="C10" s="601"/>
    </row>
    <row r="11" spans="1:3" ht="14.25">
      <c r="A11" s="601"/>
      <c r="B11" s="605"/>
      <c r="C11" s="601"/>
    </row>
    <row r="12" spans="1:3" ht="14.25">
      <c r="A12" s="601"/>
      <c r="B12" s="601"/>
      <c r="C12" s="601"/>
    </row>
    <row r="13" spans="1:3" ht="14.25">
      <c r="A13" s="601"/>
      <c r="B13" s="605" t="s">
        <v>625</v>
      </c>
      <c r="C13" s="601"/>
    </row>
    <row r="14" spans="1:3" ht="14.25">
      <c r="A14" s="601"/>
      <c r="B14" s="605"/>
      <c r="C14" s="601"/>
    </row>
    <row r="15" spans="1:3" ht="14.25">
      <c r="A15" s="601"/>
      <c r="B15" s="601"/>
      <c r="C15" s="601"/>
    </row>
    <row r="16" spans="1:3" ht="14.25">
      <c r="A16" s="601"/>
      <c r="B16" s="605" t="s">
        <v>627</v>
      </c>
      <c r="C16" s="601"/>
    </row>
    <row r="17" spans="1:3" ht="14.25">
      <c r="A17" s="601"/>
      <c r="B17" s="605"/>
      <c r="C17" s="601"/>
    </row>
    <row r="18" spans="1:3" ht="14.25">
      <c r="A18" s="601"/>
      <c r="B18" s="605"/>
      <c r="C18" s="601"/>
    </row>
    <row r="19" spans="1:3" ht="199.5" customHeight="1">
      <c r="A19" s="601"/>
      <c r="B19" s="604"/>
      <c r="C19" s="601"/>
    </row>
    <row r="20" ht="14.25" hidden="1"/>
  </sheetData>
  <mergeCells count="4">
    <mergeCell ref="B6:B7"/>
    <mergeCell ref="B9:B11"/>
    <mergeCell ref="B13:B14"/>
    <mergeCell ref="B16:B18"/>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L54"/>
  <sheetViews>
    <sheetView showGridLines="0" showZeros="0" workbookViewId="0" topLeftCell="A1">
      <selection activeCell="A1" sqref="A1"/>
    </sheetView>
  </sheetViews>
  <sheetFormatPr defaultColWidth="14.83203125" defaultRowHeight="12"/>
  <cols>
    <col min="1" max="1" width="48.83203125" style="1" customWidth="1"/>
    <col min="2" max="2" width="22.83203125" style="1" customWidth="1"/>
    <col min="3" max="3" width="7.83203125" style="1" customWidth="1"/>
    <col min="4" max="4" width="15.83203125" style="1" customWidth="1"/>
    <col min="5" max="5" width="7.83203125" style="1" customWidth="1"/>
    <col min="6" max="6" width="15.83203125" style="1" customWidth="1"/>
    <col min="7" max="7" width="7.83203125" style="1" customWidth="1"/>
    <col min="8" max="8" width="12.83203125" style="1" customWidth="1"/>
    <col min="9" max="9" width="7.83203125" style="1" customWidth="1"/>
    <col min="10" max="10" width="15.83203125" style="1" customWidth="1"/>
    <col min="11" max="11" width="8.83203125" style="1" customWidth="1"/>
    <col min="12" max="12" width="5.83203125" style="1" customWidth="1"/>
    <col min="13" max="16384" width="14.83203125" style="1" customWidth="1"/>
  </cols>
  <sheetData>
    <row r="2" spans="1:11" ht="12">
      <c r="A2" s="45"/>
      <c r="B2" s="45"/>
      <c r="C2" s="46" t="str">
        <f>OPYEAR</f>
        <v>OPERATING FUND 2006/2007 ACTUAL</v>
      </c>
      <c r="D2" s="46"/>
      <c r="E2" s="46"/>
      <c r="F2" s="47"/>
      <c r="G2" s="47"/>
      <c r="H2" s="47"/>
      <c r="I2" s="47"/>
      <c r="J2" s="48"/>
      <c r="K2" s="132" t="s">
        <v>184</v>
      </c>
    </row>
    <row r="3" spans="10:11" ht="10.5" customHeight="1">
      <c r="J3" s="89"/>
      <c r="K3" s="89"/>
    </row>
    <row r="4" spans="2:11" ht="15.75">
      <c r="B4" s="325" t="s">
        <v>517</v>
      </c>
      <c r="C4" s="89"/>
      <c r="D4" s="89"/>
      <c r="E4" s="89"/>
      <c r="F4" s="89"/>
      <c r="G4" s="89"/>
      <c r="H4" s="89"/>
      <c r="I4" s="89"/>
      <c r="J4" s="89"/>
      <c r="K4" s="89"/>
    </row>
    <row r="5" spans="2:11" ht="15.75">
      <c r="B5" s="325" t="s">
        <v>518</v>
      </c>
      <c r="C5" s="89"/>
      <c r="D5" s="89"/>
      <c r="E5" s="89"/>
      <c r="F5" s="89"/>
      <c r="G5" s="89"/>
      <c r="H5" s="89"/>
      <c r="I5" s="89"/>
      <c r="J5" s="89"/>
      <c r="K5" s="89"/>
    </row>
    <row r="6" ht="10.5" customHeight="1"/>
    <row r="7" spans="2:9" ht="12">
      <c r="B7" s="133" t="s">
        <v>185</v>
      </c>
      <c r="C7" s="47"/>
      <c r="D7" s="47"/>
      <c r="E7" s="47"/>
      <c r="F7" s="47"/>
      <c r="G7" s="47"/>
      <c r="H7" s="47"/>
      <c r="I7" s="134"/>
    </row>
    <row r="8" spans="1:11" ht="12">
      <c r="A8" s="6"/>
      <c r="B8" s="359" t="s">
        <v>455</v>
      </c>
      <c r="C8" s="360"/>
      <c r="D8" s="362" t="s">
        <v>52</v>
      </c>
      <c r="E8" s="360"/>
      <c r="F8" s="362" t="s">
        <v>53</v>
      </c>
      <c r="G8" s="360"/>
      <c r="H8" s="361"/>
      <c r="I8" s="356"/>
      <c r="J8" s="366"/>
      <c r="K8" s="356"/>
    </row>
    <row r="9" spans="1:11" ht="12">
      <c r="A9" s="6"/>
      <c r="B9" s="345" t="s">
        <v>65</v>
      </c>
      <c r="C9" s="347"/>
      <c r="D9" s="346" t="s">
        <v>80</v>
      </c>
      <c r="E9" s="347"/>
      <c r="F9" s="346" t="s">
        <v>81</v>
      </c>
      <c r="G9" s="347"/>
      <c r="H9" s="346" t="s">
        <v>82</v>
      </c>
      <c r="I9" s="367"/>
      <c r="J9" s="346" t="s">
        <v>83</v>
      </c>
      <c r="K9" s="367"/>
    </row>
    <row r="10" spans="1:11" ht="12">
      <c r="A10" s="135" t="s">
        <v>174</v>
      </c>
      <c r="B10" s="136" t="s">
        <v>109</v>
      </c>
      <c r="C10" s="136" t="s">
        <v>110</v>
      </c>
      <c r="D10" s="136" t="s">
        <v>109</v>
      </c>
      <c r="E10" s="136" t="s">
        <v>110</v>
      </c>
      <c r="F10" s="136" t="s">
        <v>109</v>
      </c>
      <c r="G10" s="136" t="s">
        <v>110</v>
      </c>
      <c r="H10" s="136" t="s">
        <v>109</v>
      </c>
      <c r="I10" s="53" t="s">
        <v>110</v>
      </c>
      <c r="J10" s="136" t="s">
        <v>109</v>
      </c>
      <c r="K10" s="53" t="s">
        <v>110</v>
      </c>
    </row>
    <row r="11" ht="4.5" customHeight="1"/>
    <row r="12" spans="1:11" ht="12">
      <c r="A12" s="363" t="s">
        <v>177</v>
      </c>
      <c r="B12" s="138"/>
      <c r="C12" s="139"/>
      <c r="D12" s="138"/>
      <c r="E12" s="139"/>
      <c r="F12" s="138"/>
      <c r="G12" s="139"/>
      <c r="H12" s="138"/>
      <c r="I12" s="139"/>
      <c r="J12" s="138"/>
      <c r="K12" s="139"/>
    </row>
    <row r="13" spans="1:11" ht="12">
      <c r="A13" s="140" t="s">
        <v>289</v>
      </c>
      <c r="B13" s="141"/>
      <c r="C13" s="397"/>
      <c r="D13" s="141"/>
      <c r="E13" s="397"/>
      <c r="F13" s="141"/>
      <c r="G13" s="397"/>
      <c r="H13" s="141"/>
      <c r="I13" s="397"/>
      <c r="J13" s="141">
        <f>SUM(F13,D13,B13,'- 12 -'!J13,'- 12 -'!H13,'- 12 -'!F13,'- 12 -'!D13,'- 12 -'!B13)</f>
        <v>3096611</v>
      </c>
      <c r="K13" s="397">
        <f aca="true" t="shared" si="0" ref="K13:K22">J13/$J$53*100</f>
        <v>0.19517186636289285</v>
      </c>
    </row>
    <row r="14" spans="1:11" ht="12">
      <c r="A14" s="140" t="s">
        <v>328</v>
      </c>
      <c r="B14" s="141">
        <v>1575309</v>
      </c>
      <c r="C14" s="397">
        <f>B14/$J$53*100</f>
        <v>0.09928789816617661</v>
      </c>
      <c r="D14" s="141">
        <v>1667695</v>
      </c>
      <c r="E14" s="397">
        <f>D14/$J$53*100</f>
        <v>0.10511076324215879</v>
      </c>
      <c r="F14" s="141">
        <v>3347615</v>
      </c>
      <c r="G14" s="397">
        <f>F14/$J$53*100</f>
        <v>0.21099203852676862</v>
      </c>
      <c r="H14" s="141"/>
      <c r="I14" s="397"/>
      <c r="J14" s="141">
        <f>SUM(F14,D14,B14,'- 12 -'!J14,'- 12 -'!H14,'- 12 -'!F14,'- 12 -'!D14,'- 12 -'!B14)</f>
        <v>96160306.34</v>
      </c>
      <c r="K14" s="397">
        <f t="shared" si="0"/>
        <v>6.060750432781295</v>
      </c>
    </row>
    <row r="15" spans="1:11" ht="12">
      <c r="A15" s="140" t="s">
        <v>290</v>
      </c>
      <c r="B15" s="141">
        <v>20166363</v>
      </c>
      <c r="C15" s="397">
        <f>B15/$J$53*100</f>
        <v>1.2710368543099493</v>
      </c>
      <c r="D15" s="141"/>
      <c r="E15" s="397">
        <f>D15/$J$53*100</f>
        <v>0</v>
      </c>
      <c r="F15" s="141"/>
      <c r="G15" s="397">
        <f>F15/$J$53*100</f>
        <v>0</v>
      </c>
      <c r="H15" s="141"/>
      <c r="I15" s="397"/>
      <c r="J15" s="141">
        <f>SUM(F15,D15,B15,'- 12 -'!J15,'- 12 -'!H15,'- 12 -'!F15,'- 12 -'!D15,'- 12 -'!B15)</f>
        <v>773457247.5700002</v>
      </c>
      <c r="K15" s="397">
        <f t="shared" si="0"/>
        <v>48.749130762676685</v>
      </c>
    </row>
    <row r="16" spans="1:11" ht="12">
      <c r="A16" s="140" t="s">
        <v>291</v>
      </c>
      <c r="B16" s="141">
        <v>6881332</v>
      </c>
      <c r="C16" s="397">
        <f>B16/$J$53*100</f>
        <v>0.4337136338735147</v>
      </c>
      <c r="D16" s="141">
        <v>165862</v>
      </c>
      <c r="E16" s="397">
        <f>D16/$J$53*100</f>
        <v>0.010453878804500188</v>
      </c>
      <c r="F16" s="141"/>
      <c r="G16" s="397">
        <f>F16/$J$53*100</f>
        <v>0</v>
      </c>
      <c r="H16" s="141"/>
      <c r="I16" s="397"/>
      <c r="J16" s="141">
        <f>SUM(F16,D16,B16,'- 12 -'!J16,'- 12 -'!H16,'- 12 -'!F16,'- 12 -'!D16,'- 12 -'!B16)</f>
        <v>136302617.49</v>
      </c>
      <c r="K16" s="397">
        <f t="shared" si="0"/>
        <v>8.590822756126224</v>
      </c>
    </row>
    <row r="17" spans="1:11" ht="12">
      <c r="A17" s="140" t="s">
        <v>292</v>
      </c>
      <c r="B17" s="141">
        <v>5779730</v>
      </c>
      <c r="C17" s="397">
        <f>B17/$J$53*100</f>
        <v>0.36428233677836924</v>
      </c>
      <c r="D17" s="141">
        <v>26620253</v>
      </c>
      <c r="E17" s="397">
        <f>D17/$J$53*100</f>
        <v>1.6778098576354594</v>
      </c>
      <c r="F17" s="141">
        <v>76090332</v>
      </c>
      <c r="G17" s="397">
        <f>F17/$J$53*100</f>
        <v>4.795788721480402</v>
      </c>
      <c r="H17" s="141"/>
      <c r="I17" s="397"/>
      <c r="J17" s="141">
        <f>SUM(F17,D17,B17,'- 12 -'!J17,'- 12 -'!H17,'- 12 -'!F17,'- 12 -'!D17,'- 12 -'!B17)</f>
        <v>117548604.83</v>
      </c>
      <c r="K17" s="397">
        <f t="shared" si="0"/>
        <v>7.408802911642845</v>
      </c>
    </row>
    <row r="18" spans="1:11" ht="12">
      <c r="A18" s="142" t="s">
        <v>293</v>
      </c>
      <c r="B18" s="141">
        <v>2571302</v>
      </c>
      <c r="C18" s="397">
        <f>B18/$J$53*100</f>
        <v>0.1620629166280941</v>
      </c>
      <c r="D18" s="141">
        <v>986226</v>
      </c>
      <c r="E18" s="397">
        <f>D18/$J$53*100</f>
        <v>0.06215942818636579</v>
      </c>
      <c r="F18" s="141">
        <v>1190843</v>
      </c>
      <c r="G18" s="397">
        <f>F18/$J$53*100</f>
        <v>0.07505594046368316</v>
      </c>
      <c r="H18" s="141"/>
      <c r="I18" s="397"/>
      <c r="J18" s="141">
        <f>SUM(F18,D18,B18,'- 12 -'!J18,'- 12 -'!H18,'- 12 -'!F18,'- 12 -'!D18,'- 12 -'!B18)</f>
        <v>48195275.68</v>
      </c>
      <c r="K18" s="397">
        <f t="shared" si="0"/>
        <v>3.0376311084407246</v>
      </c>
    </row>
    <row r="19" spans="1:11" ht="12">
      <c r="A19" s="142" t="s">
        <v>294</v>
      </c>
      <c r="B19" s="143"/>
      <c r="C19" s="398"/>
      <c r="D19" s="143"/>
      <c r="E19" s="398"/>
      <c r="F19" s="143"/>
      <c r="G19" s="398"/>
      <c r="H19" s="143"/>
      <c r="I19" s="398"/>
      <c r="J19" s="143">
        <f>SUM(F19,D19,B19,'- 12 -'!J19,'- 12 -'!H19,'- 12 -'!F19,'- 12 -'!D19,'- 12 -'!B19)</f>
        <v>19283849.55</v>
      </c>
      <c r="K19" s="398">
        <f t="shared" si="0"/>
        <v>1.2154141761218091</v>
      </c>
    </row>
    <row r="20" spans="1:11" ht="12">
      <c r="A20" s="145" t="s">
        <v>295</v>
      </c>
      <c r="B20" s="144">
        <v>345119</v>
      </c>
      <c r="C20" s="398">
        <f>B20/'- 13 -'!$J$53*100</f>
        <v>0.021752011908274953</v>
      </c>
      <c r="D20" s="144">
        <v>0</v>
      </c>
      <c r="E20" s="398">
        <f>D20/'- 13 -'!$J$53*100</f>
        <v>0</v>
      </c>
      <c r="F20" s="144">
        <v>73292</v>
      </c>
      <c r="G20" s="398">
        <f>F20/'- 13 -'!$J$53*100</f>
        <v>0.004619416655650046</v>
      </c>
      <c r="H20" s="144"/>
      <c r="I20" s="398"/>
      <c r="J20" s="144">
        <f>SUM(F20,D20,B20,'- 12 -'!J20,'- 12 -'!H20,'- 12 -'!F20,'- 12 -'!D20,'- 12 -'!B20)</f>
        <v>9943558.23</v>
      </c>
      <c r="K20" s="398">
        <f t="shared" si="0"/>
        <v>0.6267183117405458</v>
      </c>
    </row>
    <row r="21" spans="1:11" ht="12">
      <c r="A21" s="146" t="s">
        <v>296</v>
      </c>
      <c r="B21" s="400">
        <f>SUM(B13:B20)</f>
        <v>37319155</v>
      </c>
      <c r="C21" s="401">
        <f>B21/$J$53*100</f>
        <v>2.352135651664379</v>
      </c>
      <c r="D21" s="400">
        <f>SUM(D13:D20)</f>
        <v>29440036</v>
      </c>
      <c r="E21" s="401">
        <f>D21/$J$53*100</f>
        <v>1.8555339278684844</v>
      </c>
      <c r="F21" s="400">
        <f>SUM(F13:F20)</f>
        <v>80702082</v>
      </c>
      <c r="G21" s="401">
        <f>F21/$J$53*100</f>
        <v>5.086456117126504</v>
      </c>
      <c r="H21" s="400"/>
      <c r="I21" s="401"/>
      <c r="J21" s="400">
        <f>SUM(F21,D21,B21,'- 12 -'!J21,'- 12 -'!H21,'- 12 -'!F21,'- 12 -'!D21,'- 12 -'!B21)</f>
        <v>1203988070.69</v>
      </c>
      <c r="K21" s="401">
        <f t="shared" si="0"/>
        <v>75.884442325893</v>
      </c>
    </row>
    <row r="22" spans="1:11" ht="12">
      <c r="A22" s="363" t="s">
        <v>187</v>
      </c>
      <c r="B22" s="400">
        <v>3157267</v>
      </c>
      <c r="C22" s="401">
        <f>B22/$J$53*100</f>
        <v>0.19899486664484872</v>
      </c>
      <c r="D22" s="400">
        <v>4032874</v>
      </c>
      <c r="E22" s="401">
        <f>D22/$J$53*100</f>
        <v>0.25418224807261397</v>
      </c>
      <c r="F22" s="400">
        <v>12199178</v>
      </c>
      <c r="G22" s="401">
        <f>F22/$J$53*100</f>
        <v>0.7688845445401901</v>
      </c>
      <c r="H22" s="400"/>
      <c r="I22" s="401"/>
      <c r="J22" s="400">
        <f>SUM(F22,D22,B22,'- 12 -'!J22,'- 12 -'!H22,'- 12 -'!F22,'- 12 -'!D22,'- 12 -'!B22)</f>
        <v>94496303.28968874</v>
      </c>
      <c r="K22" s="401">
        <f t="shared" si="0"/>
        <v>5.955872364156338</v>
      </c>
    </row>
    <row r="23" spans="1:11" ht="12">
      <c r="A23" s="363" t="s">
        <v>165</v>
      </c>
      <c r="B23" s="149"/>
      <c r="C23" s="399"/>
      <c r="D23" s="149"/>
      <c r="E23" s="399"/>
      <c r="F23" s="149"/>
      <c r="G23" s="399"/>
      <c r="H23" s="149"/>
      <c r="I23" s="399"/>
      <c r="J23" s="149"/>
      <c r="K23" s="399"/>
    </row>
    <row r="24" spans="1:11" ht="12">
      <c r="A24" s="142" t="s">
        <v>297</v>
      </c>
      <c r="B24" s="141">
        <v>1910343</v>
      </c>
      <c r="C24" s="397">
        <f aca="true" t="shared" si="1" ref="C24:C34">B24/$J$53*100</f>
        <v>0.12040427703166068</v>
      </c>
      <c r="D24" s="141">
        <v>201278</v>
      </c>
      <c r="E24" s="397">
        <f aca="true" t="shared" si="2" ref="E24:E34">D24/$J$53*100</f>
        <v>0.012686063221305598</v>
      </c>
      <c r="F24" s="141">
        <v>3830883</v>
      </c>
      <c r="G24" s="397">
        <f aca="true" t="shared" si="3" ref="G24:G34">F24/$J$53*100</f>
        <v>0.24145124619394495</v>
      </c>
      <c r="H24" s="141"/>
      <c r="I24" s="397"/>
      <c r="J24" s="141">
        <f>SUM(F24,D24,B24,'- 12 -'!J24,'- 12 -'!H24,'- 12 -'!F24,'- 12 -'!D24,'- 12 -'!B24)</f>
        <v>20616930.72</v>
      </c>
      <c r="K24" s="397">
        <f aca="true" t="shared" si="4" ref="K24:K39">J24/$J$53*100</f>
        <v>1.2994350427925432</v>
      </c>
    </row>
    <row r="25" spans="1:11" ht="12">
      <c r="A25" s="142" t="s">
        <v>298</v>
      </c>
      <c r="B25" s="143">
        <v>107973</v>
      </c>
      <c r="C25" s="398">
        <f t="shared" si="1"/>
        <v>0.006805275808553489</v>
      </c>
      <c r="D25" s="143">
        <v>241078</v>
      </c>
      <c r="E25" s="398">
        <f t="shared" si="2"/>
        <v>0.015194560504704493</v>
      </c>
      <c r="F25" s="143">
        <v>611484</v>
      </c>
      <c r="G25" s="398">
        <f t="shared" si="3"/>
        <v>0.03854035057391683</v>
      </c>
      <c r="H25" s="143"/>
      <c r="I25" s="398"/>
      <c r="J25" s="143">
        <f>SUM(F25,D25,B25,'- 12 -'!J25,'- 12 -'!H25,'- 12 -'!F25,'- 12 -'!D25,'- 12 -'!B25)</f>
        <v>6401222.07</v>
      </c>
      <c r="K25" s="398">
        <f t="shared" si="4"/>
        <v>0.40345347168412193</v>
      </c>
    </row>
    <row r="26" spans="1:12" ht="12">
      <c r="A26" s="142" t="s">
        <v>299</v>
      </c>
      <c r="B26" s="143"/>
      <c r="C26" s="398">
        <f t="shared" si="1"/>
        <v>0</v>
      </c>
      <c r="D26" s="143"/>
      <c r="E26" s="398">
        <f t="shared" si="2"/>
        <v>0</v>
      </c>
      <c r="F26" s="143">
        <v>41418529</v>
      </c>
      <c r="G26" s="398">
        <f t="shared" si="3"/>
        <v>2.610509233137647</v>
      </c>
      <c r="H26" s="143"/>
      <c r="I26" s="398"/>
      <c r="J26" s="143">
        <f>SUM(F26,D26,B26,'- 12 -'!J26,'- 12 -'!H26,'- 12 -'!F26,'- 12 -'!D26,'- 12 -'!B26)</f>
        <v>41454534</v>
      </c>
      <c r="K26" s="398">
        <f t="shared" si="4"/>
        <v>2.612778540793144</v>
      </c>
      <c r="L26" s="587" t="s">
        <v>230</v>
      </c>
    </row>
    <row r="27" spans="1:12" ht="12.75" customHeight="1">
      <c r="A27" s="142" t="s">
        <v>322</v>
      </c>
      <c r="B27" s="143">
        <v>707690</v>
      </c>
      <c r="C27" s="398">
        <f t="shared" si="1"/>
        <v>0.044603980967049345</v>
      </c>
      <c r="D27" s="143">
        <v>878445</v>
      </c>
      <c r="E27" s="398">
        <f t="shared" si="2"/>
        <v>0.05536625367123975</v>
      </c>
      <c r="F27" s="143">
        <v>635469</v>
      </c>
      <c r="G27" s="398">
        <f t="shared" si="3"/>
        <v>0.040052066838799305</v>
      </c>
      <c r="H27" s="143"/>
      <c r="I27" s="398"/>
      <c r="J27" s="143">
        <f>SUM(F27,D27,B27,'- 12 -'!J27,'- 12 -'!H27,'- 12 -'!F27,'- 12 -'!D27,'- 12 -'!B27)</f>
        <v>8268734.8</v>
      </c>
      <c r="K27" s="398">
        <f t="shared" si="4"/>
        <v>0.5211582608780377</v>
      </c>
      <c r="L27" s="588"/>
    </row>
    <row r="28" spans="1:12" ht="12.75" customHeight="1">
      <c r="A28" s="142" t="s">
        <v>300</v>
      </c>
      <c r="B28" s="143"/>
      <c r="C28" s="398">
        <f t="shared" si="1"/>
        <v>0</v>
      </c>
      <c r="D28" s="143">
        <v>13971730</v>
      </c>
      <c r="E28" s="398">
        <f t="shared" si="2"/>
        <v>0.8806041896829859</v>
      </c>
      <c r="F28" s="143"/>
      <c r="G28" s="398">
        <f t="shared" si="3"/>
        <v>0</v>
      </c>
      <c r="H28" s="143"/>
      <c r="I28" s="398"/>
      <c r="J28" s="143">
        <f>SUM(F28,D28,B28,'- 12 -'!J28,'- 12 -'!H28,'- 12 -'!F28,'- 12 -'!D28,'- 12 -'!B28)</f>
        <v>13971730</v>
      </c>
      <c r="K28" s="398">
        <f t="shared" si="4"/>
        <v>0.8806041896829859</v>
      </c>
      <c r="L28" s="588"/>
    </row>
    <row r="29" spans="1:11" ht="12.75" customHeight="1">
      <c r="A29" s="142" t="s">
        <v>301</v>
      </c>
      <c r="B29" s="143"/>
      <c r="C29" s="398">
        <f t="shared" si="1"/>
        <v>0</v>
      </c>
      <c r="D29" s="143"/>
      <c r="E29" s="398">
        <f t="shared" si="2"/>
        <v>0</v>
      </c>
      <c r="F29" s="143"/>
      <c r="G29" s="398">
        <f t="shared" si="3"/>
        <v>0</v>
      </c>
      <c r="H29" s="143"/>
      <c r="I29" s="398"/>
      <c r="J29" s="143">
        <f>SUM(F29,D29,B29,'- 12 -'!J29,'- 12 -'!H29,'- 12 -'!F29,'- 12 -'!D29,'- 12 -'!B29)</f>
        <v>585664</v>
      </c>
      <c r="K29" s="398">
        <f t="shared" si="4"/>
        <v>0.03691297871820428</v>
      </c>
    </row>
    <row r="30" spans="1:11" ht="12.75" customHeight="1">
      <c r="A30" s="142" t="s">
        <v>302</v>
      </c>
      <c r="B30" s="143">
        <v>66453</v>
      </c>
      <c r="C30" s="398">
        <f t="shared" si="1"/>
        <v>0.004188371104867005</v>
      </c>
      <c r="D30" s="143"/>
      <c r="E30" s="398">
        <f t="shared" si="2"/>
        <v>0</v>
      </c>
      <c r="F30" s="143"/>
      <c r="G30" s="398">
        <f t="shared" si="3"/>
        <v>0</v>
      </c>
      <c r="H30" s="143"/>
      <c r="I30" s="398"/>
      <c r="J30" s="143">
        <f>SUM(F30,D30,B30,'- 12 -'!J30,'- 12 -'!H30,'- 12 -'!F30,'- 12 -'!D30,'- 12 -'!B30)</f>
        <v>1082295</v>
      </c>
      <c r="K30" s="398">
        <f t="shared" si="4"/>
        <v>0.06821442380241727</v>
      </c>
    </row>
    <row r="31" spans="1:11" ht="12.75" customHeight="1">
      <c r="A31" s="142" t="s">
        <v>303</v>
      </c>
      <c r="B31" s="143">
        <v>40790</v>
      </c>
      <c r="C31" s="398">
        <f t="shared" si="1"/>
        <v>0.0025708945776341937</v>
      </c>
      <c r="D31" s="143">
        <v>815717</v>
      </c>
      <c r="E31" s="398">
        <f t="shared" si="2"/>
        <v>0.05141266026437931</v>
      </c>
      <c r="F31" s="143">
        <v>4998974</v>
      </c>
      <c r="G31" s="398">
        <f t="shared" si="3"/>
        <v>0.31507318338647505</v>
      </c>
      <c r="H31" s="143"/>
      <c r="I31" s="398"/>
      <c r="J31" s="143">
        <f>SUM(F31,D31,B31,'- 12 -'!J31,'- 12 -'!H31,'- 12 -'!F31,'- 12 -'!D31,'- 12 -'!B31)</f>
        <v>7069066</v>
      </c>
      <c r="K31" s="398">
        <f t="shared" si="4"/>
        <v>0.4455460516876254</v>
      </c>
    </row>
    <row r="32" spans="1:11" ht="12">
      <c r="A32" s="142" t="s">
        <v>304</v>
      </c>
      <c r="B32" s="143">
        <v>136877</v>
      </c>
      <c r="C32" s="398">
        <f t="shared" si="1"/>
        <v>0.008627024689944486</v>
      </c>
      <c r="D32" s="143">
        <v>1171518</v>
      </c>
      <c r="E32" s="398">
        <f t="shared" si="2"/>
        <v>0.07383793267469614</v>
      </c>
      <c r="F32" s="143">
        <v>21693890</v>
      </c>
      <c r="G32" s="398">
        <f t="shared" si="3"/>
        <v>1.3673131691295088</v>
      </c>
      <c r="H32" s="143"/>
      <c r="I32" s="398"/>
      <c r="J32" s="143">
        <f>SUM(F32,D32,B32,'- 12 -'!J32,'- 12 -'!H32,'- 12 -'!F32,'- 12 -'!D32,'- 12 -'!B32)</f>
        <v>26203321.75</v>
      </c>
      <c r="K32" s="398">
        <f t="shared" si="4"/>
        <v>1.651531694118145</v>
      </c>
    </row>
    <row r="33" spans="1:11" ht="12">
      <c r="A33" s="142" t="s">
        <v>305</v>
      </c>
      <c r="B33" s="143">
        <v>183050</v>
      </c>
      <c r="C33" s="398">
        <f t="shared" si="1"/>
        <v>0.011537196676536876</v>
      </c>
      <c r="D33" s="143">
        <v>295558</v>
      </c>
      <c r="E33" s="398">
        <f t="shared" si="2"/>
        <v>0.018628302514743986</v>
      </c>
      <c r="F33" s="143">
        <v>2115074</v>
      </c>
      <c r="G33" s="398">
        <f t="shared" si="3"/>
        <v>0.1333079744519506</v>
      </c>
      <c r="H33" s="143"/>
      <c r="I33" s="398"/>
      <c r="J33" s="143">
        <f>SUM(F33,D33,B33,'- 12 -'!J33,'- 12 -'!H33,'- 12 -'!F33,'- 12 -'!D33,'- 12 -'!B33)</f>
        <v>6153880.07</v>
      </c>
      <c r="K33" s="398">
        <f t="shared" si="4"/>
        <v>0.3878641064813468</v>
      </c>
    </row>
    <row r="34" spans="1:11" ht="12">
      <c r="A34" s="481" t="s">
        <v>451</v>
      </c>
      <c r="B34" s="143"/>
      <c r="C34" s="398">
        <f t="shared" si="1"/>
        <v>0</v>
      </c>
      <c r="D34" s="143"/>
      <c r="E34" s="398">
        <f t="shared" si="2"/>
        <v>0</v>
      </c>
      <c r="F34" s="143">
        <v>4201016</v>
      </c>
      <c r="G34" s="398">
        <f t="shared" si="3"/>
        <v>0.26477982973656516</v>
      </c>
      <c r="H34" s="143"/>
      <c r="I34" s="398"/>
      <c r="J34" s="143">
        <f>SUM(F34,D34,B34,'- 12 -'!J34,'- 12 -'!H34,'- 12 -'!F34,'- 12 -'!D34,'- 12 -'!B34)</f>
        <v>4203467</v>
      </c>
      <c r="K34" s="398">
        <f t="shared" si="4"/>
        <v>0.26493431031047493</v>
      </c>
    </row>
    <row r="35" spans="1:11" ht="12">
      <c r="A35" s="142" t="s">
        <v>306</v>
      </c>
      <c r="B35" s="143">
        <v>3213</v>
      </c>
      <c r="C35" s="398">
        <f>B35/J53</f>
        <v>2.025075822000163E-06</v>
      </c>
      <c r="D35" s="143">
        <v>25209</v>
      </c>
      <c r="E35" s="398">
        <f>D35/J53</f>
        <v>1.588862010482481E-05</v>
      </c>
      <c r="F35" s="143">
        <v>76953</v>
      </c>
      <c r="G35" s="398">
        <f>F35/J53</f>
        <v>4.850160589180783E-05</v>
      </c>
      <c r="H35" s="143"/>
      <c r="I35" s="398"/>
      <c r="J35" s="143">
        <f>SUM(F35,D35,B35,'- 12 -'!J35,'- 12 -'!H35,'- 12 -'!F35,'- 12 -'!D35,'- 12 -'!B35)</f>
        <v>1138968.54</v>
      </c>
      <c r="K35" s="398">
        <f t="shared" si="4"/>
        <v>0.0717864193082112</v>
      </c>
    </row>
    <row r="36" spans="1:11" ht="12">
      <c r="A36" s="142" t="s">
        <v>307</v>
      </c>
      <c r="B36" s="143">
        <v>149117</v>
      </c>
      <c r="C36" s="398">
        <f>B36/$J$53*100</f>
        <v>0.009398482145944548</v>
      </c>
      <c r="D36" s="143">
        <v>41797</v>
      </c>
      <c r="E36" s="398">
        <f>D36/$J$53*100</f>
        <v>0.002634363340558382</v>
      </c>
      <c r="F36" s="143">
        <v>46177</v>
      </c>
      <c r="G36" s="398">
        <f>F36/$J$53*100</f>
        <v>0.00291042409687213</v>
      </c>
      <c r="H36" s="143"/>
      <c r="I36" s="398"/>
      <c r="J36" s="143">
        <f>SUM(F36,D36,B36,'- 12 -'!J36,'- 12 -'!H36,'- 12 -'!F36,'- 12 -'!D36,'- 12 -'!B36)</f>
        <v>2749476.7800000003</v>
      </c>
      <c r="K36" s="398">
        <f t="shared" si="4"/>
        <v>0.1732928400351342</v>
      </c>
    </row>
    <row r="37" spans="1:11" ht="12">
      <c r="A37" s="147" t="s">
        <v>308</v>
      </c>
      <c r="B37" s="143">
        <v>5967458</v>
      </c>
      <c r="C37" s="398">
        <f>B37/'- 13 -'!$J$53*100</f>
        <v>0.37611437642706036</v>
      </c>
      <c r="D37" s="143">
        <v>147156</v>
      </c>
      <c r="E37" s="398">
        <f>D37/'- 13 -'!$J$53*100</f>
        <v>0.00927488508130271</v>
      </c>
      <c r="F37" s="143">
        <v>141798</v>
      </c>
      <c r="G37" s="398">
        <f>F37/'- 13 -'!$J$53*100</f>
        <v>0.008937183361592877</v>
      </c>
      <c r="H37" s="143"/>
      <c r="I37" s="398"/>
      <c r="J37" s="143">
        <f>SUM(F37,D37,B37,'- 12 -'!J37,'- 12 -'!H37,'- 12 -'!F37,'- 12 -'!D37,'- 12 -'!B37)</f>
        <v>7810366.61</v>
      </c>
      <c r="K37" s="398">
        <f t="shared" si="4"/>
        <v>0.49226842772699586</v>
      </c>
    </row>
    <row r="38" spans="1:11" ht="12">
      <c r="A38" s="148" t="s">
        <v>309</v>
      </c>
      <c r="B38" s="143">
        <v>200880</v>
      </c>
      <c r="C38" s="398">
        <f>B38/$J$53*100</f>
        <v>0.01266097824847161</v>
      </c>
      <c r="D38" s="143">
        <v>57793</v>
      </c>
      <c r="E38" s="398">
        <f>D38/$J$53*100</f>
        <v>0.003642552349232973</v>
      </c>
      <c r="F38" s="143">
        <v>145836</v>
      </c>
      <c r="G38" s="398">
        <f>F38/$J$53*100</f>
        <v>0.009191688688988975</v>
      </c>
      <c r="H38" s="143"/>
      <c r="I38" s="398"/>
      <c r="J38" s="143">
        <f>SUM(F38,D38,B38,'- 12 -'!J38,'- 12 -'!H38,'- 12 -'!F38,'- 12 -'!D38,'- 12 -'!B38)</f>
        <v>5901833.5600000005</v>
      </c>
      <c r="K38" s="398">
        <f t="shared" si="4"/>
        <v>0.3719782274455385</v>
      </c>
    </row>
    <row r="39" spans="1:11" ht="12">
      <c r="A39" s="146" t="s">
        <v>310</v>
      </c>
      <c r="B39" s="400">
        <f>SUM(B24:B38)</f>
        <v>9473844</v>
      </c>
      <c r="C39" s="401">
        <f>B39/$J$53*100</f>
        <v>0.5971133652599226</v>
      </c>
      <c r="D39" s="400">
        <f>SUM(D24:D38)</f>
        <v>17847279</v>
      </c>
      <c r="E39" s="401">
        <f>D39/$J$53*100</f>
        <v>1.1248706253156318</v>
      </c>
      <c r="F39" s="400">
        <f>SUM(F24:F38)</f>
        <v>79916083</v>
      </c>
      <c r="G39" s="401">
        <f>F39/$J$53*100</f>
        <v>5.036916510185442</v>
      </c>
      <c r="H39" s="400"/>
      <c r="I39" s="401"/>
      <c r="J39" s="400">
        <f>SUM(F39,D39,B39,'- 12 -'!J39,'- 12 -'!H39,'- 12 -'!F39,'- 12 -'!D39,'- 12 -'!B39)</f>
        <v>153611490.9</v>
      </c>
      <c r="K39" s="401">
        <f t="shared" si="4"/>
        <v>9.681758985464926</v>
      </c>
    </row>
    <row r="40" spans="1:11" ht="12">
      <c r="A40" s="364" t="s">
        <v>311</v>
      </c>
      <c r="B40" s="149"/>
      <c r="C40" s="399"/>
      <c r="D40" s="149"/>
      <c r="E40" s="399"/>
      <c r="F40" s="149"/>
      <c r="G40" s="399"/>
      <c r="H40" s="149"/>
      <c r="I40" s="399"/>
      <c r="J40" s="149"/>
      <c r="K40" s="399"/>
    </row>
    <row r="41" spans="1:11" ht="12">
      <c r="A41" s="142" t="s">
        <v>312</v>
      </c>
      <c r="B41" s="143">
        <v>2979237</v>
      </c>
      <c r="C41" s="398">
        <f>B41/$J$53*100</f>
        <v>0.18777406836938376</v>
      </c>
      <c r="D41" s="143">
        <v>11706623</v>
      </c>
      <c r="E41" s="398">
        <f>D41/$J$53*100</f>
        <v>0.7378399998310307</v>
      </c>
      <c r="F41" s="143">
        <v>16660859</v>
      </c>
      <c r="G41" s="398">
        <f>F41/$J$53*100</f>
        <v>1.0500934557937696</v>
      </c>
      <c r="H41" s="143"/>
      <c r="I41" s="398"/>
      <c r="J41" s="143">
        <f>SUM(F41,D41,B41,'- 12 -'!J41,'- 12 -'!H41,'- 12 -'!F41,'- 12 -'!D41,'- 12 -'!B41)</f>
        <v>60517249.190000005</v>
      </c>
      <c r="K41" s="398">
        <f>J41/$J$53*100</f>
        <v>3.8142551555751005</v>
      </c>
    </row>
    <row r="42" spans="1:11" ht="12">
      <c r="A42" s="142" t="s">
        <v>313</v>
      </c>
      <c r="B42" s="143">
        <v>2826662</v>
      </c>
      <c r="C42" s="398">
        <f>B42/$J$53*100</f>
        <v>0.17815763688660521</v>
      </c>
      <c r="D42" s="143">
        <v>22575</v>
      </c>
      <c r="E42" s="398">
        <f>D42/$J$53*100</f>
        <v>0.0014228473912746246</v>
      </c>
      <c r="F42" s="143">
        <v>59881</v>
      </c>
      <c r="G42" s="398">
        <f>F42/$J$53*100</f>
        <v>0.003774153915256513</v>
      </c>
      <c r="H42" s="143"/>
      <c r="I42" s="398"/>
      <c r="J42" s="143">
        <f>SUM(F42,D42,B42,'- 12 -'!J42,'- 12 -'!H42,'- 12 -'!F42,'- 12 -'!D42,'- 12 -'!B42)</f>
        <v>14239152.599999998</v>
      </c>
      <c r="K42" s="398">
        <f>J42/$J$53*100</f>
        <v>0.8974591863065906</v>
      </c>
    </row>
    <row r="43" spans="1:11" ht="12">
      <c r="A43" s="142" t="s">
        <v>314</v>
      </c>
      <c r="B43" s="143">
        <v>294432</v>
      </c>
      <c r="C43" s="398">
        <f>B43/$J$53*100</f>
        <v>0.018557333470997573</v>
      </c>
      <c r="D43" s="143">
        <v>222458</v>
      </c>
      <c r="E43" s="398">
        <f>D43/$J$53*100</f>
        <v>0.014020987152521392</v>
      </c>
      <c r="F43" s="143">
        <v>1899470</v>
      </c>
      <c r="G43" s="398">
        <f>F43/$J$53*100</f>
        <v>0.1197189782637613</v>
      </c>
      <c r="H43" s="143"/>
      <c r="I43" s="398"/>
      <c r="J43" s="143">
        <f>SUM(F43,D43,B43,'- 12 -'!J43,'- 12 -'!H43,'- 12 -'!F43,'- 12 -'!D43,'- 12 -'!B43)</f>
        <v>12407152.469999999</v>
      </c>
      <c r="K43" s="398">
        <f>J43/$J$53*100</f>
        <v>0.7819926699927359</v>
      </c>
    </row>
    <row r="44" spans="1:11" ht="12">
      <c r="A44" s="148" t="s">
        <v>315</v>
      </c>
      <c r="B44" s="143">
        <v>393170</v>
      </c>
      <c r="C44" s="398">
        <f>B44/$J$53*100</f>
        <v>0.024780549671204608</v>
      </c>
      <c r="D44" s="143">
        <v>52544</v>
      </c>
      <c r="E44" s="398">
        <f>D44/$J$53*100</f>
        <v>0.0033117206346460182</v>
      </c>
      <c r="F44" s="143">
        <v>91214</v>
      </c>
      <c r="G44" s="398">
        <f>F44/$J$53*100</f>
        <v>0.005748996764018764</v>
      </c>
      <c r="H44" s="143"/>
      <c r="I44" s="398"/>
      <c r="J44" s="143">
        <f>SUM(F44,D44,B44,'- 12 -'!J44,'- 12 -'!H44,'- 12 -'!F44,'- 12 -'!D44,'- 12 -'!B44)</f>
        <v>18692975.47</v>
      </c>
      <c r="K44" s="398">
        <f>J44/$J$53*100</f>
        <v>1.1781728187220397</v>
      </c>
    </row>
    <row r="45" spans="1:11" ht="12">
      <c r="A45" s="146" t="s">
        <v>316</v>
      </c>
      <c r="B45" s="400">
        <f>SUM(B41:B44)</f>
        <v>6493501</v>
      </c>
      <c r="C45" s="401">
        <f>B45/$J$53*100</f>
        <v>0.40926958839819116</v>
      </c>
      <c r="D45" s="400">
        <f>SUM(D41:D44)</f>
        <v>12004200</v>
      </c>
      <c r="E45" s="401">
        <f>D45/$J$53*100</f>
        <v>0.7565955550094727</v>
      </c>
      <c r="F45" s="400">
        <f>SUM(F41:F44)</f>
        <v>18711424</v>
      </c>
      <c r="G45" s="401">
        <f>F45/$J$53*100</f>
        <v>1.179335584736806</v>
      </c>
      <c r="H45" s="400"/>
      <c r="I45" s="401"/>
      <c r="J45" s="400">
        <f>SUM(F45,D45,B45,'- 12 -'!J45,'- 12 -'!H45,'- 12 -'!F45,'- 12 -'!D45,'- 12 -'!B45)</f>
        <v>105856529.73</v>
      </c>
      <c r="K45" s="401">
        <f>J45/$J$53*100</f>
        <v>6.671879830596467</v>
      </c>
    </row>
    <row r="46" spans="1:11" ht="12">
      <c r="A46" s="363" t="s">
        <v>121</v>
      </c>
      <c r="B46" s="149"/>
      <c r="C46" s="399"/>
      <c r="D46" s="149"/>
      <c r="E46" s="399"/>
      <c r="F46" s="149"/>
      <c r="G46" s="399"/>
      <c r="H46" s="149"/>
      <c r="I46" s="399"/>
      <c r="J46" s="149"/>
      <c r="K46" s="399"/>
    </row>
    <row r="47" spans="1:11" ht="13.5">
      <c r="A47" s="295" t="s">
        <v>555</v>
      </c>
      <c r="B47" s="546"/>
      <c r="C47" s="547"/>
      <c r="D47" s="143">
        <v>0</v>
      </c>
      <c r="E47" s="547"/>
      <c r="F47" s="143">
        <v>0</v>
      </c>
      <c r="G47" s="547"/>
      <c r="H47" s="546"/>
      <c r="I47" s="547"/>
      <c r="J47" s="143">
        <f>'- 12 -'!F47+'- 12 -'!J47+'- 13 -'!F47</f>
        <v>0</v>
      </c>
      <c r="K47" s="547"/>
    </row>
    <row r="48" spans="1:11" ht="12">
      <c r="A48" s="142" t="s">
        <v>317</v>
      </c>
      <c r="B48" s="143"/>
      <c r="C48" s="398"/>
      <c r="D48" s="143"/>
      <c r="E48" s="398"/>
      <c r="F48" s="143"/>
      <c r="G48" s="398"/>
      <c r="H48" s="143">
        <f>'- 10 -'!G22</f>
        <v>2594807.85</v>
      </c>
      <c r="I48" s="398">
        <f>H48/$J$53*100</f>
        <v>0.1635444332328424</v>
      </c>
      <c r="J48" s="143">
        <f>H48</f>
        <v>2594807.85</v>
      </c>
      <c r="K48" s="398">
        <f>J48/$J$53*100</f>
        <v>0.1635444332328424</v>
      </c>
    </row>
    <row r="49" spans="1:11" ht="12">
      <c r="A49" s="147" t="s">
        <v>558</v>
      </c>
      <c r="B49" s="143"/>
      <c r="C49" s="398"/>
      <c r="D49" s="143"/>
      <c r="E49" s="398"/>
      <c r="F49" s="143"/>
      <c r="G49" s="398"/>
      <c r="H49" s="143">
        <f>'- 10 -'!H22</f>
        <v>71732</v>
      </c>
      <c r="I49" s="398">
        <f>H49/$J$53*100</f>
        <v>0.004521093646551998</v>
      </c>
      <c r="J49" s="143">
        <f>H49</f>
        <v>71732</v>
      </c>
      <c r="K49" s="398">
        <f>J49/$J$53*100</f>
        <v>0.004521093646551998</v>
      </c>
    </row>
    <row r="50" spans="1:11" ht="12">
      <c r="A50" s="142" t="s">
        <v>318</v>
      </c>
      <c r="B50" s="143"/>
      <c r="C50" s="398"/>
      <c r="D50" s="143"/>
      <c r="E50" s="398"/>
      <c r="F50" s="143"/>
      <c r="G50" s="398"/>
      <c r="H50" s="143">
        <f>'- 10 -'!I22</f>
        <v>25988324.93</v>
      </c>
      <c r="I50" s="398">
        <f>H50/$J$53*100</f>
        <v>1.6379809670098686</v>
      </c>
      <c r="J50" s="143">
        <f>H50</f>
        <v>25988324.93</v>
      </c>
      <c r="K50" s="398">
        <f>J50/$J$53*100</f>
        <v>1.6379809670098686</v>
      </c>
    </row>
    <row r="51" spans="1:11" ht="12">
      <c r="A51" s="146" t="s">
        <v>319</v>
      </c>
      <c r="B51" s="400"/>
      <c r="C51" s="401"/>
      <c r="D51" s="400"/>
      <c r="E51" s="401"/>
      <c r="F51" s="400">
        <f>SUM(F47:F50)</f>
        <v>0</v>
      </c>
      <c r="G51" s="401"/>
      <c r="H51" s="400">
        <f>SUM(H48:H50)</f>
        <v>28654864.78</v>
      </c>
      <c r="I51" s="401">
        <f>H51/$J$53*100</f>
        <v>1.8060464938892633</v>
      </c>
      <c r="J51" s="400">
        <f>'- 12 -'!F48+'- 12 -'!J48+'- 13 -'!F51+'- 13 -'!H51</f>
        <v>28654864.78</v>
      </c>
      <c r="K51" s="401">
        <f>J51/$J$53*100</f>
        <v>1.8060464938892633</v>
      </c>
    </row>
    <row r="52" spans="1:11" ht="4.5" customHeight="1">
      <c r="A52" s="29"/>
      <c r="B52" s="38"/>
      <c r="C52" s="150"/>
      <c r="D52" s="64"/>
      <c r="E52" s="150"/>
      <c r="F52" s="64"/>
      <c r="G52" s="150"/>
      <c r="H52" s="64"/>
      <c r="I52" s="150"/>
      <c r="J52" s="64"/>
      <c r="K52" s="150"/>
    </row>
    <row r="53" spans="1:11" ht="12">
      <c r="A53" s="365" t="s">
        <v>320</v>
      </c>
      <c r="B53" s="402">
        <f>SUM(B51,B45,B39,B22,B21)</f>
        <v>56443767</v>
      </c>
      <c r="C53" s="403">
        <f>B53/$J$53*100</f>
        <v>3.5575134719673414</v>
      </c>
      <c r="D53" s="402">
        <f>SUM(D51,D45,D39,D22,D21)</f>
        <v>63324389</v>
      </c>
      <c r="E53" s="403">
        <f>D53/$J$53*100</f>
        <v>3.9911823562662025</v>
      </c>
      <c r="F53" s="402">
        <f>SUM(F51,F45,F39,F22,F21)</f>
        <v>191528767</v>
      </c>
      <c r="G53" s="403">
        <f>F53/$J$53*100</f>
        <v>12.071592756588942</v>
      </c>
      <c r="H53" s="402">
        <f>SUM(H51,H45,H39,H22,H21)</f>
        <v>28654864.78</v>
      </c>
      <c r="I53" s="403">
        <f>H53/$J$53*100</f>
        <v>1.8060464938892633</v>
      </c>
      <c r="J53" s="402">
        <f>SUM(J51,J45,J39,J22,J21)</f>
        <v>1586607259.3896887</v>
      </c>
      <c r="K53" s="403">
        <f>J53/$J$53*100</f>
        <v>100</v>
      </c>
    </row>
    <row r="54" ht="19.5" customHeight="1">
      <c r="A54" s="152" t="s">
        <v>556</v>
      </c>
    </row>
  </sheetData>
  <mergeCells count="1">
    <mergeCell ref="L26:L28"/>
  </mergeCells>
  <printOptions verticalCentered="1"/>
  <pageMargins left="0.7874015748031497" right="0" top="0.4330708661417323" bottom="0.3937007874015748" header="0" footer="0"/>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I51"/>
  <sheetViews>
    <sheetView showGridLines="0" showZeros="0" workbookViewId="0" topLeftCell="A1">
      <selection activeCell="A1" sqref="A1"/>
    </sheetView>
  </sheetViews>
  <sheetFormatPr defaultColWidth="15.83203125" defaultRowHeight="12"/>
  <cols>
    <col min="1" max="1" width="32.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ustomWidth="1"/>
  </cols>
  <sheetData>
    <row r="1" spans="1:9" ht="6.75" customHeight="1">
      <c r="A1" s="5"/>
      <c r="B1" s="6"/>
      <c r="C1" s="6"/>
      <c r="D1" s="6"/>
      <c r="E1" s="6"/>
      <c r="F1" s="6"/>
      <c r="G1" s="6"/>
      <c r="H1" s="6"/>
      <c r="I1" s="6"/>
    </row>
    <row r="2" spans="1:9" ht="15.75" customHeight="1">
      <c r="A2" s="154"/>
      <c r="B2" s="7" t="s">
        <v>525</v>
      </c>
      <c r="C2" s="8"/>
      <c r="D2" s="8"/>
      <c r="E2" s="8"/>
      <c r="F2" s="8"/>
      <c r="G2" s="8"/>
      <c r="H2" s="81"/>
      <c r="I2" s="155" t="s">
        <v>31</v>
      </c>
    </row>
    <row r="3" spans="1:9" ht="15.75" customHeight="1">
      <c r="A3" s="156"/>
      <c r="B3" s="9" t="str">
        <f>OPYEAR</f>
        <v>OPERATING FUND 2006/2007 ACTUAL</v>
      </c>
      <c r="C3" s="10"/>
      <c r="D3" s="10"/>
      <c r="E3" s="10"/>
      <c r="F3" s="10"/>
      <c r="G3" s="10"/>
      <c r="H3" s="83"/>
      <c r="I3" s="73"/>
    </row>
    <row r="4" spans="2:9" ht="15.75" customHeight="1">
      <c r="B4" s="6"/>
      <c r="C4" s="6"/>
      <c r="D4" s="6"/>
      <c r="E4" s="6"/>
      <c r="F4" s="6"/>
      <c r="G4" s="6"/>
      <c r="H4" s="6"/>
      <c r="I4" s="6"/>
    </row>
    <row r="5" spans="2:9" ht="15.75" customHeight="1">
      <c r="B5" s="6"/>
      <c r="C5" s="6"/>
      <c r="D5" s="6"/>
      <c r="E5" s="6"/>
      <c r="F5" s="6"/>
      <c r="G5" s="6"/>
      <c r="H5" s="6"/>
      <c r="I5" s="6"/>
    </row>
    <row r="6" spans="2:9" ht="15.75" customHeight="1">
      <c r="B6" s="368"/>
      <c r="C6" s="362"/>
      <c r="D6" s="360"/>
      <c r="E6" s="359" t="s">
        <v>454</v>
      </c>
      <c r="F6" s="362"/>
      <c r="G6" s="360"/>
      <c r="H6" s="359" t="s">
        <v>226</v>
      </c>
      <c r="I6" s="360"/>
    </row>
    <row r="7" spans="2:9" ht="15.75" customHeight="1">
      <c r="B7" s="345" t="s">
        <v>78</v>
      </c>
      <c r="C7" s="346"/>
      <c r="D7" s="347"/>
      <c r="E7" s="345" t="s">
        <v>165</v>
      </c>
      <c r="F7" s="346"/>
      <c r="G7" s="347"/>
      <c r="H7" s="345" t="s">
        <v>287</v>
      </c>
      <c r="I7" s="347"/>
    </row>
    <row r="8" spans="1:9" ht="15.75" customHeight="1">
      <c r="A8" s="74"/>
      <c r="B8" s="157" t="s">
        <v>32</v>
      </c>
      <c r="C8" s="158"/>
      <c r="D8" s="159" t="s">
        <v>89</v>
      </c>
      <c r="E8" s="157"/>
      <c r="F8" s="159"/>
      <c r="G8" s="159" t="s">
        <v>89</v>
      </c>
      <c r="H8" s="157"/>
      <c r="I8" s="159"/>
    </row>
    <row r="9" spans="1:9" ht="15.75" customHeight="1">
      <c r="A9" s="41" t="s">
        <v>108</v>
      </c>
      <c r="B9" s="86" t="s">
        <v>109</v>
      </c>
      <c r="C9" s="86" t="s">
        <v>110</v>
      </c>
      <c r="D9" s="86" t="s">
        <v>111</v>
      </c>
      <c r="E9" s="86" t="s">
        <v>109</v>
      </c>
      <c r="F9" s="86" t="s">
        <v>110</v>
      </c>
      <c r="G9" s="86" t="s">
        <v>111</v>
      </c>
      <c r="H9" s="86" t="s">
        <v>109</v>
      </c>
      <c r="I9" s="86" t="s">
        <v>110</v>
      </c>
    </row>
    <row r="10" ht="4.5" customHeight="1">
      <c r="A10" s="4"/>
    </row>
    <row r="11" spans="1:9" ht="13.5" customHeight="1">
      <c r="A11" s="331" t="s">
        <v>245</v>
      </c>
      <c r="B11" s="332">
        <f>SUM('- 18 -'!B11,'- 18 -'!E11,'- 19 -'!B11,'- 19 -'!E11,'- 19 -'!H11,'- 20 -'!B11)</f>
        <v>7216896.02</v>
      </c>
      <c r="C11" s="338">
        <f>B11/'- 3 -'!D11*100</f>
        <v>59.779750301794344</v>
      </c>
      <c r="D11" s="332">
        <f>B11/'- 7 -'!C11</f>
        <v>5059.163000350508</v>
      </c>
      <c r="E11" s="332">
        <f>SUM('- 21 -'!B11,'- 21 -'!E11,'- 21 -'!H11,'- 22 -'!B11,'- 22 -'!E11,'- 22 -'!H11,'- 23-'!B11)</f>
        <v>1633624</v>
      </c>
      <c r="F11" s="338">
        <f>E11/'- 3 -'!D11*100</f>
        <v>13.531805714864447</v>
      </c>
      <c r="G11" s="332">
        <f>E11/'- 7 -'!F11</f>
        <v>1123.1515984874527</v>
      </c>
      <c r="H11" s="332">
        <f>SUM('- 24 -'!D11,'- 24 -'!B11)</f>
        <v>0</v>
      </c>
      <c r="I11" s="338">
        <f>H11/'- 3 -'!D11*100</f>
        <v>0</v>
      </c>
    </row>
    <row r="12" spans="1:9" ht="13.5" customHeight="1">
      <c r="A12" s="25" t="s">
        <v>246</v>
      </c>
      <c r="B12" s="26">
        <f>SUM('- 18 -'!B12,'- 18 -'!E12,'- 19 -'!B12,'- 19 -'!E12,'- 19 -'!H12,'- 20 -'!B12)</f>
        <v>12416649.7</v>
      </c>
      <c r="C12" s="78">
        <f>B12/'- 3 -'!D12*100</f>
        <v>56.44683358643401</v>
      </c>
      <c r="D12" s="26">
        <f>B12/'- 7 -'!C12</f>
        <v>5183.690639703089</v>
      </c>
      <c r="E12" s="26">
        <f>SUM('- 21 -'!B12,'- 21 -'!E12,'- 21 -'!H12,'- 22 -'!B12,'- 22 -'!E12,'- 22 -'!H12,'- 23-'!B12)</f>
        <v>3381800.66</v>
      </c>
      <c r="F12" s="78">
        <f>E12/'- 3 -'!D12*100</f>
        <v>15.373868449998449</v>
      </c>
      <c r="G12" s="26">
        <f>E12/'- 7 -'!F12</f>
        <v>1411.8307957567433</v>
      </c>
      <c r="H12" s="26">
        <f>SUM('- 24 -'!D12,'- 24 -'!B12)</f>
        <v>451278</v>
      </c>
      <c r="I12" s="78">
        <f>H12/'- 3 -'!D12*100</f>
        <v>2.0515368301981463</v>
      </c>
    </row>
    <row r="13" spans="1:9" ht="13.5" customHeight="1">
      <c r="A13" s="331" t="s">
        <v>247</v>
      </c>
      <c r="B13" s="332">
        <f>SUM('- 18 -'!B13,'- 18 -'!E13,'- 19 -'!B13,'- 19 -'!E13,'- 19 -'!H13,'- 20 -'!B13)</f>
        <v>32239536</v>
      </c>
      <c r="C13" s="338">
        <f>B13/'- 3 -'!D13*100</f>
        <v>60.04399664255361</v>
      </c>
      <c r="D13" s="332">
        <f>B13/'- 7 -'!C13</f>
        <v>4941.30370143306</v>
      </c>
      <c r="E13" s="332">
        <f>SUM('- 21 -'!B13,'- 21 -'!E13,'- 21 -'!H13,'- 22 -'!B13,'- 22 -'!E13,'- 22 -'!H13,'- 23-'!B13)</f>
        <v>10032036</v>
      </c>
      <c r="F13" s="338">
        <f>E13/'- 3 -'!D13*100</f>
        <v>18.684001404423967</v>
      </c>
      <c r="G13" s="332">
        <f>E13/'- 7 -'!F13</f>
        <v>1487.660117149848</v>
      </c>
      <c r="H13" s="332">
        <f>SUM('- 24 -'!D13,'- 24 -'!B13)</f>
        <v>0</v>
      </c>
      <c r="I13" s="338">
        <f>H13/'- 3 -'!D13*100</f>
        <v>0</v>
      </c>
    </row>
    <row r="14" spans="1:9" ht="13.5" customHeight="1">
      <c r="A14" s="25" t="s">
        <v>283</v>
      </c>
      <c r="B14" s="26">
        <f>SUM('- 18 -'!B14,'- 18 -'!E14,'- 19 -'!B14,'- 19 -'!E14,'- 19 -'!H14,'- 20 -'!B14)</f>
        <v>27102976</v>
      </c>
      <c r="C14" s="78">
        <f>B14/'- 3 -'!D14*100</f>
        <v>55.17580470724154</v>
      </c>
      <c r="D14" s="26">
        <f>B14/'- 7 -'!C14</f>
        <v>5918.972701463202</v>
      </c>
      <c r="E14" s="26">
        <f>SUM('- 21 -'!B14,'- 21 -'!E14,'- 21 -'!H14,'- 22 -'!B14,'- 22 -'!E14,'- 22 -'!H14,'- 23-'!B14)</f>
        <v>6874354</v>
      </c>
      <c r="F14" s="78">
        <f>E14/'- 3 -'!D14*100</f>
        <v>13.994699836373862</v>
      </c>
      <c r="G14" s="26">
        <f>E14/'- 7 -'!F14</f>
        <v>1468.5652638325143</v>
      </c>
      <c r="H14" s="26">
        <f>SUM('- 24 -'!D14,'- 24 -'!B14)</f>
        <v>0</v>
      </c>
      <c r="I14" s="78">
        <f>H14/'- 3 -'!D14*100</f>
        <v>0</v>
      </c>
    </row>
    <row r="15" spans="1:9" ht="13.5" customHeight="1">
      <c r="A15" s="331" t="s">
        <v>248</v>
      </c>
      <c r="B15" s="332">
        <f>SUM('- 18 -'!B15,'- 18 -'!E15,'- 19 -'!B15,'- 19 -'!E15,'- 19 -'!H15,'- 20 -'!B15)</f>
        <v>7952186</v>
      </c>
      <c r="C15" s="338">
        <f>B15/'- 3 -'!D15*100</f>
        <v>56.23343116674923</v>
      </c>
      <c r="D15" s="332">
        <f>B15/'- 7 -'!C15</f>
        <v>4893.652923076923</v>
      </c>
      <c r="E15" s="332">
        <f>SUM('- 21 -'!B15,'- 21 -'!E15,'- 21 -'!H15,'- 22 -'!B15,'- 22 -'!E15,'- 22 -'!H15,'- 23-'!B15)</f>
        <v>2096079</v>
      </c>
      <c r="F15" s="338">
        <f>E15/'- 3 -'!D15*100</f>
        <v>14.822303473103943</v>
      </c>
      <c r="G15" s="332">
        <f>E15/'- 7 -'!F15</f>
        <v>1289.8947692307693</v>
      </c>
      <c r="H15" s="332">
        <f>SUM('- 24 -'!D15,'- 24 -'!B15)</f>
        <v>0</v>
      </c>
      <c r="I15" s="338">
        <f>H15/'- 3 -'!D15*100</f>
        <v>0</v>
      </c>
    </row>
    <row r="16" spans="1:9" ht="13.5" customHeight="1">
      <c r="A16" s="25" t="s">
        <v>249</v>
      </c>
      <c r="B16" s="26">
        <f>SUM('- 18 -'!B16,'- 18 -'!E16,'- 19 -'!B16,'- 19 -'!E16,'- 19 -'!H16,'- 20 -'!B16)</f>
        <v>6209580</v>
      </c>
      <c r="C16" s="78">
        <f>B16/'- 3 -'!D16*100</f>
        <v>55.85443663204169</v>
      </c>
      <c r="D16" s="26">
        <f>B16/'- 7 -'!C16</f>
        <v>5601.786197564276</v>
      </c>
      <c r="E16" s="26">
        <f>SUM('- 21 -'!B16,'- 21 -'!E16,'- 21 -'!H16,'- 22 -'!B16,'- 22 -'!E16,'- 22 -'!H16,'- 23-'!B16)</f>
        <v>1770936</v>
      </c>
      <c r="F16" s="78">
        <f>E16/'- 3 -'!D16*100</f>
        <v>15.929359568827744</v>
      </c>
      <c r="G16" s="26">
        <f>E16/'- 7 -'!F16</f>
        <v>1590.422990570274</v>
      </c>
      <c r="H16" s="26">
        <f>SUM('- 24 -'!D16,'- 24 -'!B16)</f>
        <v>82799.7696887384</v>
      </c>
      <c r="I16" s="78">
        <f>H16/'- 3 -'!D16*100</f>
        <v>0.7447741214747672</v>
      </c>
    </row>
    <row r="17" spans="1:9" ht="13.5" customHeight="1">
      <c r="A17" s="331" t="s">
        <v>250</v>
      </c>
      <c r="B17" s="332">
        <f>SUM('- 18 -'!B17,'- 18 -'!E17,'- 19 -'!B17,'- 19 -'!E17,'- 19 -'!H17,'- 20 -'!B17)</f>
        <v>7724005</v>
      </c>
      <c r="C17" s="338">
        <f>B17/'- 3 -'!D17*100</f>
        <v>57.83419611605139</v>
      </c>
      <c r="D17" s="332">
        <f>B17/'- 7 -'!C17</f>
        <v>5289.275791903896</v>
      </c>
      <c r="E17" s="332">
        <f>SUM('- 21 -'!B17,'- 21 -'!E17,'- 21 -'!H17,'- 22 -'!B17,'- 22 -'!E17,'- 22 -'!H17,'- 23-'!B17)</f>
        <v>1544200</v>
      </c>
      <c r="F17" s="338">
        <f>E17/'- 3 -'!D17*100</f>
        <v>11.562339180568442</v>
      </c>
      <c r="G17" s="332">
        <f>E17/'- 7 -'!F17</f>
        <v>1057.4436031382677</v>
      </c>
      <c r="H17" s="332">
        <f>SUM('- 24 -'!D17,'- 24 -'!B17)</f>
        <v>0</v>
      </c>
      <c r="I17" s="338">
        <f>H17/'- 3 -'!D17*100</f>
        <v>0</v>
      </c>
    </row>
    <row r="18" spans="1:9" ht="13.5" customHeight="1">
      <c r="A18" s="25" t="s">
        <v>251</v>
      </c>
      <c r="B18" s="26">
        <f>SUM('- 18 -'!B18,'- 18 -'!E18,'- 19 -'!B18,'- 19 -'!E18,'- 19 -'!H18,'- 20 -'!B18)</f>
        <v>37264111</v>
      </c>
      <c r="C18" s="78">
        <f>B18/'- 3 -'!D18*100</f>
        <v>42.83802323068363</v>
      </c>
      <c r="D18" s="26">
        <f>B18/'- 7 -'!C18</f>
        <v>6516.071728334616</v>
      </c>
      <c r="E18" s="26">
        <f>SUM('- 21 -'!B18,'- 21 -'!E18,'- 21 -'!H18,'- 22 -'!B18,'- 22 -'!E18,'- 22 -'!H18,'- 23-'!B18)</f>
        <v>13518961</v>
      </c>
      <c r="F18" s="78">
        <f>E18/'- 3 -'!D18*100</f>
        <v>15.541107779887895</v>
      </c>
      <c r="G18" s="26">
        <f>E18/'- 7 -'!F18</f>
        <v>2363.9506539833533</v>
      </c>
      <c r="H18" s="26">
        <f>SUM('- 24 -'!D18,'- 24 -'!B18)</f>
        <v>1645503</v>
      </c>
      <c r="I18" s="78">
        <f>H18/'- 3 -'!D18*100</f>
        <v>1.891634976617572</v>
      </c>
    </row>
    <row r="19" spans="1:9" ht="13.5" customHeight="1">
      <c r="A19" s="331" t="s">
        <v>252</v>
      </c>
      <c r="B19" s="332">
        <f>SUM('- 18 -'!B19,'- 18 -'!E19,'- 19 -'!B19,'- 19 -'!E19,'- 19 -'!H19,'- 20 -'!B19)</f>
        <v>15636298</v>
      </c>
      <c r="C19" s="338">
        <f>B19/'- 3 -'!D19*100</f>
        <v>63.14287466874953</v>
      </c>
      <c r="D19" s="332">
        <f>B19/'- 7 -'!C19</f>
        <v>4606.416926403611</v>
      </c>
      <c r="E19" s="332">
        <f>SUM('- 21 -'!B19,'- 21 -'!E19,'- 21 -'!H19,'- 22 -'!B19,'- 22 -'!E19,'- 22 -'!H19,'- 23-'!B19)</f>
        <v>3874009</v>
      </c>
      <c r="F19" s="338">
        <f>E19/'- 3 -'!D19*100</f>
        <v>15.644116321689935</v>
      </c>
      <c r="G19" s="332">
        <f>E19/'- 7 -'!F19</f>
        <v>1126.0148352255221</v>
      </c>
      <c r="H19" s="332">
        <f>SUM('- 24 -'!D19,'- 24 -'!B19)</f>
        <v>0</v>
      </c>
      <c r="I19" s="338">
        <f>H19/'- 3 -'!D19*100</f>
        <v>0</v>
      </c>
    </row>
    <row r="20" spans="1:9" ht="13.5" customHeight="1">
      <c r="A20" s="25" t="s">
        <v>253</v>
      </c>
      <c r="B20" s="26">
        <f>SUM('- 18 -'!B20,'- 18 -'!E20,'- 19 -'!B20,'- 19 -'!E20,'- 19 -'!H20,'- 20 -'!B20)</f>
        <v>28415653</v>
      </c>
      <c r="C20" s="78">
        <f>B20/'- 3 -'!D20*100</f>
        <v>61.59954439713046</v>
      </c>
      <c r="D20" s="26">
        <f>B20/'- 7 -'!C20</f>
        <v>4192.954552161724</v>
      </c>
      <c r="E20" s="26">
        <f>SUM('- 21 -'!B20,'- 21 -'!E20,'- 21 -'!H20,'- 22 -'!B20,'- 22 -'!E20,'- 22 -'!H20,'- 23-'!B20)</f>
        <v>6484136</v>
      </c>
      <c r="F20" s="78">
        <f>E20/'- 3 -'!D20*100</f>
        <v>14.056330973954104</v>
      </c>
      <c r="G20" s="26">
        <f>E20/'- 7 -'!F20</f>
        <v>954.9537555228277</v>
      </c>
      <c r="H20" s="26">
        <f>SUM('- 24 -'!D20,'- 24 -'!B20)</f>
        <v>0</v>
      </c>
      <c r="I20" s="78">
        <f>H20/'- 3 -'!D20*100</f>
        <v>0</v>
      </c>
    </row>
    <row r="21" spans="1:9" ht="13.5" customHeight="1">
      <c r="A21" s="331" t="s">
        <v>254</v>
      </c>
      <c r="B21" s="332">
        <f>SUM('- 18 -'!B21,'- 18 -'!E21,'- 19 -'!B21,'- 19 -'!E21,'- 19 -'!H21,'- 20 -'!B21)</f>
        <v>14821659</v>
      </c>
      <c r="C21" s="338">
        <f>B21/'- 3 -'!D21*100</f>
        <v>56.013794781927785</v>
      </c>
      <c r="D21" s="332">
        <f>B21/'- 7 -'!C21</f>
        <v>4817.701608971233</v>
      </c>
      <c r="E21" s="332">
        <f>SUM('- 21 -'!B21,'- 21 -'!E21,'- 21 -'!H21,'- 22 -'!B21,'- 22 -'!E21,'- 22 -'!H21,'- 23-'!B21)</f>
        <v>4217476</v>
      </c>
      <c r="F21" s="338">
        <f>E21/'- 3 -'!D21*100</f>
        <v>15.938623008511103</v>
      </c>
      <c r="G21" s="332">
        <f>E21/'- 7 -'!F21</f>
        <v>1351.9717903510177</v>
      </c>
      <c r="H21" s="332">
        <f>SUM('- 24 -'!D21,'- 24 -'!B21)</f>
        <v>0</v>
      </c>
      <c r="I21" s="338">
        <f>H21/'- 3 -'!D21*100</f>
        <v>0</v>
      </c>
    </row>
    <row r="22" spans="1:9" ht="13.5" customHeight="1">
      <c r="A22" s="25" t="s">
        <v>255</v>
      </c>
      <c r="B22" s="26">
        <f>SUM('- 18 -'!B22,'- 18 -'!E22,'- 19 -'!B22,'- 19 -'!E22,'- 19 -'!H22,'- 20 -'!B22)</f>
        <v>7353075</v>
      </c>
      <c r="C22" s="78">
        <f>B22/'- 3 -'!D22*100</f>
        <v>49.07768859459633</v>
      </c>
      <c r="D22" s="26">
        <f>B22/'- 7 -'!C22</f>
        <v>4807.816790898391</v>
      </c>
      <c r="E22" s="26">
        <f>SUM('- 21 -'!B22,'- 21 -'!E22,'- 21 -'!H22,'- 22 -'!B22,'- 22 -'!E22,'- 22 -'!H22,'- 23-'!B22)</f>
        <v>3365191</v>
      </c>
      <c r="F22" s="78">
        <f>E22/'- 3 -'!D22*100</f>
        <v>22.460779464283746</v>
      </c>
      <c r="G22" s="26">
        <f>E22/'- 7 -'!F22</f>
        <v>2069.104156419085</v>
      </c>
      <c r="H22" s="26">
        <f>SUM('- 24 -'!D22,'- 24 -'!B22)</f>
        <v>478327</v>
      </c>
      <c r="I22" s="78">
        <f>H22/'- 3 -'!D22*100</f>
        <v>3.192566858407874</v>
      </c>
    </row>
    <row r="23" spans="1:9" ht="13.5" customHeight="1">
      <c r="A23" s="331" t="s">
        <v>256</v>
      </c>
      <c r="B23" s="332">
        <f>SUM('- 18 -'!B23,'- 18 -'!E23,'- 19 -'!B23,'- 19 -'!E23,'- 19 -'!H23,'- 20 -'!B23)</f>
        <v>6786563</v>
      </c>
      <c r="C23" s="338">
        <f>B23/'- 3 -'!D23*100</f>
        <v>54.19025782154231</v>
      </c>
      <c r="D23" s="332">
        <f>B23/'- 7 -'!C23</f>
        <v>5212.413978494624</v>
      </c>
      <c r="E23" s="332">
        <f>SUM('- 21 -'!B23,'- 21 -'!E23,'- 21 -'!H23,'- 22 -'!B23,'- 22 -'!E23,'- 22 -'!H23,'- 23-'!B23)</f>
        <v>1896021</v>
      </c>
      <c r="F23" s="338">
        <f>E23/'- 3 -'!D23*100</f>
        <v>15.139602597818435</v>
      </c>
      <c r="G23" s="332">
        <f>E23/'- 7 -'!F23</f>
        <v>1456.23732718894</v>
      </c>
      <c r="H23" s="332">
        <f>SUM('- 24 -'!D23,'- 24 -'!B23)</f>
        <v>207851</v>
      </c>
      <c r="I23" s="338">
        <f>H23/'- 3 -'!D23*100</f>
        <v>1.6596765223376533</v>
      </c>
    </row>
    <row r="24" spans="1:9" ht="13.5" customHeight="1">
      <c r="A24" s="25" t="s">
        <v>257</v>
      </c>
      <c r="B24" s="26">
        <f>SUM('- 18 -'!B24,'- 18 -'!E24,'- 19 -'!B24,'- 19 -'!E24,'- 19 -'!H24,'- 20 -'!B24)</f>
        <v>23879572</v>
      </c>
      <c r="C24" s="78">
        <f>B24/'- 3 -'!D24*100</f>
        <v>59.730754546022126</v>
      </c>
      <c r="D24" s="26">
        <f>B24/'- 7 -'!C24</f>
        <v>5273.174781936624</v>
      </c>
      <c r="E24" s="26">
        <f>SUM('- 21 -'!B24,'- 21 -'!E24,'- 21 -'!H24,'- 22 -'!B24,'- 22 -'!E24,'- 22 -'!H24,'- 23-'!B24)</f>
        <v>6231547</v>
      </c>
      <c r="F24" s="78">
        <f>E24/'- 3 -'!D24*100</f>
        <v>15.587172345425643</v>
      </c>
      <c r="G24" s="26">
        <f>E24/'- 7 -'!F24</f>
        <v>1368.2175870018664</v>
      </c>
      <c r="H24" s="26">
        <f>SUM('- 24 -'!D24,'- 24 -'!B24)</f>
        <v>300880</v>
      </c>
      <c r="I24" s="78">
        <f>H24/'- 3 -'!D24*100</f>
        <v>0.752600985805237</v>
      </c>
    </row>
    <row r="25" spans="1:9" ht="13.5" customHeight="1">
      <c r="A25" s="331" t="s">
        <v>258</v>
      </c>
      <c r="B25" s="332">
        <f>SUM('- 18 -'!B25,'- 18 -'!E25,'- 19 -'!B25,'- 19 -'!E25,'- 19 -'!H25,'- 20 -'!B25)</f>
        <v>71234911</v>
      </c>
      <c r="C25" s="338">
        <f>B25/'- 3 -'!D25*100</f>
        <v>57.19682165934052</v>
      </c>
      <c r="D25" s="332">
        <f>B25/'- 7 -'!C25</f>
        <v>4996.311485183237</v>
      </c>
      <c r="E25" s="332">
        <f>SUM('- 21 -'!B25,'- 21 -'!E25,'- 21 -'!H25,'- 22 -'!B25,'- 22 -'!E25,'- 22 -'!H25,'- 23-'!B25)</f>
        <v>23658846</v>
      </c>
      <c r="F25" s="338">
        <f>E25/'- 3 -'!D25*100</f>
        <v>18.996455197758326</v>
      </c>
      <c r="G25" s="332">
        <f>E25/'- 7 -'!F25</f>
        <v>1639.2756625671227</v>
      </c>
      <c r="H25" s="332">
        <f>SUM('- 24 -'!D25,'- 24 -'!B25)</f>
        <v>0</v>
      </c>
      <c r="I25" s="338">
        <f>H25/'- 3 -'!D25*100</f>
        <v>0</v>
      </c>
    </row>
    <row r="26" spans="1:9" ht="13.5" customHeight="1">
      <c r="A26" s="25" t="s">
        <v>259</v>
      </c>
      <c r="B26" s="26">
        <f>SUM('- 18 -'!B26,'- 18 -'!E26,'- 19 -'!B26,'- 19 -'!E26,'- 19 -'!H26,'- 20 -'!B26)</f>
        <v>17212858</v>
      </c>
      <c r="C26" s="78">
        <f>B26/'- 3 -'!D26*100</f>
        <v>57.01288631699645</v>
      </c>
      <c r="D26" s="26">
        <f>B26/'- 7 -'!C26</f>
        <v>5408.59638648861</v>
      </c>
      <c r="E26" s="26">
        <f>SUM('- 21 -'!B26,'- 21 -'!E26,'- 21 -'!H26,'- 22 -'!B26,'- 22 -'!E26,'- 22 -'!H26,'- 23-'!B26)</f>
        <v>4263175</v>
      </c>
      <c r="F26" s="78">
        <f>E26/'- 3 -'!D26*100</f>
        <v>14.120601681862555</v>
      </c>
      <c r="G26" s="26">
        <f>E26/'- 7 -'!F26</f>
        <v>1331.6179915664532</v>
      </c>
      <c r="H26" s="26">
        <f>SUM('- 24 -'!D26,'- 24 -'!B26)</f>
        <v>111169</v>
      </c>
      <c r="I26" s="78">
        <f>H26/'- 3 -'!D26*100</f>
        <v>0.36821692010555007</v>
      </c>
    </row>
    <row r="27" spans="1:9" ht="13.5" customHeight="1">
      <c r="A27" s="331" t="s">
        <v>260</v>
      </c>
      <c r="B27" s="332">
        <f>SUM('- 18 -'!B27,'- 18 -'!E27,'- 19 -'!B27,'- 19 -'!E27,'- 19 -'!H27,'- 20 -'!B27)</f>
        <v>18263570</v>
      </c>
      <c r="C27" s="338">
        <f>B27/'- 3 -'!D27*100</f>
        <v>57.63421018035224</v>
      </c>
      <c r="D27" s="332">
        <f>B27/'- 7 -'!C27</f>
        <v>5702.838996546491</v>
      </c>
      <c r="E27" s="332">
        <f>SUM('- 21 -'!B27,'- 21 -'!E27,'- 21 -'!H27,'- 22 -'!B27,'- 22 -'!E27,'- 22 -'!H27,'- 23-'!B27)</f>
        <v>5523041</v>
      </c>
      <c r="F27" s="338">
        <f>E27/'- 3 -'!D27*100</f>
        <v>17.42901885166497</v>
      </c>
      <c r="G27" s="332">
        <f>E27/'- 7 -'!F27</f>
        <v>1673.3749628848614</v>
      </c>
      <c r="H27" s="332">
        <f>SUM('- 24 -'!D27,'- 24 -'!B27)</f>
        <v>0</v>
      </c>
      <c r="I27" s="338">
        <f>H27/'- 3 -'!D27*100</f>
        <v>0</v>
      </c>
    </row>
    <row r="28" spans="1:9" ht="13.5" customHeight="1">
      <c r="A28" s="25" t="s">
        <v>261</v>
      </c>
      <c r="B28" s="26">
        <f>SUM('- 18 -'!B28,'- 18 -'!E28,'- 19 -'!B28,'- 19 -'!E28,'- 19 -'!H28,'- 20 -'!B28)</f>
        <v>9867063</v>
      </c>
      <c r="C28" s="78">
        <f>B28/'- 3 -'!D28*100</f>
        <v>56.56411240656835</v>
      </c>
      <c r="D28" s="26">
        <f>B28/'- 7 -'!C28</f>
        <v>5180.9204515620895</v>
      </c>
      <c r="E28" s="26">
        <f>SUM('- 21 -'!B28,'- 21 -'!E28,'- 21 -'!H28,'- 22 -'!B28,'- 22 -'!E28,'- 22 -'!H28,'- 23-'!B28)</f>
        <v>2376994</v>
      </c>
      <c r="F28" s="78">
        <f>E28/'- 3 -'!D28*100</f>
        <v>13.626400865763044</v>
      </c>
      <c r="G28" s="26">
        <f>E28/'- 7 -'!F28</f>
        <v>1248.093462851142</v>
      </c>
      <c r="H28" s="26">
        <f>SUM('- 24 -'!D28,'- 24 -'!B28)</f>
        <v>0</v>
      </c>
      <c r="I28" s="78">
        <f>H28/'- 3 -'!D28*100</f>
        <v>0</v>
      </c>
    </row>
    <row r="29" spans="1:9" ht="13.5" customHeight="1">
      <c r="A29" s="331" t="s">
        <v>262</v>
      </c>
      <c r="B29" s="332">
        <f>SUM('- 18 -'!B29,'- 18 -'!E29,'- 19 -'!B29,'- 19 -'!E29,'- 19 -'!H29,'- 20 -'!B29)</f>
        <v>67104107</v>
      </c>
      <c r="C29" s="338">
        <f>B29/'- 3 -'!D29*100</f>
        <v>58.878713097853485</v>
      </c>
      <c r="D29" s="332">
        <f>B29/'- 7 -'!C29</f>
        <v>5362.965594405595</v>
      </c>
      <c r="E29" s="332">
        <f>SUM('- 21 -'!B29,'- 21 -'!E29,'- 21 -'!H29,'- 22 -'!B29,'- 22 -'!E29,'- 22 -'!H29,'- 23-'!B29)</f>
        <v>21979778</v>
      </c>
      <c r="F29" s="338">
        <f>E29/'- 3 -'!D29*100</f>
        <v>19.28557134090931</v>
      </c>
      <c r="G29" s="332">
        <f>E29/'- 7 -'!F29</f>
        <v>1747.6863992366716</v>
      </c>
      <c r="H29" s="332">
        <f>SUM('- 24 -'!D29,'- 24 -'!B29)</f>
        <v>0</v>
      </c>
      <c r="I29" s="338">
        <f>H29/'- 3 -'!D29*100</f>
        <v>0</v>
      </c>
    </row>
    <row r="30" spans="1:9" ht="13.5" customHeight="1">
      <c r="A30" s="25" t="s">
        <v>263</v>
      </c>
      <c r="B30" s="26">
        <f>SUM('- 18 -'!B30,'- 18 -'!E30,'- 19 -'!B30,'- 19 -'!E30,'- 19 -'!H30,'- 20 -'!B30)</f>
        <v>6730471</v>
      </c>
      <c r="C30" s="78">
        <f>B30/'- 3 -'!D30*100</f>
        <v>59.951769370905</v>
      </c>
      <c r="D30" s="26">
        <f>B30/'- 7 -'!C30</f>
        <v>5613.40366972477</v>
      </c>
      <c r="E30" s="26">
        <f>SUM('- 21 -'!B30,'- 21 -'!E30,'- 21 -'!H30,'- 22 -'!B30,'- 22 -'!E30,'- 22 -'!H30,'- 23-'!B30)</f>
        <v>1274910</v>
      </c>
      <c r="F30" s="78">
        <f>E30/'- 3 -'!D30*100</f>
        <v>11.356279566268167</v>
      </c>
      <c r="G30" s="26">
        <f>E30/'- 7 -'!F30</f>
        <v>1063.3110925771475</v>
      </c>
      <c r="H30" s="26">
        <f>SUM('- 24 -'!D30,'- 24 -'!B30)</f>
        <v>0</v>
      </c>
      <c r="I30" s="78">
        <f>H30/'- 3 -'!D30*100</f>
        <v>0</v>
      </c>
    </row>
    <row r="31" spans="1:9" ht="13.5" customHeight="1">
      <c r="A31" s="331" t="s">
        <v>264</v>
      </c>
      <c r="B31" s="332">
        <f>SUM('- 18 -'!B31,'- 18 -'!E31,'- 19 -'!B31,'- 19 -'!E31,'- 19 -'!H31,'- 20 -'!B31)</f>
        <v>15925016.07</v>
      </c>
      <c r="C31" s="338">
        <f>B31/'- 3 -'!D31*100</f>
        <v>57.5251053204417</v>
      </c>
      <c r="D31" s="332">
        <f>B31/'- 7 -'!C31</f>
        <v>5051.551489294211</v>
      </c>
      <c r="E31" s="332">
        <f>SUM('- 21 -'!B31,'- 21 -'!E31,'- 21 -'!H31,'- 22 -'!B31,'- 22 -'!E31,'- 22 -'!H31,'- 23-'!B31)</f>
        <v>5012672</v>
      </c>
      <c r="F31" s="338">
        <f>E31/'- 3 -'!D31*100</f>
        <v>18.10701373671073</v>
      </c>
      <c r="G31" s="332">
        <f>E31/'- 7 -'!F31</f>
        <v>1502.8247639034628</v>
      </c>
      <c r="H31" s="332">
        <f>SUM('- 24 -'!D31,'- 24 -'!B31)</f>
        <v>136991</v>
      </c>
      <c r="I31" s="338">
        <f>H31/'- 3 -'!D31*100</f>
        <v>0.49484544745910763</v>
      </c>
    </row>
    <row r="32" spans="1:9" ht="13.5" customHeight="1">
      <c r="A32" s="25" t="s">
        <v>265</v>
      </c>
      <c r="B32" s="26">
        <f>SUM('- 18 -'!B32,'- 18 -'!E32,'- 19 -'!B32,'- 19 -'!E32,'- 19 -'!H32,'- 20 -'!B32)</f>
        <v>12109909</v>
      </c>
      <c r="C32" s="78">
        <f>B32/'- 3 -'!D32*100</f>
        <v>59.92868680117418</v>
      </c>
      <c r="D32" s="26">
        <f>B32/'- 7 -'!C32</f>
        <v>5590.909048938135</v>
      </c>
      <c r="E32" s="26">
        <f>SUM('- 21 -'!B32,'- 21 -'!E32,'- 21 -'!H32,'- 22 -'!B32,'- 22 -'!E32,'- 22 -'!H32,'- 23-'!B32)</f>
        <v>2506968</v>
      </c>
      <c r="F32" s="78">
        <f>E32/'- 3 -'!D32*100</f>
        <v>12.406311235911518</v>
      </c>
      <c r="G32" s="26">
        <f>E32/'- 7 -'!F32</f>
        <v>1157.4182825484766</v>
      </c>
      <c r="H32" s="26">
        <f>SUM('- 24 -'!D32,'- 24 -'!B32)</f>
        <v>230376</v>
      </c>
      <c r="I32" s="78">
        <f>H32/'- 3 -'!D32*100</f>
        <v>1.1400689427564898</v>
      </c>
    </row>
    <row r="33" spans="1:9" ht="13.5" customHeight="1">
      <c r="A33" s="331" t="s">
        <v>266</v>
      </c>
      <c r="B33" s="332">
        <f>SUM('- 18 -'!B33,'- 18 -'!E33,'- 19 -'!B33,'- 19 -'!E33,'- 19 -'!H33,'- 20 -'!B33)</f>
        <v>13134096</v>
      </c>
      <c r="C33" s="338">
        <f>B33/'- 3 -'!D33*100</f>
        <v>57.73916551206032</v>
      </c>
      <c r="D33" s="332">
        <f>B33/'- 7 -'!C33</f>
        <v>5705.01954652072</v>
      </c>
      <c r="E33" s="332">
        <f>SUM('- 21 -'!B33,'- 21 -'!E33,'- 21 -'!H33,'- 22 -'!B33,'- 22 -'!E33,'- 22 -'!H33,'- 23-'!B33)</f>
        <v>2944575</v>
      </c>
      <c r="F33" s="338">
        <f>E33/'- 3 -'!D33*100</f>
        <v>12.944728231594699</v>
      </c>
      <c r="G33" s="332">
        <f>E33/'- 7 -'!F33</f>
        <v>1279.0265832681785</v>
      </c>
      <c r="H33" s="332">
        <f>SUM('- 24 -'!D33,'- 24 -'!B33)</f>
        <v>0</v>
      </c>
      <c r="I33" s="338">
        <f>H33/'- 3 -'!D33*100</f>
        <v>0</v>
      </c>
    </row>
    <row r="34" spans="1:9" ht="13.5" customHeight="1">
      <c r="A34" s="25" t="s">
        <v>267</v>
      </c>
      <c r="B34" s="26">
        <f>SUM('- 18 -'!B34,'- 18 -'!E34,'- 19 -'!B34,'- 19 -'!E34,'- 19 -'!H34,'- 20 -'!B34)</f>
        <v>11152433</v>
      </c>
      <c r="C34" s="78">
        <f>B34/'- 3 -'!D34*100</f>
        <v>58.03942905824378</v>
      </c>
      <c r="D34" s="26">
        <f>B34/'- 7 -'!C34</f>
        <v>5483.00540806293</v>
      </c>
      <c r="E34" s="26">
        <f>SUM('- 21 -'!B34,'- 21 -'!E34,'- 21 -'!H34,'- 22 -'!B34,'- 22 -'!E34,'- 22 -'!H34,'- 23-'!B34)</f>
        <v>2407663</v>
      </c>
      <c r="F34" s="78">
        <f>E34/'- 3 -'!D34*100</f>
        <v>12.529946235467937</v>
      </c>
      <c r="G34" s="26">
        <f>E34/'- 7 -'!F34</f>
        <v>1178.205529728407</v>
      </c>
      <c r="H34" s="26">
        <f>SUM('- 24 -'!D34,'- 24 -'!B34)</f>
        <v>0</v>
      </c>
      <c r="I34" s="78">
        <f>H34/'- 3 -'!D34*100</f>
        <v>0</v>
      </c>
    </row>
    <row r="35" spans="1:9" ht="13.5" customHeight="1">
      <c r="A35" s="331" t="s">
        <v>268</v>
      </c>
      <c r="B35" s="332">
        <f>SUM('- 18 -'!B35,'- 18 -'!E35,'- 19 -'!B35,'- 19 -'!E35,'- 19 -'!H35,'- 20 -'!B35)</f>
        <v>83080592.53999999</v>
      </c>
      <c r="C35" s="338">
        <f>B35/'- 3 -'!D35*100</f>
        <v>58.27838054324107</v>
      </c>
      <c r="D35" s="332">
        <f>B35/'- 7 -'!C35</f>
        <v>4995.525977992905</v>
      </c>
      <c r="E35" s="332">
        <f>SUM('- 21 -'!B35,'- 21 -'!E35,'- 21 -'!H35,'- 22 -'!B35,'- 22 -'!E35,'- 22 -'!H35,'- 23-'!B35)</f>
        <v>24816511</v>
      </c>
      <c r="F35" s="338">
        <f>E35/'- 3 -'!D35*100</f>
        <v>17.407989370287755</v>
      </c>
      <c r="G35" s="332">
        <f>E35/'- 7 -'!F35</f>
        <v>1476.8216496072364</v>
      </c>
      <c r="H35" s="332">
        <f>SUM('- 24 -'!D35,'- 24 -'!B35)</f>
        <v>875303</v>
      </c>
      <c r="I35" s="338">
        <f>H35/'- 3 -'!D35*100</f>
        <v>0.6139970812085946</v>
      </c>
    </row>
    <row r="36" spans="1:9" ht="13.5" customHeight="1">
      <c r="A36" s="25" t="s">
        <v>269</v>
      </c>
      <c r="B36" s="26">
        <f>SUM('- 18 -'!B36,'- 18 -'!E36,'- 19 -'!B36,'- 19 -'!E36,'- 19 -'!H36,'- 20 -'!B36)</f>
        <v>10380392</v>
      </c>
      <c r="C36" s="78">
        <f>B36/'- 3 -'!D36*100</f>
        <v>57.842954952348514</v>
      </c>
      <c r="D36" s="26">
        <f>B36/'- 7 -'!C36</f>
        <v>5372.873706004141</v>
      </c>
      <c r="E36" s="26">
        <f>SUM('- 21 -'!B36,'- 21 -'!E36,'- 21 -'!H36,'- 22 -'!B36,'- 22 -'!E36,'- 22 -'!H36,'- 23-'!B36)</f>
        <v>2387666</v>
      </c>
      <c r="F36" s="78">
        <f>E36/'- 3 -'!D36*100</f>
        <v>13.304859477296635</v>
      </c>
      <c r="G36" s="26">
        <f>E36/'- 7 -'!F36</f>
        <v>1231.3904074265085</v>
      </c>
      <c r="H36" s="26">
        <f>SUM('- 24 -'!D36,'- 24 -'!B36)</f>
        <v>128670</v>
      </c>
      <c r="I36" s="78">
        <f>H36/'- 3 -'!D36*100</f>
        <v>0.7169915176342746</v>
      </c>
    </row>
    <row r="37" spans="1:9" ht="13.5" customHeight="1">
      <c r="A37" s="331" t="s">
        <v>270</v>
      </c>
      <c r="B37" s="332">
        <f>SUM('- 18 -'!B37,'- 18 -'!E37,'- 19 -'!B37,'- 19 -'!E37,'- 19 -'!H37,'- 20 -'!B37)</f>
        <v>17008256</v>
      </c>
      <c r="C37" s="338">
        <f>B37/'- 3 -'!D37*100</f>
        <v>56.983291395562055</v>
      </c>
      <c r="D37" s="332">
        <f>B37/'- 7 -'!C37</f>
        <v>5062.583640909632</v>
      </c>
      <c r="E37" s="332">
        <f>SUM('- 21 -'!B37,'- 21 -'!E37,'- 21 -'!H37,'- 22 -'!B37,'- 22 -'!E37,'- 22 -'!H37,'- 23-'!B37)</f>
        <v>4840521</v>
      </c>
      <c r="F37" s="338">
        <f>E37/'- 3 -'!D37*100</f>
        <v>16.21734871872445</v>
      </c>
      <c r="G37" s="332">
        <f>E37/'- 7 -'!F37</f>
        <v>1440.8027741397786</v>
      </c>
      <c r="H37" s="332">
        <f>SUM('- 24 -'!D37,'- 24 -'!B37)</f>
        <v>260079</v>
      </c>
      <c r="I37" s="338">
        <f>H37/'- 3 -'!D37*100</f>
        <v>0.8713507982750484</v>
      </c>
    </row>
    <row r="38" spans="1:9" ht="13.5" customHeight="1">
      <c r="A38" s="25" t="s">
        <v>271</v>
      </c>
      <c r="B38" s="26">
        <f>SUM('- 18 -'!B38,'- 18 -'!E38,'- 19 -'!B38,'- 19 -'!E38,'- 19 -'!H38,'- 20 -'!B38)</f>
        <v>45601136</v>
      </c>
      <c r="C38" s="78">
        <f>B38/'- 3 -'!D38*100</f>
        <v>61.461561852222566</v>
      </c>
      <c r="D38" s="26">
        <f>B38/'- 7 -'!C38</f>
        <v>5229.188234619574</v>
      </c>
      <c r="E38" s="26">
        <f>SUM('- 21 -'!B38,'- 21 -'!E38,'- 21 -'!H38,'- 22 -'!B38,'- 22 -'!E38,'- 22 -'!H38,'- 23-'!B38)</f>
        <v>10833782</v>
      </c>
      <c r="F38" s="78">
        <f>E38/'- 3 -'!D38*100</f>
        <v>14.601854710077738</v>
      </c>
      <c r="G38" s="26">
        <f>E38/'- 7 -'!F38</f>
        <v>1237.2274310512191</v>
      </c>
      <c r="H38" s="26">
        <f>SUM('- 24 -'!D38,'- 24 -'!B38)</f>
        <v>283429</v>
      </c>
      <c r="I38" s="78">
        <f>H38/'- 3 -'!D38*100</f>
        <v>0.38200778625807896</v>
      </c>
    </row>
    <row r="39" spans="1:9" ht="13.5" customHeight="1">
      <c r="A39" s="331" t="s">
        <v>272</v>
      </c>
      <c r="B39" s="332">
        <f>SUM('- 18 -'!B39,'- 18 -'!E39,'- 19 -'!B39,'- 19 -'!E39,'- 19 -'!H39,'- 20 -'!B39)</f>
        <v>9592393</v>
      </c>
      <c r="C39" s="338">
        <f>B39/'- 3 -'!D39*100</f>
        <v>58.68623471403074</v>
      </c>
      <c r="D39" s="332">
        <f>B39/'- 7 -'!C39</f>
        <v>5796.007854984894</v>
      </c>
      <c r="E39" s="332">
        <f>SUM('- 21 -'!B39,'- 21 -'!E39,'- 21 -'!H39,'- 22 -'!B39,'- 22 -'!E39,'- 22 -'!H39,'- 23-'!B39)</f>
        <v>2185342</v>
      </c>
      <c r="F39" s="338">
        <f>E39/'- 3 -'!D39*100</f>
        <v>13.369916510137706</v>
      </c>
      <c r="G39" s="332">
        <f>E39/'- 7 -'!F39</f>
        <v>1320.4483383685802</v>
      </c>
      <c r="H39" s="332">
        <f>SUM('- 24 -'!D39,'- 24 -'!B39)</f>
        <v>0</v>
      </c>
      <c r="I39" s="338">
        <f>H39/'- 3 -'!D39*100</f>
        <v>0</v>
      </c>
    </row>
    <row r="40" spans="1:9" ht="13.5" customHeight="1">
      <c r="A40" s="25" t="s">
        <v>273</v>
      </c>
      <c r="B40" s="26">
        <f>SUM('- 18 -'!B40,'- 18 -'!E40,'- 19 -'!B40,'- 19 -'!E40,'- 19 -'!H40,'- 20 -'!B40)</f>
        <v>45848366</v>
      </c>
      <c r="C40" s="78">
        <f>B40/'- 3 -'!D40*100</f>
        <v>60.00033554273304</v>
      </c>
      <c r="D40" s="26">
        <f>B40/'- 7 -'!C40</f>
        <v>5362.501154996427</v>
      </c>
      <c r="E40" s="26">
        <f>SUM('- 21 -'!B40,'- 21 -'!E40,'- 21 -'!H40,'- 22 -'!B40,'- 22 -'!E40,'- 22 -'!H40,'- 23-'!B40)</f>
        <v>12146205</v>
      </c>
      <c r="F40" s="78">
        <f>E40/'- 3 -'!D40*100</f>
        <v>15.895362019462631</v>
      </c>
      <c r="G40" s="26">
        <f>E40/'- 7 -'!F40</f>
        <v>1398.309416498299</v>
      </c>
      <c r="H40" s="26">
        <f>SUM('- 24 -'!D40,'- 24 -'!B40)</f>
        <v>0</v>
      </c>
      <c r="I40" s="78">
        <f>H40/'- 3 -'!D40*100</f>
        <v>0</v>
      </c>
    </row>
    <row r="41" spans="1:9" ht="13.5" customHeight="1">
      <c r="A41" s="331" t="s">
        <v>274</v>
      </c>
      <c r="B41" s="332">
        <f>SUM('- 18 -'!B41,'- 18 -'!E41,'- 19 -'!B41,'- 19 -'!E41,'- 19 -'!H41,'- 20 -'!B41)</f>
        <v>25387501</v>
      </c>
      <c r="C41" s="338">
        <f>B41/'- 3 -'!D41*100</f>
        <v>54.46628566549324</v>
      </c>
      <c r="D41" s="332">
        <f>B41/'- 7 -'!C41</f>
        <v>5483.853763905389</v>
      </c>
      <c r="E41" s="332">
        <f>SUM('- 21 -'!B41,'- 21 -'!E41,'- 21 -'!H41,'- 22 -'!B41,'- 22 -'!E41,'- 22 -'!H41,'- 23-'!B41)</f>
        <v>7885382</v>
      </c>
      <c r="F41" s="338">
        <f>E41/'- 3 -'!D41*100</f>
        <v>16.91728022358476</v>
      </c>
      <c r="G41" s="332">
        <f>E41/'- 7 -'!F41</f>
        <v>1685.8112239444147</v>
      </c>
      <c r="H41" s="332">
        <f>SUM('- 24 -'!D41,'- 24 -'!B41)</f>
        <v>939591</v>
      </c>
      <c r="I41" s="338">
        <f>H41/'- 3 -'!D41*100</f>
        <v>2.015796348554608</v>
      </c>
    </row>
    <row r="42" spans="1:9" ht="13.5" customHeight="1">
      <c r="A42" s="25" t="s">
        <v>275</v>
      </c>
      <c r="B42" s="26">
        <f>SUM('- 18 -'!B42,'- 18 -'!E42,'- 19 -'!B42,'- 19 -'!E42,'- 19 -'!H42,'- 20 -'!B42)</f>
        <v>9574258</v>
      </c>
      <c r="C42" s="78">
        <f>B42/'- 3 -'!D42*100</f>
        <v>57.966283470252336</v>
      </c>
      <c r="D42" s="26">
        <f>B42/'- 7 -'!C42</f>
        <v>5540.658564814815</v>
      </c>
      <c r="E42" s="26">
        <f>SUM('- 21 -'!B42,'- 21 -'!E42,'- 21 -'!H42,'- 22 -'!B42,'- 22 -'!E42,'- 22 -'!H42,'- 23-'!B42)</f>
        <v>2645184</v>
      </c>
      <c r="F42" s="78">
        <f>E42/'- 3 -'!D42*100</f>
        <v>16.014973230821226</v>
      </c>
      <c r="G42" s="26">
        <f>E42/'- 7 -'!F42</f>
        <v>1530.7777777777778</v>
      </c>
      <c r="H42" s="26">
        <f>SUM('- 24 -'!D42,'- 24 -'!B42)</f>
        <v>0</v>
      </c>
      <c r="I42" s="78">
        <f>H42/'- 3 -'!D42*100</f>
        <v>0</v>
      </c>
    </row>
    <row r="43" spans="1:9" ht="13.5" customHeight="1">
      <c r="A43" s="331" t="s">
        <v>276</v>
      </c>
      <c r="B43" s="332">
        <f>SUM('- 18 -'!B43,'- 18 -'!E43,'- 19 -'!B43,'- 19 -'!E43,'- 19 -'!H43,'- 20 -'!B43)</f>
        <v>5464220</v>
      </c>
      <c r="C43" s="338">
        <f>B43/'- 3 -'!D43*100</f>
        <v>53.66403873397645</v>
      </c>
      <c r="D43" s="332">
        <f>B43/'- 7 -'!C43</f>
        <v>5015.346489215236</v>
      </c>
      <c r="E43" s="332">
        <f>SUM('- 21 -'!B43,'- 21 -'!E43,'- 21 -'!H43,'- 22 -'!B43,'- 22 -'!E43,'- 22 -'!H43,'- 23-'!B43)</f>
        <v>1688040</v>
      </c>
      <c r="F43" s="338">
        <f>E43/'- 3 -'!D43*100</f>
        <v>16.578220486089798</v>
      </c>
      <c r="G43" s="332">
        <f>E43/'- 7 -'!F43</f>
        <v>1549.3712712253327</v>
      </c>
      <c r="H43" s="332">
        <f>SUM('- 24 -'!D43,'- 24 -'!B43)</f>
        <v>167605</v>
      </c>
      <c r="I43" s="338">
        <f>H43/'- 3 -'!D43*100</f>
        <v>1.6460466840661836</v>
      </c>
    </row>
    <row r="44" spans="1:9" ht="13.5" customHeight="1">
      <c r="A44" s="25" t="s">
        <v>277</v>
      </c>
      <c r="B44" s="26">
        <f>SUM('- 18 -'!B44,'- 18 -'!E44,'- 19 -'!B44,'- 19 -'!E44,'- 19 -'!H44,'- 20 -'!B44)</f>
        <v>4252461</v>
      </c>
      <c r="C44" s="78">
        <f>B44/'- 3 -'!D44*100</f>
        <v>55.00807698019251</v>
      </c>
      <c r="D44" s="26">
        <f>B44/'- 7 -'!C44</f>
        <v>5201.787155963303</v>
      </c>
      <c r="E44" s="26">
        <f>SUM('- 21 -'!B44,'- 21 -'!E44,'- 21 -'!H44,'- 22 -'!B44,'- 22 -'!E44,'- 22 -'!H44,'- 23-'!B44)</f>
        <v>1226707</v>
      </c>
      <c r="F44" s="78">
        <f>E44/'- 3 -'!D44*100</f>
        <v>15.868174473120627</v>
      </c>
      <c r="G44" s="26">
        <f>E44/'- 7 -'!F44</f>
        <v>1500.5590214067279</v>
      </c>
      <c r="H44" s="26">
        <f>SUM('- 24 -'!D44,'- 24 -'!B44)</f>
        <v>0</v>
      </c>
      <c r="I44" s="78">
        <f>H44/'- 3 -'!D44*100</f>
        <v>0</v>
      </c>
    </row>
    <row r="45" spans="1:9" ht="13.5" customHeight="1">
      <c r="A45" s="331" t="s">
        <v>278</v>
      </c>
      <c r="B45" s="332">
        <f>SUM('- 18 -'!B45,'- 18 -'!E45,'- 19 -'!B45,'- 19 -'!E45,'- 19 -'!H45,'- 20 -'!B45)</f>
        <v>7120436.220000001</v>
      </c>
      <c r="C45" s="338">
        <f>B45/'- 3 -'!D45*100</f>
        <v>61.11331547582913</v>
      </c>
      <c r="D45" s="332">
        <f>B45/'- 7 -'!C45</f>
        <v>4843.834163265306</v>
      </c>
      <c r="E45" s="332">
        <f>SUM('- 21 -'!B45,'- 21 -'!E45,'- 21 -'!H45,'- 22 -'!B45,'- 22 -'!E45,'- 22 -'!H45,'- 23-'!B45)</f>
        <v>1329898.0000000002</v>
      </c>
      <c r="F45" s="338">
        <f>E45/'- 3 -'!D45*100</f>
        <v>11.414255182342497</v>
      </c>
      <c r="G45" s="332">
        <f>E45/'- 7 -'!F45</f>
        <v>901.0149051490516</v>
      </c>
      <c r="H45" s="332">
        <f>SUM('- 24 -'!D45,'- 24 -'!B45)</f>
        <v>325241.63</v>
      </c>
      <c r="I45" s="338">
        <f>H45/'- 3 -'!D45*100</f>
        <v>2.7914854829024636</v>
      </c>
    </row>
    <row r="46" spans="1:9" ht="13.5" customHeight="1">
      <c r="A46" s="25" t="s">
        <v>279</v>
      </c>
      <c r="B46" s="26">
        <f>SUM('- 18 -'!B46,'- 18 -'!E46,'- 19 -'!B46,'- 19 -'!E46,'- 19 -'!H46,'- 20 -'!B46)</f>
        <v>155118478</v>
      </c>
      <c r="C46" s="78">
        <f>B46/'- 3 -'!D46*100</f>
        <v>53.42145806807811</v>
      </c>
      <c r="D46" s="26">
        <f>B46/'- 7 -'!C46</f>
        <v>5360.37314258069</v>
      </c>
      <c r="E46" s="26">
        <f>SUM('- 21 -'!B46,'- 21 -'!E46,'- 21 -'!H46,'- 22 -'!B46,'- 22 -'!E46,'- 22 -'!H46,'- 23-'!B46)</f>
        <v>62298356</v>
      </c>
      <c r="F46" s="78">
        <f>E46/'- 3 -'!D46*100</f>
        <v>21.455013327066055</v>
      </c>
      <c r="G46" s="26">
        <f>E46/'- 7 -'!F46</f>
        <v>2061.0168392496776</v>
      </c>
      <c r="H46" s="26">
        <f>SUM('- 24 -'!D46,'- 24 -'!B46)</f>
        <v>266203</v>
      </c>
      <c r="I46" s="78">
        <f>H46/'- 3 -'!D46*100</f>
        <v>0.0916780037133719</v>
      </c>
    </row>
    <row r="47" spans="1:9" ht="4.5" customHeight="1">
      <c r="A47" s="27"/>
      <c r="B47" s="28"/>
      <c r="C47" s="79"/>
      <c r="D47" s="28"/>
      <c r="E47" s="28"/>
      <c r="F47" s="79"/>
      <c r="G47" s="28"/>
      <c r="H47" s="28"/>
      <c r="I47" s="79"/>
    </row>
    <row r="48" spans="1:9" ht="13.5" customHeight="1">
      <c r="A48" s="333" t="s">
        <v>280</v>
      </c>
      <c r="B48" s="334">
        <f>SUM(B11:B46)</f>
        <v>896181683.5500001</v>
      </c>
      <c r="C48" s="341">
        <f>B48/'- 3 -'!D48*100</f>
        <v>56.484153734096054</v>
      </c>
      <c r="D48" s="334">
        <f>B48/'- 7 -'!C48</f>
        <v>5244.525664575006</v>
      </c>
      <c r="E48" s="334">
        <f>SUM(E11:E46)</f>
        <v>273152586.65999997</v>
      </c>
      <c r="F48" s="341">
        <f>E48/'- 3 -'!D48*100</f>
        <v>17.216143758542486</v>
      </c>
      <c r="G48" s="334">
        <f>E48/'- 7 -'!F48</f>
        <v>1572.5311705121824</v>
      </c>
      <c r="H48" s="334">
        <f>SUM(H11:H46)</f>
        <v>6891296.399688738</v>
      </c>
      <c r="I48" s="341">
        <f>H48/'- 3 -'!D48*100</f>
        <v>0.4343416657717533</v>
      </c>
    </row>
    <row r="49" spans="1:9" ht="4.5" customHeight="1">
      <c r="A49" s="27" t="s">
        <v>32</v>
      </c>
      <c r="B49" s="28"/>
      <c r="C49" s="79"/>
      <c r="D49" s="28"/>
      <c r="E49" s="28"/>
      <c r="F49" s="79"/>
      <c r="H49" s="28"/>
      <c r="I49" s="79"/>
    </row>
    <row r="50" spans="1:9" ht="13.5" customHeight="1">
      <c r="A50" s="331" t="s">
        <v>281</v>
      </c>
      <c r="B50" s="332">
        <f>SUM('- 18 -'!B50,'- 18 -'!E50,'- 19 -'!B50,'- 19 -'!E50,'- 19 -'!H50,'- 20 -'!B50)</f>
        <v>1632397</v>
      </c>
      <c r="C50" s="338">
        <f>B50/'- 3 -'!D50*100</f>
        <v>61.928881051867236</v>
      </c>
      <c r="D50" s="332">
        <f>B50/'- 7 -'!C50</f>
        <v>7150.2277704774415</v>
      </c>
      <c r="E50" s="332">
        <f>SUM('- 21 -'!B50,'- 21 -'!E50,'- 21 -'!H50,'- 22 -'!B50,'- 22 -'!E50,'- 22 -'!H50,'- 23-'!B50)</f>
        <v>469102</v>
      </c>
      <c r="F50" s="338">
        <f>E50/'- 3 -'!D50*100</f>
        <v>17.796505359415036</v>
      </c>
      <c r="G50" s="332">
        <f>E50/'- 7 -'!F50</f>
        <v>2054.7612790188346</v>
      </c>
      <c r="H50" s="332">
        <f>SUM('- 24 -'!D50,'- 24 -'!B50)</f>
        <v>0</v>
      </c>
      <c r="I50" s="338">
        <f>H50/'- 3 -'!D50*100</f>
        <v>0</v>
      </c>
    </row>
    <row r="51" spans="1:9" ht="13.5" customHeight="1">
      <c r="A51" s="25" t="s">
        <v>282</v>
      </c>
      <c r="B51" s="26">
        <f>SUM('- 18 -'!B51,'- 18 -'!E51,'- 19 -'!B51,'- 19 -'!E51,'- 19 -'!H51,'- 20 -'!B51)</f>
        <v>4399742</v>
      </c>
      <c r="C51" s="78">
        <f>B51/'- 3 -'!D51*100</f>
        <v>43.48112941741061</v>
      </c>
      <c r="D51" s="26">
        <f>B51/'- 7 -'!C51</f>
        <v>6609.196334685294</v>
      </c>
      <c r="E51" s="26">
        <f>SUM('- 21 -'!B51,'- 21 -'!E51,'- 21 -'!H51,'- 22 -'!B51,'- 22 -'!E51,'- 22 -'!H51,'- 23-'!B51)</f>
        <v>700867</v>
      </c>
      <c r="F51" s="78">
        <f>E51/'- 3 -'!D51*100</f>
        <v>6.926426306677145</v>
      </c>
      <c r="G51" s="26">
        <f>E51/'- 7 -'!F51</f>
        <v>1052.8270992939763</v>
      </c>
      <c r="H51" s="26">
        <f>SUM('- 24 -'!D51,'- 24 -'!B51)</f>
        <v>1943490</v>
      </c>
      <c r="I51" s="78">
        <f>H51/'- 3 -'!D51*100</f>
        <v>19.206839903667838</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1"/>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ustomWidth="1"/>
  </cols>
  <sheetData>
    <row r="1" spans="1:9" ht="6.75" customHeight="1">
      <c r="A1" s="5"/>
      <c r="B1" s="6"/>
      <c r="C1" s="6"/>
      <c r="D1" s="6"/>
      <c r="E1" s="6"/>
      <c r="F1" s="6"/>
      <c r="G1" s="6"/>
      <c r="H1" s="6"/>
      <c r="I1" s="6"/>
    </row>
    <row r="2" spans="1:9" ht="15.75" customHeight="1">
      <c r="A2" s="154"/>
      <c r="B2" s="7" t="s">
        <v>525</v>
      </c>
      <c r="C2" s="8"/>
      <c r="D2" s="8"/>
      <c r="E2" s="8"/>
      <c r="F2" s="8"/>
      <c r="G2" s="81"/>
      <c r="H2" s="91"/>
      <c r="I2" s="155" t="s">
        <v>33</v>
      </c>
    </row>
    <row r="3" spans="1:9" ht="15.75" customHeight="1">
      <c r="A3" s="156"/>
      <c r="B3" s="9" t="str">
        <f>OPYEAR</f>
        <v>OPERATING FUND 2006/2007 ACTUAL</v>
      </c>
      <c r="C3" s="10"/>
      <c r="D3" s="10"/>
      <c r="E3" s="10"/>
      <c r="F3" s="10"/>
      <c r="G3" s="83"/>
      <c r="H3" s="73"/>
      <c r="I3" s="73"/>
    </row>
    <row r="4" spans="2:9" ht="15.75" customHeight="1">
      <c r="B4" s="6"/>
      <c r="C4" s="6"/>
      <c r="D4" s="6"/>
      <c r="E4" s="6"/>
      <c r="F4" s="6"/>
      <c r="G4" s="6"/>
      <c r="H4" s="6"/>
      <c r="I4" s="6"/>
    </row>
    <row r="5" spans="2:9" ht="15.75" customHeight="1">
      <c r="B5" s="6"/>
      <c r="C5" s="6"/>
      <c r="D5" s="6"/>
      <c r="E5" s="6"/>
      <c r="F5" s="6"/>
      <c r="G5" s="6"/>
      <c r="H5" s="6"/>
      <c r="I5" s="6"/>
    </row>
    <row r="6" spans="2:9" ht="15.75" customHeight="1">
      <c r="B6" s="359" t="s">
        <v>79</v>
      </c>
      <c r="C6" s="362"/>
      <c r="D6" s="359" t="s">
        <v>200</v>
      </c>
      <c r="E6" s="362"/>
      <c r="F6" s="360"/>
      <c r="G6" s="359" t="s">
        <v>455</v>
      </c>
      <c r="H6" s="362"/>
      <c r="I6" s="360"/>
    </row>
    <row r="7" spans="2:9" ht="15.75" customHeight="1">
      <c r="B7" s="345" t="s">
        <v>225</v>
      </c>
      <c r="C7" s="346"/>
      <c r="D7" s="345" t="s">
        <v>59</v>
      </c>
      <c r="E7" s="346"/>
      <c r="F7" s="347"/>
      <c r="G7" s="345" t="s">
        <v>65</v>
      </c>
      <c r="H7" s="346"/>
      <c r="I7" s="347"/>
    </row>
    <row r="8" spans="1:9" ht="15.75" customHeight="1">
      <c r="A8" s="74"/>
      <c r="B8" s="12" t="s">
        <v>32</v>
      </c>
      <c r="C8" s="158"/>
      <c r="D8" s="157"/>
      <c r="E8" s="159"/>
      <c r="F8" s="159" t="s">
        <v>89</v>
      </c>
      <c r="G8" s="157"/>
      <c r="H8" s="159"/>
      <c r="I8" s="159" t="s">
        <v>89</v>
      </c>
    </row>
    <row r="9" spans="1:9" ht="15.75" customHeight="1">
      <c r="A9" s="41" t="s">
        <v>108</v>
      </c>
      <c r="B9" s="86" t="s">
        <v>109</v>
      </c>
      <c r="C9" s="86" t="s">
        <v>110</v>
      </c>
      <c r="D9" s="86" t="s">
        <v>109</v>
      </c>
      <c r="E9" s="86" t="s">
        <v>110</v>
      </c>
      <c r="F9" s="86" t="s">
        <v>111</v>
      </c>
      <c r="G9" s="86" t="s">
        <v>109</v>
      </c>
      <c r="H9" s="86" t="s">
        <v>110</v>
      </c>
      <c r="I9" s="86" t="s">
        <v>111</v>
      </c>
    </row>
    <row r="10" ht="4.5" customHeight="1">
      <c r="A10" s="4"/>
    </row>
    <row r="11" spans="1:9" ht="13.5" customHeight="1">
      <c r="A11" s="331" t="s">
        <v>245</v>
      </c>
      <c r="B11" s="332">
        <f>SUM('- 25 -'!H11,'- 25 -'!F11,'- 25 -'!D11,'- 25 -'!B11)</f>
        <v>12514</v>
      </c>
      <c r="C11" s="338">
        <f>B11/'- 3 -'!D11*100</f>
        <v>0.10365727775535477</v>
      </c>
      <c r="D11" s="332">
        <f>SUM('- 26 -'!B11,'- 26 -'!E11,'- 26 -'!H11,'- 27 -'!B11)</f>
        <v>470949</v>
      </c>
      <c r="E11" s="338">
        <f>D11/'- 3 -'!D11*100</f>
        <v>3.901014168260075</v>
      </c>
      <c r="F11" s="332">
        <f>D11/'- 7 -'!F11</f>
        <v>323.78755586112067</v>
      </c>
      <c r="G11" s="332">
        <f>SUM('- 28 -'!B11,'- 28 -'!E11,'- 28 -'!H11,'- 29 -'!B11,'- 29 -'!E11)</f>
        <v>270551</v>
      </c>
      <c r="H11" s="338">
        <f>G11/'- 3 -'!D11*100</f>
        <v>2.2410564291185064</v>
      </c>
      <c r="I11" s="332">
        <f>G11/'- 7 -'!F11</f>
        <v>186.00962530079065</v>
      </c>
    </row>
    <row r="12" spans="1:9" ht="13.5" customHeight="1">
      <c r="A12" s="25" t="s">
        <v>246</v>
      </c>
      <c r="B12" s="26">
        <f>SUM('- 25 -'!H12,'- 25 -'!F12,'- 25 -'!D12,'- 25 -'!B12)</f>
        <v>21575</v>
      </c>
      <c r="C12" s="78">
        <f>B12/'- 3 -'!D12*100</f>
        <v>0.09808124285146853</v>
      </c>
      <c r="D12" s="26">
        <f>SUM('- 26 -'!B12,'- 26 -'!E12,'- 26 -'!H12,'- 27 -'!B12)</f>
        <v>701250</v>
      </c>
      <c r="E12" s="78">
        <f>D12/'- 3 -'!D12*100</f>
        <v>3.1879245214179517</v>
      </c>
      <c r="F12" s="26">
        <f>D12/'- 7 -'!F12</f>
        <v>292.7571566339502</v>
      </c>
      <c r="G12" s="26">
        <f>SUM('- 28 -'!B12,'- 28 -'!E12,'- 28 -'!H12,'- 29 -'!B12,'- 29 -'!E12)</f>
        <v>538581</v>
      </c>
      <c r="H12" s="78">
        <f>G12/'- 3 -'!D12*100</f>
        <v>2.448421499707382</v>
      </c>
      <c r="I12" s="26">
        <f>G12/'- 7 -'!F12</f>
        <v>224.84626335410988</v>
      </c>
    </row>
    <row r="13" spans="1:9" ht="13.5" customHeight="1">
      <c r="A13" s="331" t="s">
        <v>247</v>
      </c>
      <c r="B13" s="332">
        <f>SUM('- 25 -'!H13,'- 25 -'!F13,'- 25 -'!D13,'- 25 -'!B13)</f>
        <v>152802</v>
      </c>
      <c r="C13" s="338">
        <f>B13/'- 3 -'!D13*100</f>
        <v>0.2845835862828633</v>
      </c>
      <c r="D13" s="332">
        <f>SUM('- 26 -'!B13,'- 26 -'!E13,'- 26 -'!H13,'- 27 -'!B13)</f>
        <v>1783309</v>
      </c>
      <c r="E13" s="338">
        <f>D13/'- 3 -'!D13*100</f>
        <v>3.321294686394855</v>
      </c>
      <c r="F13" s="332">
        <f>D13/'- 7 -'!F13</f>
        <v>264.44858011418404</v>
      </c>
      <c r="G13" s="332">
        <f>SUM('- 28 -'!B13,'- 28 -'!E13,'- 28 -'!H13,'- 29 -'!B13,'- 29 -'!E13)</f>
        <v>1646607</v>
      </c>
      <c r="H13" s="338">
        <f>G13/'- 3 -'!D13*100</f>
        <v>3.066696281844915</v>
      </c>
      <c r="I13" s="332">
        <f>G13/'- 7 -'!F13</f>
        <v>244.17691109957738</v>
      </c>
    </row>
    <row r="14" spans="1:9" ht="13.5" customHeight="1">
      <c r="A14" s="25" t="s">
        <v>283</v>
      </c>
      <c r="B14" s="26">
        <f>SUM('- 25 -'!H14,'- 25 -'!F14,'- 25 -'!D14,'- 25 -'!B14)</f>
        <v>611837</v>
      </c>
      <c r="C14" s="78">
        <f>B14/'- 3 -'!D14*100</f>
        <v>1.245567971010436</v>
      </c>
      <c r="D14" s="26">
        <f>SUM('- 26 -'!B14,'- 26 -'!E14,'- 26 -'!H14,'- 27 -'!B14)</f>
        <v>1753877</v>
      </c>
      <c r="E14" s="78">
        <f>D14/'- 3 -'!D14*100</f>
        <v>3.570514722535365</v>
      </c>
      <c r="F14" s="26">
        <f>D14/'- 7 -'!F14</f>
        <v>374.6799829096347</v>
      </c>
      <c r="G14" s="26">
        <f>SUM('- 28 -'!B14,'- 28 -'!E14,'- 28 -'!H14,'- 29 -'!B14,'- 29 -'!E14)</f>
        <v>1427197</v>
      </c>
      <c r="H14" s="78">
        <f>G14/'- 3 -'!D14*100</f>
        <v>2.9054648076565837</v>
      </c>
      <c r="I14" s="26">
        <f>G14/'- 7 -'!F14</f>
        <v>304.89147618030336</v>
      </c>
    </row>
    <row r="15" spans="1:9" ht="13.5" customHeight="1">
      <c r="A15" s="331" t="s">
        <v>248</v>
      </c>
      <c r="B15" s="332">
        <f>SUM('- 25 -'!H15,'- 25 -'!F15,'- 25 -'!D15,'- 25 -'!B15)</f>
        <v>193919</v>
      </c>
      <c r="C15" s="338">
        <f>B15/'- 3 -'!D15*100</f>
        <v>1.3712871829739448</v>
      </c>
      <c r="D15" s="332">
        <f>SUM('- 26 -'!B15,'- 26 -'!E15,'- 26 -'!H15,'- 27 -'!B15)</f>
        <v>546561</v>
      </c>
      <c r="E15" s="338">
        <f>D15/'- 3 -'!D15*100</f>
        <v>3.864975036037842</v>
      </c>
      <c r="F15" s="332">
        <f>D15/'- 7 -'!F15</f>
        <v>336.3452307692308</v>
      </c>
      <c r="G15" s="332">
        <f>SUM('- 28 -'!B15,'- 28 -'!E15,'- 28 -'!H15,'- 29 -'!B15,'- 29 -'!E15)</f>
        <v>428169</v>
      </c>
      <c r="H15" s="338">
        <f>G15/'- 3 -'!D15*100</f>
        <v>3.027772739374538</v>
      </c>
      <c r="I15" s="332">
        <f>G15/'- 7 -'!F15</f>
        <v>263.4886153846154</v>
      </c>
    </row>
    <row r="16" spans="1:9" ht="13.5" customHeight="1">
      <c r="A16" s="25" t="s">
        <v>249</v>
      </c>
      <c r="B16" s="26">
        <f>SUM('- 25 -'!H16,'- 25 -'!F16,'- 25 -'!D16,'- 25 -'!B16)</f>
        <v>10750</v>
      </c>
      <c r="C16" s="78">
        <f>B16/'- 3 -'!D16*100</f>
        <v>0.09669497676081927</v>
      </c>
      <c r="D16" s="26">
        <f>SUM('- 26 -'!B16,'- 26 -'!E16,'- 26 -'!H16,'- 27 -'!B16)</f>
        <v>550663</v>
      </c>
      <c r="E16" s="78">
        <f>D16/'- 3 -'!D16*100</f>
        <v>4.953148464004002</v>
      </c>
      <c r="F16" s="26">
        <f>D16/'- 7 -'!F16</f>
        <v>494.5334530758868</v>
      </c>
      <c r="G16" s="26">
        <f>SUM('- 28 -'!B16,'- 28 -'!E16,'- 28 -'!H16,'- 29 -'!B16,'- 29 -'!E16)</f>
        <v>293449</v>
      </c>
      <c r="H16" s="78">
        <f>G16/'- 3 -'!D16*100</f>
        <v>2.6395389986498285</v>
      </c>
      <c r="I16" s="26">
        <f>G16/'- 7 -'!F16</f>
        <v>263.5374943870678</v>
      </c>
    </row>
    <row r="17" spans="1:9" ht="13.5" customHeight="1">
      <c r="A17" s="331" t="s">
        <v>250</v>
      </c>
      <c r="B17" s="332">
        <f>SUM('- 25 -'!H17,'- 25 -'!F17,'- 25 -'!D17,'- 25 -'!B17)</f>
        <v>122903</v>
      </c>
      <c r="C17" s="338">
        <f>B17/'- 3 -'!D17*100</f>
        <v>0.9202474888676359</v>
      </c>
      <c r="D17" s="332">
        <f>SUM('- 26 -'!B17,'- 26 -'!E17,'- 26 -'!H17,'- 27 -'!B17)</f>
        <v>501311</v>
      </c>
      <c r="E17" s="338">
        <f>D17/'- 3 -'!D17*100</f>
        <v>3.753612107855165</v>
      </c>
      <c r="F17" s="332">
        <f>D17/'- 7 -'!F17</f>
        <v>343.28980063000137</v>
      </c>
      <c r="G17" s="332">
        <f>SUM('- 28 -'!B17,'- 28 -'!E17,'- 28 -'!H17,'- 29 -'!B17,'- 29 -'!E17)</f>
        <v>339542</v>
      </c>
      <c r="H17" s="338">
        <f>G17/'- 3 -'!D17*100</f>
        <v>2.5423518780265315</v>
      </c>
      <c r="I17" s="332">
        <f>G17/'- 7 -'!F17</f>
        <v>232.51296198469998</v>
      </c>
    </row>
    <row r="18" spans="1:9" ht="13.5" customHeight="1">
      <c r="A18" s="25" t="s">
        <v>251</v>
      </c>
      <c r="B18" s="26">
        <f>SUM('- 25 -'!H18,'- 25 -'!F18,'- 25 -'!D18,'- 25 -'!B18)</f>
        <v>1597243</v>
      </c>
      <c r="C18" s="78">
        <f>B18/'- 3 -'!D18*100</f>
        <v>1.836156315094886</v>
      </c>
      <c r="D18" s="26">
        <f>SUM('- 26 -'!B18,'- 26 -'!E18,'- 26 -'!H18,'- 27 -'!B18)</f>
        <v>5625844</v>
      </c>
      <c r="E18" s="78">
        <f>D18/'- 3 -'!D18*100</f>
        <v>6.467349669611121</v>
      </c>
      <c r="F18" s="26">
        <f>D18/'- 7 -'!F18</f>
        <v>983.7455410225921</v>
      </c>
      <c r="G18" s="26">
        <f>SUM('- 28 -'!B18,'- 28 -'!E18,'- 28 -'!H18,'- 29 -'!B18,'- 29 -'!E18)</f>
        <v>4703348</v>
      </c>
      <c r="H18" s="78">
        <f>G18/'- 3 -'!D18*100</f>
        <v>5.406868042175739</v>
      </c>
      <c r="I18" s="26">
        <f>G18/'- 7 -'!F18</f>
        <v>822.436175421417</v>
      </c>
    </row>
    <row r="19" spans="1:9" ht="13.5" customHeight="1">
      <c r="A19" s="331" t="s">
        <v>252</v>
      </c>
      <c r="B19" s="332">
        <f>SUM('- 25 -'!H19,'- 25 -'!F19,'- 25 -'!D19,'- 25 -'!B19)</f>
        <v>25087</v>
      </c>
      <c r="C19" s="338">
        <f>B19/'- 3 -'!D19*100</f>
        <v>0.10130692679398406</v>
      </c>
      <c r="D19" s="332">
        <f>SUM('- 26 -'!B19,'- 26 -'!E19,'- 26 -'!H19,'- 27 -'!B19)</f>
        <v>827280</v>
      </c>
      <c r="E19" s="338">
        <f>D19/'- 3 -'!D19*100</f>
        <v>3.3407419937867076</v>
      </c>
      <c r="F19" s="332">
        <f>D19/'- 7 -'!F19</f>
        <v>240.45621806386356</v>
      </c>
      <c r="G19" s="332">
        <f>SUM('- 28 -'!B19,'- 28 -'!E19,'- 28 -'!H19,'- 29 -'!B19,'- 29 -'!E19)</f>
        <v>674257</v>
      </c>
      <c r="H19" s="338">
        <f>G19/'- 3 -'!D19*100</f>
        <v>2.7228008346686057</v>
      </c>
      <c r="I19" s="332">
        <f>G19/'- 7 -'!F19</f>
        <v>195.9787354016614</v>
      </c>
    </row>
    <row r="20" spans="1:9" ht="13.5" customHeight="1">
      <c r="A20" s="25" t="s">
        <v>253</v>
      </c>
      <c r="B20" s="26">
        <f>SUM('- 25 -'!H20,'- 25 -'!F20,'- 25 -'!D20,'- 25 -'!B20)</f>
        <v>146528</v>
      </c>
      <c r="C20" s="78">
        <f>B20/'- 3 -'!D20*100</f>
        <v>0.3176438718977435</v>
      </c>
      <c r="D20" s="26">
        <f>SUM('- 26 -'!B20,'- 26 -'!E20,'- 26 -'!H20,'- 27 -'!B20)</f>
        <v>1282669</v>
      </c>
      <c r="E20" s="78">
        <f>D20/'- 3 -'!D20*100</f>
        <v>2.780574003079321</v>
      </c>
      <c r="F20" s="26">
        <f>D20/'- 7 -'!F20</f>
        <v>188.9055964653903</v>
      </c>
      <c r="G20" s="26">
        <f>SUM('- 28 -'!B20,'- 28 -'!E20,'- 28 -'!H20,'- 29 -'!B20,'- 29 -'!E20)</f>
        <v>1360431</v>
      </c>
      <c r="H20" s="78">
        <f>G20/'- 3 -'!D20*100</f>
        <v>2.94914671796325</v>
      </c>
      <c r="I20" s="26">
        <f>G20/'- 7 -'!F20</f>
        <v>200.3580265095729</v>
      </c>
    </row>
    <row r="21" spans="1:9" ht="13.5" customHeight="1">
      <c r="A21" s="331" t="s">
        <v>254</v>
      </c>
      <c r="B21" s="332">
        <f>SUM('- 25 -'!H21,'- 25 -'!F21,'- 25 -'!D21,'- 25 -'!B21)</f>
        <v>96858</v>
      </c>
      <c r="C21" s="338">
        <f>B21/'- 3 -'!D21*100</f>
        <v>0.36604432304021844</v>
      </c>
      <c r="D21" s="332">
        <f>SUM('- 26 -'!B21,'- 26 -'!E21,'- 26 -'!H21,'- 27 -'!B21)</f>
        <v>980439</v>
      </c>
      <c r="E21" s="338">
        <f>D21/'- 3 -'!D21*100</f>
        <v>3.7052605880487803</v>
      </c>
      <c r="F21" s="332">
        <f>D21/'- 7 -'!F21</f>
        <v>314.2936368007694</v>
      </c>
      <c r="G21" s="332">
        <f>SUM('- 28 -'!B21,'- 28 -'!E21,'- 28 -'!H21,'- 29 -'!B21,'- 29 -'!E21)</f>
        <v>981032</v>
      </c>
      <c r="H21" s="338">
        <f>G21/'- 3 -'!D21*100</f>
        <v>3.7075016448903715</v>
      </c>
      <c r="I21" s="332">
        <f>G21/'- 7 -'!F21</f>
        <v>314.4837313672063</v>
      </c>
    </row>
    <row r="22" spans="1:9" ht="13.5" customHeight="1">
      <c r="A22" s="25" t="s">
        <v>255</v>
      </c>
      <c r="B22" s="26">
        <f>SUM('- 25 -'!H22,'- 25 -'!F22,'- 25 -'!D22,'- 25 -'!B22)</f>
        <v>59373</v>
      </c>
      <c r="C22" s="78">
        <f>B22/'- 3 -'!D22*100</f>
        <v>0.3962817739417819</v>
      </c>
      <c r="D22" s="26">
        <f>SUM('- 26 -'!B22,'- 26 -'!E22,'- 26 -'!H22,'- 27 -'!B22)</f>
        <v>557741</v>
      </c>
      <c r="E22" s="78">
        <f>D22/'- 3 -'!D22*100</f>
        <v>3.722611168040412</v>
      </c>
      <c r="F22" s="26">
        <f>D22/'- 7 -'!F22</f>
        <v>342.9297835710772</v>
      </c>
      <c r="G22" s="26">
        <f>SUM('- 28 -'!B22,'- 28 -'!E22,'- 28 -'!H22,'- 29 -'!B22,'- 29 -'!E22)</f>
        <v>435010</v>
      </c>
      <c r="H22" s="78">
        <f>G22/'- 3 -'!D22*100</f>
        <v>2.9034499601235333</v>
      </c>
      <c r="I22" s="26">
        <f>G22/'- 7 -'!F22</f>
        <v>267.46802754549924</v>
      </c>
    </row>
    <row r="23" spans="1:9" ht="13.5" customHeight="1">
      <c r="A23" s="331" t="s">
        <v>256</v>
      </c>
      <c r="B23" s="332">
        <f>SUM('- 25 -'!H23,'- 25 -'!F23,'- 25 -'!D23,'- 25 -'!B23)</f>
        <v>241663</v>
      </c>
      <c r="C23" s="338">
        <f>B23/'- 3 -'!D23*100</f>
        <v>1.9296631116409557</v>
      </c>
      <c r="D23" s="332">
        <f>SUM('- 26 -'!B23,'- 26 -'!E23,'- 26 -'!H23,'- 27 -'!B23)</f>
        <v>434448</v>
      </c>
      <c r="E23" s="338">
        <f>D23/'- 3 -'!D23*100</f>
        <v>3.469038617935679</v>
      </c>
      <c r="F23" s="332">
        <f>D23/'- 7 -'!F23</f>
        <v>333.6774193548387</v>
      </c>
      <c r="G23" s="332">
        <f>SUM('- 28 -'!B23,'- 28 -'!E23,'- 28 -'!H23,'- 29 -'!B23,'- 29 -'!E23)</f>
        <v>399280</v>
      </c>
      <c r="H23" s="338">
        <f>G23/'- 3 -'!D23*100</f>
        <v>3.188224458092471</v>
      </c>
      <c r="I23" s="332">
        <f>G23/'- 7 -'!F23</f>
        <v>306.6666666666667</v>
      </c>
    </row>
    <row r="24" spans="1:9" ht="13.5" customHeight="1">
      <c r="A24" s="25" t="s">
        <v>257</v>
      </c>
      <c r="B24" s="26">
        <f>SUM('- 25 -'!H24,'- 25 -'!F24,'- 25 -'!D24,'- 25 -'!B24)</f>
        <v>342549</v>
      </c>
      <c r="C24" s="78">
        <f>B24/'- 3 -'!D24*100</f>
        <v>0.8568290185010574</v>
      </c>
      <c r="D24" s="26">
        <f>SUM('- 26 -'!B24,'- 26 -'!E24,'- 26 -'!H24,'- 27 -'!B24)</f>
        <v>1210571</v>
      </c>
      <c r="E24" s="78">
        <f>D24/'- 3 -'!D24*100</f>
        <v>3.028040840159637</v>
      </c>
      <c r="F24" s="26">
        <f>D24/'- 7 -'!F24</f>
        <v>265.79668459765065</v>
      </c>
      <c r="G24" s="26">
        <f>SUM('- 28 -'!B24,'- 28 -'!E24,'- 28 -'!H24,'- 29 -'!B24,'- 29 -'!E24)</f>
        <v>1106032</v>
      </c>
      <c r="H24" s="78">
        <f>G24/'- 3 -'!D24*100</f>
        <v>2.766554019981846</v>
      </c>
      <c r="I24" s="26">
        <f>G24/'- 7 -'!F24</f>
        <v>242.84378087605666</v>
      </c>
    </row>
    <row r="25" spans="1:9" ht="13.5" customHeight="1">
      <c r="A25" s="331" t="s">
        <v>258</v>
      </c>
      <c r="B25" s="332">
        <f>SUM('- 25 -'!H25,'- 25 -'!F25,'- 25 -'!D25,'- 25 -'!B25)</f>
        <v>781257</v>
      </c>
      <c r="C25" s="338">
        <f>B25/'- 3 -'!D25*100</f>
        <v>0.627296597578558</v>
      </c>
      <c r="D25" s="332">
        <f>SUM('- 26 -'!B25,'- 26 -'!E25,'- 26 -'!H25,'- 27 -'!B25)</f>
        <v>4284250</v>
      </c>
      <c r="E25" s="338">
        <f>D25/'- 3 -'!D25*100</f>
        <v>3.4399633515935695</v>
      </c>
      <c r="F25" s="332">
        <f>D25/'- 7 -'!F25</f>
        <v>296.8473930365495</v>
      </c>
      <c r="G25" s="332">
        <f>SUM('- 28 -'!B25,'- 28 -'!E25,'- 28 -'!H25,'- 29 -'!B25,'- 29 -'!E25)</f>
        <v>6031683</v>
      </c>
      <c r="H25" s="338">
        <f>G25/'- 3 -'!D25*100</f>
        <v>4.843034012587958</v>
      </c>
      <c r="I25" s="332">
        <f>G25/'- 7 -'!F25</f>
        <v>417.9236445522259</v>
      </c>
    </row>
    <row r="26" spans="1:9" ht="13.5" customHeight="1">
      <c r="A26" s="25" t="s">
        <v>259</v>
      </c>
      <c r="B26" s="26">
        <f>SUM('- 25 -'!H26,'- 25 -'!F26,'- 25 -'!D26,'- 25 -'!B26)</f>
        <v>59055</v>
      </c>
      <c r="C26" s="78">
        <f>B26/'- 3 -'!D26*100</f>
        <v>0.1956035425058538</v>
      </c>
      <c r="D26" s="26">
        <f>SUM('- 26 -'!B26,'- 26 -'!E26,'- 26 -'!H26,'- 27 -'!B26)</f>
        <v>911447</v>
      </c>
      <c r="E26" s="78">
        <f>D26/'- 3 -'!D26*100</f>
        <v>3.0189190078119195</v>
      </c>
      <c r="F26" s="26">
        <f>D26/'- 7 -'!F26</f>
        <v>284.69373731063564</v>
      </c>
      <c r="G26" s="26">
        <f>SUM('- 28 -'!B26,'- 28 -'!E26,'- 28 -'!H26,'- 29 -'!B26,'- 29 -'!E26)</f>
        <v>1022874</v>
      </c>
      <c r="H26" s="78">
        <f>G26/'- 3 -'!D26*100</f>
        <v>3.387990482383078</v>
      </c>
      <c r="I26" s="26">
        <f>G26/'- 7 -'!F26</f>
        <v>319.49836014368265</v>
      </c>
    </row>
    <row r="27" spans="1:9" ht="13.5" customHeight="1">
      <c r="A27" s="331" t="s">
        <v>260</v>
      </c>
      <c r="B27" s="332">
        <f>SUM('- 25 -'!H27,'- 25 -'!F27,'- 25 -'!D27,'- 25 -'!B27)</f>
        <v>163585</v>
      </c>
      <c r="C27" s="338">
        <f>B27/'- 3 -'!D27*100</f>
        <v>0.5162239514154638</v>
      </c>
      <c r="D27" s="332">
        <f>SUM('- 26 -'!B27,'- 26 -'!E27,'- 26 -'!H27,'- 27 -'!B27)</f>
        <v>1511860</v>
      </c>
      <c r="E27" s="338">
        <f>D27/'- 3 -'!D27*100</f>
        <v>4.77096520577671</v>
      </c>
      <c r="F27" s="332">
        <f>D27/'- 7 -'!F27</f>
        <v>458.0644379404582</v>
      </c>
      <c r="G27" s="332">
        <f>SUM('- 28 -'!B27,'- 28 -'!E27,'- 28 -'!H27,'- 29 -'!B27,'- 29 -'!E27)</f>
        <v>1395006</v>
      </c>
      <c r="H27" s="338">
        <f>G27/'- 3 -'!D27*100</f>
        <v>4.402209918808451</v>
      </c>
      <c r="I27" s="332">
        <f>G27/'- 7 -'!F27</f>
        <v>422.65992837535674</v>
      </c>
    </row>
    <row r="28" spans="1:9" ht="13.5" customHeight="1">
      <c r="A28" s="25" t="s">
        <v>261</v>
      </c>
      <c r="B28" s="26">
        <f>SUM('- 25 -'!H28,'- 25 -'!F28,'- 25 -'!D28,'- 25 -'!B28)</f>
        <v>15225</v>
      </c>
      <c r="C28" s="78">
        <f>B28/'- 3 -'!D28*100</f>
        <v>0.08727912362473038</v>
      </c>
      <c r="D28" s="26">
        <f>SUM('- 26 -'!B28,'- 26 -'!E28,'- 26 -'!H28,'- 27 -'!B28)</f>
        <v>664568</v>
      </c>
      <c r="E28" s="78">
        <f>D28/'- 3 -'!D28*100</f>
        <v>3.80971511520787</v>
      </c>
      <c r="F28" s="26">
        <f>D28/'- 7 -'!F28</f>
        <v>348.9461800997637</v>
      </c>
      <c r="G28" s="26">
        <f>SUM('- 28 -'!B28,'- 28 -'!E28,'- 28 -'!H28,'- 29 -'!B28,'- 29 -'!E28)</f>
        <v>420715</v>
      </c>
      <c r="H28" s="78">
        <f>G28/'- 3 -'!D28*100</f>
        <v>2.4117987846159896</v>
      </c>
      <c r="I28" s="26">
        <f>G28/'- 7 -'!F28</f>
        <v>220.90574954056183</v>
      </c>
    </row>
    <row r="29" spans="1:9" ht="13.5" customHeight="1">
      <c r="A29" s="331" t="s">
        <v>262</v>
      </c>
      <c r="B29" s="332">
        <f>SUM('- 25 -'!H29,'- 25 -'!F29,'- 25 -'!D29,'- 25 -'!B29)</f>
        <v>567894</v>
      </c>
      <c r="C29" s="338">
        <f>B29/'- 3 -'!D29*100</f>
        <v>0.4982834790721887</v>
      </c>
      <c r="D29" s="332">
        <f>SUM('- 26 -'!B29,'- 26 -'!E29,'- 26 -'!H29,'- 27 -'!B29)</f>
        <v>3833871</v>
      </c>
      <c r="E29" s="338">
        <f>D29/'- 3 -'!D29*100</f>
        <v>3.363928092555954</v>
      </c>
      <c r="F29" s="332">
        <f>D29/'- 7 -'!F29</f>
        <v>304.8440345088061</v>
      </c>
      <c r="G29" s="332">
        <f>SUM('- 28 -'!B29,'- 28 -'!E29,'- 28 -'!H29,'- 29 -'!B29,'- 29 -'!E29)</f>
        <v>5177542</v>
      </c>
      <c r="H29" s="338">
        <f>G29/'- 3 -'!D29*100</f>
        <v>4.542896457441667</v>
      </c>
      <c r="I29" s="332">
        <f>G29/'- 7 -'!F29</f>
        <v>411.68385480857154</v>
      </c>
    </row>
    <row r="30" spans="1:9" ht="13.5" customHeight="1">
      <c r="A30" s="25" t="s">
        <v>263</v>
      </c>
      <c r="B30" s="26">
        <f>SUM('- 25 -'!H30,'- 25 -'!F30,'- 25 -'!D30,'- 25 -'!B30)</f>
        <v>12226</v>
      </c>
      <c r="C30" s="78">
        <f>B30/'- 3 -'!D30*100</f>
        <v>0.10890327472307428</v>
      </c>
      <c r="D30" s="26">
        <f>SUM('- 26 -'!B30,'- 26 -'!E30,'- 26 -'!H30,'- 27 -'!B30)</f>
        <v>443969</v>
      </c>
      <c r="E30" s="78">
        <f>D30/'- 3 -'!D30*100</f>
        <v>3.954660393876048</v>
      </c>
      <c r="F30" s="26">
        <f>D30/'- 7 -'!F30</f>
        <v>370.28273561301086</v>
      </c>
      <c r="G30" s="26">
        <f>SUM('- 28 -'!B30,'- 28 -'!E30,'- 28 -'!H30,'- 29 -'!B30,'- 29 -'!E30)</f>
        <v>331863</v>
      </c>
      <c r="H30" s="78">
        <f>G30/'- 3 -'!D30*100</f>
        <v>2.9560745509098316</v>
      </c>
      <c r="I30" s="26">
        <f>G30/'- 7 -'!F30</f>
        <v>276.78315262718934</v>
      </c>
    </row>
    <row r="31" spans="1:9" ht="13.5" customHeight="1">
      <c r="A31" s="331" t="s">
        <v>264</v>
      </c>
      <c r="B31" s="332">
        <f>SUM('- 25 -'!H31,'- 25 -'!F31,'- 25 -'!D31,'- 25 -'!B31)</f>
        <v>32656</v>
      </c>
      <c r="C31" s="338">
        <f>B31/'- 3 -'!D31*100</f>
        <v>0.11796156632351482</v>
      </c>
      <c r="D31" s="332">
        <f>SUM('- 26 -'!B31,'- 26 -'!E31,'- 26 -'!H31,'- 27 -'!B31)</f>
        <v>870440</v>
      </c>
      <c r="E31" s="338">
        <f>D31/'- 3 -'!D31*100</f>
        <v>3.1442450327854066</v>
      </c>
      <c r="F31" s="332">
        <f>D31/'- 7 -'!F31</f>
        <v>260.9623744566032</v>
      </c>
      <c r="G31" s="332">
        <f>SUM('- 28 -'!B31,'- 28 -'!E31,'- 28 -'!H31,'- 29 -'!B31,'- 29 -'!E31)</f>
        <v>905916</v>
      </c>
      <c r="H31" s="338">
        <f>G31/'- 3 -'!D31*100</f>
        <v>3.2723931380920273</v>
      </c>
      <c r="I31" s="332">
        <f>G31/'- 7 -'!F31</f>
        <v>271.5982611302653</v>
      </c>
    </row>
    <row r="32" spans="1:9" ht="13.5" customHeight="1">
      <c r="A32" s="25" t="s">
        <v>265</v>
      </c>
      <c r="B32" s="26">
        <f>SUM('- 25 -'!H32,'- 25 -'!F32,'- 25 -'!D32,'- 25 -'!B32)</f>
        <v>25073</v>
      </c>
      <c r="C32" s="78">
        <f>B32/'- 3 -'!D32*100</f>
        <v>0.12407954214733077</v>
      </c>
      <c r="D32" s="26">
        <f>SUM('- 26 -'!B32,'- 26 -'!E32,'- 26 -'!H32,'- 27 -'!B32)</f>
        <v>797240</v>
      </c>
      <c r="E32" s="78">
        <f>D32/'- 3 -'!D32*100</f>
        <v>3.9453266135499527</v>
      </c>
      <c r="F32" s="26">
        <f>D32/'- 7 -'!F32</f>
        <v>368.0701754385965</v>
      </c>
      <c r="G32" s="26">
        <f>SUM('- 28 -'!B32,'- 28 -'!E32,'- 28 -'!H32,'- 29 -'!B32,'- 29 -'!E32)</f>
        <v>400989</v>
      </c>
      <c r="H32" s="78">
        <f>G32/'- 3 -'!D32*100</f>
        <v>1.9843868514384404</v>
      </c>
      <c r="I32" s="26">
        <f>G32/'- 7 -'!F32</f>
        <v>185.12880886426592</v>
      </c>
    </row>
    <row r="33" spans="1:9" ht="13.5" customHeight="1">
      <c r="A33" s="331" t="s">
        <v>266</v>
      </c>
      <c r="B33" s="332">
        <f>SUM('- 25 -'!H33,'- 25 -'!F33,'- 25 -'!D33,'- 25 -'!B33)</f>
        <v>18115</v>
      </c>
      <c r="C33" s="338">
        <f>B33/'- 3 -'!D33*100</f>
        <v>0.07963585641912262</v>
      </c>
      <c r="D33" s="332">
        <f>SUM('- 26 -'!B33,'- 26 -'!E33,'- 26 -'!H33,'- 27 -'!B33)</f>
        <v>933388</v>
      </c>
      <c r="E33" s="338">
        <f>D33/'- 3 -'!D33*100</f>
        <v>4.103293003109689</v>
      </c>
      <c r="F33" s="332">
        <f>D33/'- 7 -'!F33</f>
        <v>405.43306402571454</v>
      </c>
      <c r="G33" s="332">
        <f>SUM('- 28 -'!B33,'- 28 -'!E33,'- 28 -'!H33,'- 29 -'!B33,'- 29 -'!E33)</f>
        <v>520964</v>
      </c>
      <c r="H33" s="338">
        <f>G33/'- 3 -'!D33*100</f>
        <v>2.2902243612217386</v>
      </c>
      <c r="I33" s="332">
        <f>G33/'- 7 -'!F33</f>
        <v>226.2896360003475</v>
      </c>
    </row>
    <row r="34" spans="1:9" ht="13.5" customHeight="1">
      <c r="A34" s="25" t="s">
        <v>267</v>
      </c>
      <c r="B34" s="26">
        <f>SUM('- 25 -'!H34,'- 25 -'!F34,'- 25 -'!D34,'- 25 -'!B34)</f>
        <v>20014</v>
      </c>
      <c r="C34" s="78">
        <f>B34/'- 3 -'!D34*100</f>
        <v>0.1041567461711441</v>
      </c>
      <c r="D34" s="26">
        <f>SUM('- 26 -'!B34,'- 26 -'!E34,'- 26 -'!H34,'- 27 -'!B34)</f>
        <v>783211</v>
      </c>
      <c r="E34" s="78">
        <f>D34/'- 3 -'!D34*100</f>
        <v>4.075982278677323</v>
      </c>
      <c r="F34" s="26">
        <f>D34/'- 7 -'!F34</f>
        <v>383.26939075116223</v>
      </c>
      <c r="G34" s="26">
        <f>SUM('- 28 -'!B34,'- 28 -'!E34,'- 28 -'!H34,'- 29 -'!B34,'- 29 -'!E34)</f>
        <v>426366</v>
      </c>
      <c r="H34" s="78">
        <f>G34/'- 3 -'!D34*100</f>
        <v>2.2188915378238248</v>
      </c>
      <c r="I34" s="26">
        <f>G34/'- 7 -'!F34</f>
        <v>208.64497186200146</v>
      </c>
    </row>
    <row r="35" spans="1:9" ht="13.5" customHeight="1">
      <c r="A35" s="331" t="s">
        <v>268</v>
      </c>
      <c r="B35" s="332">
        <f>SUM('- 25 -'!H35,'- 25 -'!F35,'- 25 -'!D35,'- 25 -'!B35)</f>
        <v>869540</v>
      </c>
      <c r="C35" s="338">
        <f>B35/'- 3 -'!D35*100</f>
        <v>0.6099545208849066</v>
      </c>
      <c r="D35" s="332">
        <f>SUM('- 26 -'!B35,'- 26 -'!E35,'- 26 -'!H35,'- 27 -'!B35)</f>
        <v>4121223</v>
      </c>
      <c r="E35" s="338">
        <f>D35/'- 3 -'!D35*100</f>
        <v>2.8909062267691623</v>
      </c>
      <c r="F35" s="332">
        <f>D35/'- 7 -'!F35</f>
        <v>245.2524994049036</v>
      </c>
      <c r="G35" s="332">
        <f>SUM('- 28 -'!B35,'- 28 -'!E35,'- 28 -'!H35,'- 29 -'!B35,'- 29 -'!E35)</f>
        <v>6165372</v>
      </c>
      <c r="H35" s="338">
        <f>G35/'- 3 -'!D35*100</f>
        <v>4.324811422519055</v>
      </c>
      <c r="I35" s="332">
        <f>G35/'- 7 -'!F35</f>
        <v>366.8990716496072</v>
      </c>
    </row>
    <row r="36" spans="1:9" ht="13.5" customHeight="1">
      <c r="A36" s="25" t="s">
        <v>269</v>
      </c>
      <c r="B36" s="26">
        <f>SUM('- 25 -'!H36,'- 25 -'!F36,'- 25 -'!D36,'- 25 -'!B36)</f>
        <v>17074</v>
      </c>
      <c r="C36" s="78">
        <f>B36/'- 3 -'!D36*100</f>
        <v>0.095141938074824</v>
      </c>
      <c r="D36" s="26">
        <f>SUM('- 26 -'!B36,'- 26 -'!E36,'- 26 -'!H36,'- 27 -'!B36)</f>
        <v>693800</v>
      </c>
      <c r="E36" s="78">
        <f>D36/'- 3 -'!D36*100</f>
        <v>3.8660815647366107</v>
      </c>
      <c r="F36" s="26">
        <f>D36/'- 7 -'!F36</f>
        <v>357.81330582774626</v>
      </c>
      <c r="G36" s="26">
        <f>SUM('- 28 -'!B36,'- 28 -'!E36,'- 28 -'!H36,'- 29 -'!B36,'- 29 -'!E36)</f>
        <v>589954</v>
      </c>
      <c r="H36" s="78">
        <f>G36/'- 3 -'!D36*100</f>
        <v>3.2874175316267262</v>
      </c>
      <c r="I36" s="26">
        <f>G36/'- 7 -'!F36</f>
        <v>304.2568334192883</v>
      </c>
    </row>
    <row r="37" spans="1:9" ht="13.5" customHeight="1">
      <c r="A37" s="331" t="s">
        <v>270</v>
      </c>
      <c r="B37" s="332">
        <f>SUM('- 25 -'!H37,'- 25 -'!F37,'- 25 -'!D37,'- 25 -'!B37)</f>
        <v>20956</v>
      </c>
      <c r="C37" s="338">
        <f>B37/'- 3 -'!D37*100</f>
        <v>0.07020954144183851</v>
      </c>
      <c r="D37" s="332">
        <f>SUM('- 26 -'!B37,'- 26 -'!E37,'- 26 -'!H37,'- 27 -'!B37)</f>
        <v>1218143</v>
      </c>
      <c r="E37" s="338">
        <f>D37/'- 3 -'!D37*100</f>
        <v>4.0811825463153975</v>
      </c>
      <c r="F37" s="332">
        <f>D37/'- 7 -'!F37</f>
        <v>362.58572449101086</v>
      </c>
      <c r="G37" s="332">
        <f>SUM('- 28 -'!B37,'- 28 -'!E37,'- 28 -'!H37,'- 29 -'!B37,'- 29 -'!E37)</f>
        <v>878310</v>
      </c>
      <c r="H37" s="338">
        <f>G37/'- 3 -'!D37*100</f>
        <v>2.9426294304152116</v>
      </c>
      <c r="I37" s="332">
        <f>G37/'- 7 -'!F37</f>
        <v>261.43290867960474</v>
      </c>
    </row>
    <row r="38" spans="1:9" ht="13.5" customHeight="1">
      <c r="A38" s="25" t="s">
        <v>271</v>
      </c>
      <c r="B38" s="26">
        <f>SUM('- 25 -'!H38,'- 25 -'!F38,'- 25 -'!D38,'- 25 -'!B38)</f>
        <v>837067</v>
      </c>
      <c r="C38" s="78">
        <f>B38/'- 3 -'!D38*100</f>
        <v>1.1282053410896251</v>
      </c>
      <c r="D38" s="26">
        <f>SUM('- 26 -'!B38,'- 26 -'!E38,'- 26 -'!H38,'- 27 -'!B38)</f>
        <v>2526995</v>
      </c>
      <c r="E38" s="78">
        <f>D38/'- 3 -'!D38*100</f>
        <v>3.4059032979519883</v>
      </c>
      <c r="F38" s="26">
        <f>D38/'- 7 -'!F38</f>
        <v>288.5850511048935</v>
      </c>
      <c r="G38" s="26">
        <f>SUM('- 28 -'!B38,'- 28 -'!E38,'- 28 -'!H38,'- 29 -'!B38,'- 29 -'!E38)</f>
        <v>2246185</v>
      </c>
      <c r="H38" s="78">
        <f>G38/'- 3 -'!D38*100</f>
        <v>3.027425420038539</v>
      </c>
      <c r="I38" s="26">
        <f>G38/'- 7 -'!F38</f>
        <v>256.51630217552673</v>
      </c>
    </row>
    <row r="39" spans="1:9" ht="13.5" customHeight="1">
      <c r="A39" s="331" t="s">
        <v>272</v>
      </c>
      <c r="B39" s="332">
        <f>SUM('- 25 -'!H39,'- 25 -'!F39,'- 25 -'!D39,'- 25 -'!B39)</f>
        <v>50078</v>
      </c>
      <c r="C39" s="338">
        <f>B39/'- 3 -'!D39*100</f>
        <v>0.3063770700396899</v>
      </c>
      <c r="D39" s="332">
        <f>SUM('- 26 -'!B39,'- 26 -'!E39,'- 26 -'!H39,'- 27 -'!B39)</f>
        <v>616557</v>
      </c>
      <c r="E39" s="338">
        <f>D39/'- 3 -'!D39*100</f>
        <v>3.7720940766895863</v>
      </c>
      <c r="F39" s="332">
        <f>D39/'- 7 -'!F39</f>
        <v>372.54199395770394</v>
      </c>
      <c r="G39" s="332">
        <f>SUM('- 28 -'!B39,'- 28 -'!E39,'- 28 -'!H39,'- 29 -'!B39,'- 29 -'!E39)</f>
        <v>319663</v>
      </c>
      <c r="H39" s="338">
        <f>G39/'- 3 -'!D39*100</f>
        <v>1.955697378890878</v>
      </c>
      <c r="I39" s="332">
        <f>G39/'- 7 -'!F39</f>
        <v>193.1498489425982</v>
      </c>
    </row>
    <row r="40" spans="1:9" ht="13.5" customHeight="1">
      <c r="A40" s="25" t="s">
        <v>273</v>
      </c>
      <c r="B40" s="26">
        <f>SUM('- 25 -'!H40,'- 25 -'!F40,'- 25 -'!D40,'- 25 -'!B40)</f>
        <v>644154</v>
      </c>
      <c r="C40" s="78">
        <f>B40/'- 3 -'!D40*100</f>
        <v>0.842984374649113</v>
      </c>
      <c r="D40" s="26">
        <f>SUM('- 26 -'!B40,'- 26 -'!E40,'- 26 -'!H40,'- 27 -'!B40)</f>
        <v>2785544</v>
      </c>
      <c r="E40" s="78">
        <f>D40/'- 3 -'!D40*100</f>
        <v>3.6453550966035904</v>
      </c>
      <c r="F40" s="26">
        <f>D40/'- 7 -'!F40</f>
        <v>320.6806080804941</v>
      </c>
      <c r="G40" s="26">
        <f>SUM('- 28 -'!B40,'- 28 -'!E40,'- 28 -'!H40,'- 29 -'!B40,'- 29 -'!E40)</f>
        <v>2973117</v>
      </c>
      <c r="H40" s="78">
        <f>G40/'- 3 -'!D40*100</f>
        <v>3.8908260679956146</v>
      </c>
      <c r="I40" s="26">
        <f>G40/'- 7 -'!F40</f>
        <v>342.274603256834</v>
      </c>
    </row>
    <row r="41" spans="1:9" ht="13.5" customHeight="1">
      <c r="A41" s="331" t="s">
        <v>274</v>
      </c>
      <c r="B41" s="332">
        <f>SUM('- 25 -'!H41,'- 25 -'!F41,'- 25 -'!D41,'- 25 -'!B41)</f>
        <v>125128</v>
      </c>
      <c r="C41" s="338">
        <f>B41/'- 3 -'!D41*100</f>
        <v>0.2684493205042843</v>
      </c>
      <c r="D41" s="332">
        <f>SUM('- 26 -'!B41,'- 26 -'!E41,'- 26 -'!H41,'- 27 -'!B41)</f>
        <v>1741414</v>
      </c>
      <c r="E41" s="338">
        <f>D41/'- 3 -'!D41*100</f>
        <v>3.7360255499700132</v>
      </c>
      <c r="F41" s="332">
        <f>D41/'- 7 -'!F41</f>
        <v>372.2958845537146</v>
      </c>
      <c r="G41" s="332">
        <f>SUM('- 28 -'!B41,'- 28 -'!E41,'- 28 -'!H41,'- 29 -'!B41,'- 29 -'!E41)</f>
        <v>1421623</v>
      </c>
      <c r="H41" s="338">
        <f>G41/'- 3 -'!D41*100</f>
        <v>3.049946681504237</v>
      </c>
      <c r="I41" s="332">
        <f>G41/'- 7 -'!F41</f>
        <v>303.9279529663282</v>
      </c>
    </row>
    <row r="42" spans="1:9" ht="13.5" customHeight="1">
      <c r="A42" s="25" t="s">
        <v>275</v>
      </c>
      <c r="B42" s="26">
        <f>SUM('- 25 -'!H42,'- 25 -'!F42,'- 25 -'!D42,'- 25 -'!B42)</f>
        <v>65688</v>
      </c>
      <c r="C42" s="78">
        <f>B42/'- 3 -'!D42*100</f>
        <v>0.39770071253500117</v>
      </c>
      <c r="D42" s="26">
        <f>SUM('- 26 -'!B42,'- 26 -'!E42,'- 26 -'!H42,'- 27 -'!B42)</f>
        <v>645465</v>
      </c>
      <c r="E42" s="78">
        <f>D42/'- 3 -'!D42*100</f>
        <v>3.9078962735416596</v>
      </c>
      <c r="F42" s="26">
        <f>D42/'- 7 -'!F42</f>
        <v>373.5329861111111</v>
      </c>
      <c r="G42" s="26">
        <f>SUM('- 28 -'!B42,'- 28 -'!E42,'- 28 -'!H42,'- 29 -'!B42,'- 29 -'!E42)</f>
        <v>341713</v>
      </c>
      <c r="H42" s="78">
        <f>G42/'- 3 -'!D42*100</f>
        <v>2.0688634694688965</v>
      </c>
      <c r="I42" s="26">
        <f>G42/'- 7 -'!F42</f>
        <v>197.7505787037037</v>
      </c>
    </row>
    <row r="43" spans="1:9" ht="13.5" customHeight="1">
      <c r="A43" s="331" t="s">
        <v>276</v>
      </c>
      <c r="B43" s="332">
        <f>SUM('- 25 -'!H43,'- 25 -'!F43,'- 25 -'!D43,'- 25 -'!B43)</f>
        <v>5032</v>
      </c>
      <c r="C43" s="338">
        <f>B43/'- 3 -'!D43*100</f>
        <v>0.04941921132556329</v>
      </c>
      <c r="D43" s="332">
        <f>SUM('- 26 -'!B43,'- 26 -'!E43,'- 26 -'!H43,'- 27 -'!B43)</f>
        <v>512863</v>
      </c>
      <c r="E43" s="338">
        <f>D43/'- 3 -'!D43*100</f>
        <v>5.036821339042601</v>
      </c>
      <c r="F43" s="332">
        <f>D43/'- 7 -'!F43</f>
        <v>470.73244607618176</v>
      </c>
      <c r="G43" s="332">
        <f>SUM('- 28 -'!B43,'- 28 -'!E43,'- 28 -'!H43,'- 29 -'!B43,'- 29 -'!E43)</f>
        <v>335788</v>
      </c>
      <c r="H43" s="338">
        <f>G43/'- 3 -'!D43*100</f>
        <v>3.2977698991630064</v>
      </c>
      <c r="I43" s="332">
        <f>G43/'- 7 -'!F43</f>
        <v>308.20376319412577</v>
      </c>
    </row>
    <row r="44" spans="1:9" ht="13.5" customHeight="1">
      <c r="A44" s="25" t="s">
        <v>277</v>
      </c>
      <c r="B44" s="26">
        <f>SUM('- 25 -'!H44,'- 25 -'!F44,'- 25 -'!D44,'- 25 -'!B44)</f>
        <v>6742</v>
      </c>
      <c r="C44" s="78">
        <f>B44/'- 3 -'!D44*100</f>
        <v>0.08721172398769982</v>
      </c>
      <c r="D44" s="26">
        <f>SUM('- 26 -'!B44,'- 26 -'!E44,'- 26 -'!H44,'- 27 -'!B44)</f>
        <v>314618</v>
      </c>
      <c r="E44" s="78">
        <f>D44/'- 3 -'!D44*100</f>
        <v>4.069768344343242</v>
      </c>
      <c r="F44" s="26">
        <f>D44/'- 7 -'!F44</f>
        <v>384.85382262996944</v>
      </c>
      <c r="G44" s="26">
        <f>SUM('- 28 -'!B44,'- 28 -'!E44,'- 28 -'!H44,'- 29 -'!B44,'- 29 -'!E44)</f>
        <v>187438</v>
      </c>
      <c r="H44" s="78">
        <f>G44/'- 3 -'!D44*100</f>
        <v>2.4246204569573533</v>
      </c>
      <c r="I44" s="26">
        <f>G44/'- 7 -'!F44</f>
        <v>229.28195718654433</v>
      </c>
    </row>
    <row r="45" spans="1:9" ht="13.5" customHeight="1">
      <c r="A45" s="331" t="s">
        <v>278</v>
      </c>
      <c r="B45" s="332">
        <f>SUM('- 25 -'!H45,'- 25 -'!F45,'- 25 -'!D45,'- 25 -'!B45)</f>
        <v>144177</v>
      </c>
      <c r="C45" s="338">
        <f>B45/'- 3 -'!D45*100</f>
        <v>1.2374430741489904</v>
      </c>
      <c r="D45" s="332">
        <f>SUM('- 26 -'!B45,'- 26 -'!E45,'- 26 -'!H45,'- 27 -'!B45)</f>
        <v>429379</v>
      </c>
      <c r="E45" s="338">
        <f>D45/'- 3 -'!D45*100</f>
        <v>3.685276221138041</v>
      </c>
      <c r="F45" s="332">
        <f>D45/'- 7 -'!F45</f>
        <v>290.9071815718157</v>
      </c>
      <c r="G45" s="332">
        <f>SUM('- 28 -'!B45,'- 28 -'!E45,'- 28 -'!H45,'- 29 -'!B45,'- 29 -'!E45)</f>
        <v>418514</v>
      </c>
      <c r="H45" s="338">
        <f>G45/'- 3 -'!D45*100</f>
        <v>3.59202404498908</v>
      </c>
      <c r="I45" s="332">
        <f>G45/'- 7 -'!F45</f>
        <v>283.5460704607046</v>
      </c>
    </row>
    <row r="46" spans="1:9" ht="13.5" customHeight="1">
      <c r="A46" s="25" t="s">
        <v>279</v>
      </c>
      <c r="B46" s="26">
        <f>SUM('- 25 -'!H46,'- 25 -'!F46,'- 25 -'!D46,'- 25 -'!B46)</f>
        <v>6591406</v>
      </c>
      <c r="C46" s="78">
        <f>B46/'- 3 -'!D46*100</f>
        <v>2.2700230416048726</v>
      </c>
      <c r="D46" s="26">
        <f>SUM('- 26 -'!B46,'- 26 -'!E46,'- 26 -'!H46,'- 27 -'!B46)</f>
        <v>7855005</v>
      </c>
      <c r="E46" s="78">
        <f>D46/'- 3 -'!D46*100</f>
        <v>2.7051955746500034</v>
      </c>
      <c r="F46" s="26">
        <f>D46/'- 7 -'!F46</f>
        <v>259.8671717338803</v>
      </c>
      <c r="G46" s="26">
        <f>SUM('- 28 -'!B46,'- 28 -'!E46,'- 28 -'!H46,'- 29 -'!B46,'- 29 -'!E46)</f>
        <v>9328686</v>
      </c>
      <c r="H46" s="78">
        <f>G46/'- 3 -'!D46*100</f>
        <v>3.2127185258952022</v>
      </c>
      <c r="I46" s="26">
        <f>G46/'- 7 -'!F46</f>
        <v>308.62096800873394</v>
      </c>
    </row>
    <row r="47" spans="1:10" ht="4.5" customHeight="1">
      <c r="A47"/>
      <c r="B47"/>
      <c r="C47"/>
      <c r="D47"/>
      <c r="E47"/>
      <c r="F47"/>
      <c r="G47"/>
      <c r="H47"/>
      <c r="I47"/>
      <c r="J47"/>
    </row>
    <row r="48" spans="1:9" ht="13.5" customHeight="1">
      <c r="A48" s="333" t="s">
        <v>280</v>
      </c>
      <c r="B48" s="334">
        <f>SUM(B11:B46)</f>
        <v>14707743</v>
      </c>
      <c r="C48" s="341">
        <f>B48/'- 3 -'!D48*100</f>
        <v>0.9269933005132942</v>
      </c>
      <c r="D48" s="334">
        <f>SUM(D11:D46)</f>
        <v>55722162</v>
      </c>
      <c r="E48" s="341">
        <f>D48/'- 3 -'!D48*100</f>
        <v>3.512032462364651</v>
      </c>
      <c r="F48" s="334">
        <f>D48/'- 7 -'!F48</f>
        <v>320.7907994017949</v>
      </c>
      <c r="G48" s="334">
        <f>SUM(G11:G46)</f>
        <v>56443767</v>
      </c>
      <c r="H48" s="341">
        <f>G48/'- 3 -'!D48*100</f>
        <v>3.5575134719673414</v>
      </c>
      <c r="I48" s="334">
        <f>G48/'- 7 -'!F48</f>
        <v>324.945057537047</v>
      </c>
    </row>
    <row r="49" spans="1:9" ht="4.5" customHeight="1">
      <c r="A49"/>
      <c r="B49"/>
      <c r="C49"/>
      <c r="D49"/>
      <c r="E49"/>
      <c r="F49"/>
      <c r="G49"/>
      <c r="H49"/>
      <c r="I49"/>
    </row>
    <row r="50" spans="1:9" ht="13.5" customHeight="1">
      <c r="A50" s="25" t="s">
        <v>281</v>
      </c>
      <c r="B50" s="26">
        <f>SUM('- 25 -'!H50,'- 25 -'!F50,'- 25 -'!D50,'- 25 -'!B50)</f>
        <v>5000</v>
      </c>
      <c r="C50" s="78">
        <f>B50/'- 3 -'!D50*100</f>
        <v>0.1896869482480893</v>
      </c>
      <c r="D50" s="26">
        <f>SUM('- 26 -'!B50,'- 26 -'!E50,'- 26 -'!H50,'- 27 -'!B50)</f>
        <v>107050</v>
      </c>
      <c r="E50" s="78">
        <f>D50/'- 3 -'!D50*100</f>
        <v>4.061197561991592</v>
      </c>
      <c r="F50" s="26">
        <f>D50/'- 7 -'!F50</f>
        <v>468.90056942619356</v>
      </c>
      <c r="G50" s="26">
        <f>SUM('- 28 -'!B50,'- 28 -'!E50,'- 28 -'!H50,'- 29 -'!B50,'- 29 -'!E50)</f>
        <v>43636</v>
      </c>
      <c r="H50" s="78">
        <f>G50/'- 3 -'!D50*100</f>
        <v>1.6554359347507246</v>
      </c>
      <c r="I50" s="26">
        <f>G50/'- 7 -'!F50</f>
        <v>191.13447218572054</v>
      </c>
    </row>
    <row r="51" spans="1:9" ht="13.5" customHeight="1">
      <c r="A51" s="331" t="s">
        <v>282</v>
      </c>
      <c r="B51" s="332">
        <f>SUM('- 25 -'!H51,'- 25 -'!F51,'- 25 -'!D51,'- 25 -'!B51)</f>
        <v>1047709</v>
      </c>
      <c r="C51" s="338">
        <f>B51/'- 3 -'!D51*100</f>
        <v>10.354145906915873</v>
      </c>
      <c r="D51" s="332">
        <f>SUM('- 26 -'!B51,'- 26 -'!E51,'- 26 -'!H51,'- 27 -'!B51)</f>
        <v>701923</v>
      </c>
      <c r="E51" s="338">
        <f>D51/'- 3 -'!D51*100</f>
        <v>6.9368623896712815</v>
      </c>
      <c r="F51" s="332">
        <f>D51/'- 7 -'!F51</f>
        <v>1054.4133994291722</v>
      </c>
      <c r="G51" s="332">
        <f>SUM('- 28 -'!B51,'- 28 -'!E51,'- 28 -'!H51,'- 29 -'!B51,'- 29 -'!E51)</f>
        <v>251213</v>
      </c>
      <c r="H51" s="338">
        <f>G51/'- 3 -'!D51*100</f>
        <v>2.4826512473540427</v>
      </c>
      <c r="I51" s="332">
        <f>G51/'- 7 -'!F51</f>
        <v>377.36668168844824</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1"/>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4"/>
      <c r="B2" s="7" t="s">
        <v>525</v>
      </c>
      <c r="C2" s="8"/>
      <c r="D2" s="8"/>
      <c r="E2" s="8"/>
      <c r="F2" s="8"/>
      <c r="G2" s="8"/>
      <c r="H2" s="81"/>
      <c r="I2" s="81"/>
      <c r="J2" s="155" t="s">
        <v>34</v>
      </c>
    </row>
    <row r="3" spans="1:10" ht="15.75" customHeight="1">
      <c r="A3" s="156"/>
      <c r="B3" s="9" t="str">
        <f>OPYEAR</f>
        <v>OPERATING FUND 2006/2007 ACTUAL</v>
      </c>
      <c r="C3" s="10"/>
      <c r="D3" s="10"/>
      <c r="E3" s="10"/>
      <c r="F3" s="10"/>
      <c r="G3" s="10"/>
      <c r="H3" s="83"/>
      <c r="I3" s="83"/>
      <c r="J3" s="73"/>
    </row>
    <row r="4" spans="2:10" ht="15.75" customHeight="1">
      <c r="B4" s="6"/>
      <c r="C4" s="6"/>
      <c r="D4" s="6"/>
      <c r="E4" s="6"/>
      <c r="F4" s="6"/>
      <c r="G4" s="6"/>
      <c r="H4" s="6"/>
      <c r="I4" s="6"/>
      <c r="J4" s="6"/>
    </row>
    <row r="5" spans="2:10" ht="15.75" customHeight="1">
      <c r="B5" s="6"/>
      <c r="C5" s="6"/>
      <c r="D5" s="6"/>
      <c r="E5" s="6"/>
      <c r="F5" s="6"/>
      <c r="G5" s="6"/>
      <c r="H5" s="6"/>
      <c r="I5" s="6"/>
      <c r="J5" s="6"/>
    </row>
    <row r="6" spans="2:10" ht="15.75" customHeight="1">
      <c r="B6" s="359" t="s">
        <v>52</v>
      </c>
      <c r="C6" s="362"/>
      <c r="D6" s="360"/>
      <c r="E6" s="359" t="s">
        <v>53</v>
      </c>
      <c r="F6" s="362"/>
      <c r="G6" s="360"/>
      <c r="H6" s="359" t="s">
        <v>32</v>
      </c>
      <c r="I6" s="362"/>
      <c r="J6" s="360"/>
    </row>
    <row r="7" spans="2:10" ht="15.75" customHeight="1">
      <c r="B7" s="345" t="s">
        <v>80</v>
      </c>
      <c r="C7" s="346"/>
      <c r="D7" s="347"/>
      <c r="E7" s="345" t="s">
        <v>81</v>
      </c>
      <c r="F7" s="346"/>
      <c r="G7" s="347"/>
      <c r="H7" s="345" t="s">
        <v>82</v>
      </c>
      <c r="I7" s="346"/>
      <c r="J7" s="347"/>
    </row>
    <row r="8" spans="1:10" ht="15.75" customHeight="1">
      <c r="A8" s="74"/>
      <c r="B8" s="157"/>
      <c r="C8" s="158"/>
      <c r="D8" s="159" t="s">
        <v>89</v>
      </c>
      <c r="E8" s="157"/>
      <c r="F8" s="159"/>
      <c r="G8" s="159" t="s">
        <v>89</v>
      </c>
      <c r="H8" s="157"/>
      <c r="I8" s="159"/>
      <c r="J8" s="159" t="s">
        <v>89</v>
      </c>
    </row>
    <row r="9" spans="1:10" ht="15.75" customHeight="1">
      <c r="A9" s="41" t="s">
        <v>108</v>
      </c>
      <c r="B9" s="86" t="s">
        <v>109</v>
      </c>
      <c r="C9" s="86" t="s">
        <v>110</v>
      </c>
      <c r="D9" s="86" t="s">
        <v>111</v>
      </c>
      <c r="E9" s="86" t="s">
        <v>109</v>
      </c>
      <c r="F9" s="86" t="s">
        <v>110</v>
      </c>
      <c r="G9" s="86" t="s">
        <v>111</v>
      </c>
      <c r="H9" s="86" t="s">
        <v>109</v>
      </c>
      <c r="I9" s="86" t="s">
        <v>110</v>
      </c>
      <c r="J9" s="86" t="s">
        <v>111</v>
      </c>
    </row>
    <row r="10" ht="4.5" customHeight="1">
      <c r="A10" s="4"/>
    </row>
    <row r="11" spans="1:10" ht="13.5" customHeight="1">
      <c r="A11" s="331" t="s">
        <v>245</v>
      </c>
      <c r="B11" s="332">
        <f>SUM('- 31 -'!D11,'- 31 -'!B11,'- 30 -'!F11,'- 30 -'!D11,'- 30 -'!B11)</f>
        <v>906334</v>
      </c>
      <c r="C11" s="338">
        <f>B11/'- 3 -'!D11*100</f>
        <v>7.507440880383707</v>
      </c>
      <c r="D11" s="332">
        <f>B11/'- 7 -'!F11</f>
        <v>623.1240976280509</v>
      </c>
      <c r="E11" s="332">
        <f>SUM('- 33 -'!D11,'- 33 -'!B11,'- 32 -'!F11,'- 32 -'!D11,'- 32 -'!B11)</f>
        <v>1341680</v>
      </c>
      <c r="F11" s="338">
        <f>E11/'- 3 -'!D11*100</f>
        <v>11.113544543615502</v>
      </c>
      <c r="G11" s="332">
        <f>E11/'- 7 -'!F11</f>
        <v>922.4338260570643</v>
      </c>
      <c r="H11" s="332">
        <f>SUM('- 34 -'!B11,'- 34 -'!D11,'- 34 -'!F11)</f>
        <v>219928</v>
      </c>
      <c r="I11" s="338">
        <f>H11/'- 3 -'!D11*100</f>
        <v>1.8217306842080603</v>
      </c>
      <c r="J11" s="332">
        <f>H11/'- 7 -'!F11</f>
        <v>151.20522516328634</v>
      </c>
    </row>
    <row r="12" spans="1:10" ht="13.5" customHeight="1">
      <c r="A12" s="25" t="s">
        <v>246</v>
      </c>
      <c r="B12" s="26">
        <f>SUM('- 31 -'!D12,'- 31 -'!B12,'- 30 -'!F12,'- 30 -'!D12,'- 30 -'!B12)</f>
        <v>1651685</v>
      </c>
      <c r="C12" s="78">
        <f>B12/'- 3 -'!D12*100</f>
        <v>7.508658984895841</v>
      </c>
      <c r="D12" s="26">
        <f>B12/'- 7 -'!F12</f>
        <v>689.5438206844151</v>
      </c>
      <c r="E12" s="26">
        <f>SUM('- 33 -'!D12,'- 33 -'!B12,'- 32 -'!F12,'- 32 -'!D12,'- 32 -'!B12)</f>
        <v>2410151</v>
      </c>
      <c r="F12" s="78">
        <f>E12/'- 3 -'!D12*100</f>
        <v>10.956690870901955</v>
      </c>
      <c r="G12" s="26">
        <f>E12/'- 7 -'!F12</f>
        <v>1006.1874564256283</v>
      </c>
      <c r="H12" s="26">
        <f>SUM('- 34 -'!B12,'- 34 -'!D12,'- 34 -'!F12)</f>
        <v>424100</v>
      </c>
      <c r="I12" s="78">
        <f>H12/'- 3 -'!D12*100</f>
        <v>1.9279840135947994</v>
      </c>
      <c r="J12" s="26">
        <f>H12/'- 7 -'!F12</f>
        <v>177.05284866803322</v>
      </c>
    </row>
    <row r="13" spans="1:10" ht="13.5" customHeight="1">
      <c r="A13" s="331" t="s">
        <v>247</v>
      </c>
      <c r="B13" s="332">
        <f>SUM('- 31 -'!D13,'- 31 -'!B13,'- 30 -'!F13,'- 30 -'!D13,'- 30 -'!B13)</f>
        <v>1384041</v>
      </c>
      <c r="C13" s="338">
        <f>B13/'- 3 -'!D13*100</f>
        <v>2.5776845286221413</v>
      </c>
      <c r="D13" s="332">
        <f>B13/'- 7 -'!F13</f>
        <v>205.240750352191</v>
      </c>
      <c r="E13" s="332">
        <f>SUM('- 33 -'!D13,'- 33 -'!B13,'- 32 -'!F13,'- 32 -'!D13,'- 32 -'!B13)</f>
        <v>5529436</v>
      </c>
      <c r="F13" s="338">
        <f>E13/'- 3 -'!D13*100</f>
        <v>10.298207660904769</v>
      </c>
      <c r="G13" s="332">
        <f>E13/'- 7 -'!F13</f>
        <v>819.96529991844</v>
      </c>
      <c r="H13" s="332">
        <f>SUM('- 34 -'!B13,'- 34 -'!D13,'- 34 -'!F13)</f>
        <v>925421</v>
      </c>
      <c r="I13" s="338">
        <f>H13/'- 3 -'!D13*100</f>
        <v>1.7235352089728775</v>
      </c>
      <c r="J13" s="332">
        <f>H13/'- 7 -'!F13</f>
        <v>137.23155631348706</v>
      </c>
    </row>
    <row r="14" spans="1:10" ht="13.5" customHeight="1">
      <c r="A14" s="25" t="s">
        <v>283</v>
      </c>
      <c r="B14" s="26">
        <f>SUM('- 31 -'!D14,'- 31 -'!B14,'- 30 -'!F14,'- 30 -'!D14,'- 30 -'!B14)</f>
        <v>4952040</v>
      </c>
      <c r="C14" s="78">
        <f>B14/'- 3 -'!D14*100</f>
        <v>10.081283765386074</v>
      </c>
      <c r="D14" s="26">
        <f>B14/'- 7 -'!F14</f>
        <v>1057.90215765862</v>
      </c>
      <c r="E14" s="26">
        <f>SUM('- 33 -'!D14,'- 33 -'!B14,'- 32 -'!F14,'- 32 -'!D14,'- 32 -'!B14)</f>
        <v>5507758</v>
      </c>
      <c r="F14" s="78">
        <f>E14/'- 3 -'!D14*100</f>
        <v>11.212605574485519</v>
      </c>
      <c r="G14" s="26">
        <f>E14/'- 7 -'!F14</f>
        <v>1176.6199530014953</v>
      </c>
      <c r="H14" s="26">
        <f>SUM('- 34 -'!B14,'- 34 -'!D14,'- 34 -'!F14)</f>
        <v>891086</v>
      </c>
      <c r="I14" s="78">
        <f>H14/'- 3 -'!D14*100</f>
        <v>1.8140586153106226</v>
      </c>
      <c r="J14" s="26">
        <f>H14/'- 7 -'!F14</f>
        <v>190.36231574449903</v>
      </c>
    </row>
    <row r="15" spans="1:10" ht="13.5" customHeight="1">
      <c r="A15" s="331" t="s">
        <v>248</v>
      </c>
      <c r="B15" s="332">
        <f>SUM('- 31 -'!D15,'- 31 -'!B15,'- 30 -'!F15,'- 30 -'!D15,'- 30 -'!B15)</f>
        <v>907988</v>
      </c>
      <c r="C15" s="338">
        <f>B15/'- 3 -'!D15*100</f>
        <v>6.420785517118727</v>
      </c>
      <c r="D15" s="332">
        <f>B15/'- 7 -'!F15</f>
        <v>558.7618461538461</v>
      </c>
      <c r="E15" s="332">
        <f>SUM('- 33 -'!D15,'- 33 -'!B15,'- 32 -'!F15,'- 32 -'!D15,'- 32 -'!B15)</f>
        <v>1762827</v>
      </c>
      <c r="F15" s="338">
        <f>E15/'- 3 -'!D15*100</f>
        <v>12.465730902595467</v>
      </c>
      <c r="G15" s="332">
        <f>E15/'- 7 -'!F15</f>
        <v>1084.8166153846155</v>
      </c>
      <c r="H15" s="332">
        <f>SUM('- 34 -'!B15,'- 34 -'!D15,'- 34 -'!F15)</f>
        <v>253656</v>
      </c>
      <c r="I15" s="338">
        <f>H15/'- 3 -'!D15*100</f>
        <v>1.7937139820463128</v>
      </c>
      <c r="J15" s="332">
        <f>H15/'- 7 -'!F15</f>
        <v>156.096</v>
      </c>
    </row>
    <row r="16" spans="1:10" ht="13.5" customHeight="1">
      <c r="A16" s="25" t="s">
        <v>249</v>
      </c>
      <c r="B16" s="26">
        <f>SUM('- 31 -'!D16,'- 31 -'!B16,'- 30 -'!F16,'- 30 -'!D16,'- 30 -'!B16)</f>
        <v>287487</v>
      </c>
      <c r="C16" s="78">
        <f>B16/'- 3 -'!D16*100</f>
        <v>2.5859115147942</v>
      </c>
      <c r="D16" s="26">
        <f>B16/'- 7 -'!F16</f>
        <v>258.1832061068702</v>
      </c>
      <c r="E16" s="26">
        <f>SUM('- 33 -'!D16,'- 33 -'!B16,'- 32 -'!F16,'- 32 -'!D16,'- 32 -'!B16)</f>
        <v>1656786</v>
      </c>
      <c r="F16" s="78">
        <f>E16/'- 3 -'!D16*100</f>
        <v>14.90259383885123</v>
      </c>
      <c r="G16" s="26">
        <f>E16/'- 7 -'!F16</f>
        <v>1487.9083969465648</v>
      </c>
      <c r="H16" s="26">
        <f>SUM('- 34 -'!B16,'- 34 -'!D16,'- 34 -'!F16)</f>
        <v>254983</v>
      </c>
      <c r="I16" s="78">
        <f>H16/'- 3 -'!D16*100</f>
        <v>2.293541884595719</v>
      </c>
      <c r="J16" s="26">
        <f>H16/'- 7 -'!F16</f>
        <v>228.99236641221373</v>
      </c>
    </row>
    <row r="17" spans="1:10" ht="13.5" customHeight="1">
      <c r="A17" s="331" t="s">
        <v>250</v>
      </c>
      <c r="B17" s="332">
        <f>SUM('- 31 -'!D17,'- 31 -'!B17,'- 30 -'!F17,'- 30 -'!D17,'- 30 -'!B17)</f>
        <v>1160128</v>
      </c>
      <c r="C17" s="338">
        <f>B17/'- 3 -'!D17*100</f>
        <v>8.68656484190811</v>
      </c>
      <c r="D17" s="332">
        <f>B17/'- 7 -'!F17</f>
        <v>794.4372052982724</v>
      </c>
      <c r="E17" s="332">
        <f>SUM('- 33 -'!D17,'- 33 -'!B17,'- 32 -'!F17,'- 32 -'!D17,'- 32 -'!B17)</f>
        <v>1670371</v>
      </c>
      <c r="F17" s="338">
        <f>E17/'- 3 -'!D17*100</f>
        <v>12.50705611927554</v>
      </c>
      <c r="G17" s="332">
        <f>E17/'- 7 -'!F17</f>
        <v>1143.8434974858642</v>
      </c>
      <c r="H17" s="332">
        <f>SUM('- 34 -'!B17,'- 34 -'!D17,'- 34 -'!F17)</f>
        <v>292969</v>
      </c>
      <c r="I17" s="338">
        <f>H17/'- 3 -'!D17*100</f>
        <v>2.1936322674471933</v>
      </c>
      <c r="J17" s="332">
        <f>H17/'- 7 -'!F17</f>
        <v>200.6205122185048</v>
      </c>
    </row>
    <row r="18" spans="1:10" ht="13.5" customHeight="1">
      <c r="A18" s="25" t="s">
        <v>251</v>
      </c>
      <c r="B18" s="26">
        <f>SUM('- 31 -'!D18,'- 31 -'!B18,'- 30 -'!F18,'- 30 -'!D18,'- 30 -'!B18)</f>
        <v>6122707</v>
      </c>
      <c r="C18" s="78">
        <f>B18/'- 3 -'!D18*100</f>
        <v>7.038532723903416</v>
      </c>
      <c r="D18" s="26">
        <f>B18/'- 7 -'!F18</f>
        <v>1070.6279289361405</v>
      </c>
      <c r="E18" s="26">
        <f>SUM('- 33 -'!D18,'- 33 -'!B18,'- 32 -'!F18,'- 32 -'!D18,'- 32 -'!B18)</f>
        <v>14920342</v>
      </c>
      <c r="F18" s="78">
        <f>E18/'- 3 -'!D18*100</f>
        <v>17.15210533818302</v>
      </c>
      <c r="G18" s="26">
        <f>E18/'- 7 -'!F18</f>
        <v>2608.9987409946143</v>
      </c>
      <c r="H18" s="26">
        <f>SUM('- 34 -'!B18,'- 34 -'!D18,'- 34 -'!F18)</f>
        <v>1590341</v>
      </c>
      <c r="I18" s="78">
        <f>H18/'- 3 -'!D18*100</f>
        <v>1.8282219238427193</v>
      </c>
      <c r="J18" s="26">
        <f>H18/'- 7 -'!F18</f>
        <v>278.08998391270893</v>
      </c>
    </row>
    <row r="19" spans="1:10" ht="13.5" customHeight="1">
      <c r="A19" s="331" t="s">
        <v>252</v>
      </c>
      <c r="B19" s="332">
        <f>SUM('- 31 -'!D19,'- 31 -'!B19,'- 30 -'!F19,'- 30 -'!D19,'- 30 -'!B19)</f>
        <v>982998</v>
      </c>
      <c r="C19" s="338">
        <f>B19/'- 3 -'!D19*100</f>
        <v>3.9695661667251065</v>
      </c>
      <c r="D19" s="332">
        <f>B19/'- 7 -'!F19</f>
        <v>285.71702621161126</v>
      </c>
      <c r="E19" s="332">
        <f>SUM('- 33 -'!D19,'- 33 -'!B19,'- 32 -'!F19,'- 32 -'!D19,'- 32 -'!B19)</f>
        <v>2255228</v>
      </c>
      <c r="F19" s="338">
        <f>E19/'- 3 -'!D19*100</f>
        <v>9.10711595247511</v>
      </c>
      <c r="G19" s="332">
        <f>E19/'- 7 -'!F19</f>
        <v>655.5018805624829</v>
      </c>
      <c r="H19" s="332">
        <f>SUM('- 34 -'!B19,'- 34 -'!D19,'- 34 -'!F19)</f>
        <v>488204</v>
      </c>
      <c r="I19" s="338">
        <f>H19/'- 3 -'!D19*100</f>
        <v>1.9714771351110216</v>
      </c>
      <c r="J19" s="332">
        <f>H19/'- 7 -'!F19</f>
        <v>141.90079233590856</v>
      </c>
    </row>
    <row r="20" spans="1:10" ht="13.5" customHeight="1">
      <c r="A20" s="25" t="s">
        <v>253</v>
      </c>
      <c r="B20" s="26">
        <f>SUM('- 31 -'!D20,'- 31 -'!B20,'- 30 -'!F20,'- 30 -'!D20,'- 30 -'!B20)</f>
        <v>2542821</v>
      </c>
      <c r="C20" s="78">
        <f>B20/'- 3 -'!D20*100</f>
        <v>5.512335580796107</v>
      </c>
      <c r="D20" s="26">
        <f>B20/'- 7 -'!F20</f>
        <v>374.49499263622977</v>
      </c>
      <c r="E20" s="26">
        <f>SUM('- 33 -'!D20,'- 33 -'!B20,'- 32 -'!F20,'- 32 -'!D20,'- 32 -'!B20)</f>
        <v>4986499</v>
      </c>
      <c r="F20" s="78">
        <f>E20/'- 3 -'!D20*100</f>
        <v>10.809748645816677</v>
      </c>
      <c r="G20" s="26">
        <f>E20/'- 7 -'!F20</f>
        <v>734.3886597938144</v>
      </c>
      <c r="H20" s="26">
        <f>SUM('- 34 -'!B20,'- 34 -'!D20,'- 34 -'!F20)</f>
        <v>910911</v>
      </c>
      <c r="I20" s="78">
        <f>H20/'- 3 -'!D20*100</f>
        <v>1.974675809362343</v>
      </c>
      <c r="J20" s="26">
        <f>H20/'- 7 -'!F20</f>
        <v>134.15478645066273</v>
      </c>
    </row>
    <row r="21" spans="1:10" ht="13.5" customHeight="1">
      <c r="A21" s="331" t="s">
        <v>254</v>
      </c>
      <c r="B21" s="332">
        <f>SUM('- 31 -'!D21,'- 31 -'!B21,'- 30 -'!F21,'- 30 -'!D21,'- 30 -'!B21)</f>
        <v>1789239</v>
      </c>
      <c r="C21" s="338">
        <f>B21/'- 3 -'!D21*100</f>
        <v>6.761865602347328</v>
      </c>
      <c r="D21" s="332">
        <f>B21/'- 7 -'!F21</f>
        <v>573.5659560827056</v>
      </c>
      <c r="E21" s="332">
        <f>SUM('- 33 -'!D21,'- 33 -'!B21,'- 32 -'!F21,'- 32 -'!D21,'- 32 -'!B21)</f>
        <v>3091346</v>
      </c>
      <c r="F21" s="338">
        <f>E21/'- 3 -'!D21*100</f>
        <v>11.682769145068939</v>
      </c>
      <c r="G21" s="332">
        <f>E21/'- 7 -'!F21</f>
        <v>990.9748357108512</v>
      </c>
      <c r="H21" s="332">
        <f>SUM('- 34 -'!B21,'- 34 -'!D21,'- 34 -'!F21)</f>
        <v>482681</v>
      </c>
      <c r="I21" s="338">
        <f>H21/'- 3 -'!D21*100</f>
        <v>1.824140906165476</v>
      </c>
      <c r="J21" s="332">
        <f>H21/'- 7 -'!F21</f>
        <v>154.73024523160763</v>
      </c>
    </row>
    <row r="22" spans="1:10" ht="13.5" customHeight="1">
      <c r="A22" s="25" t="s">
        <v>255</v>
      </c>
      <c r="B22" s="26">
        <f>SUM('- 31 -'!D22,'- 31 -'!B22,'- 30 -'!F22,'- 30 -'!D22,'- 30 -'!B22)</f>
        <v>465775</v>
      </c>
      <c r="C22" s="78">
        <f>B22/'- 3 -'!D22*100</f>
        <v>3.108789235136063</v>
      </c>
      <c r="D22" s="26">
        <f>B22/'- 7 -'!F22</f>
        <v>286.3840383669454</v>
      </c>
      <c r="E22" s="26">
        <f>SUM('- 33 -'!D22,'- 33 -'!B22,'- 32 -'!F22,'- 32 -'!D22,'- 32 -'!B22)</f>
        <v>1977011</v>
      </c>
      <c r="F22" s="78">
        <f>E22/'- 3 -'!D22*100</f>
        <v>13.195449550846616</v>
      </c>
      <c r="G22" s="26">
        <f>E22/'- 7 -'!F22</f>
        <v>1215.5748893261189</v>
      </c>
      <c r="H22" s="26">
        <f>SUM('- 34 -'!B22,'- 34 -'!D22,'- 34 -'!F22)</f>
        <v>291018</v>
      </c>
      <c r="I22" s="78">
        <f>H22/'- 3 -'!D22*100</f>
        <v>1.9423833946236417</v>
      </c>
      <c r="J22" s="26">
        <f>H22/'- 7 -'!F22</f>
        <v>178.93384161337923</v>
      </c>
    </row>
    <row r="23" spans="1:10" ht="13.5" customHeight="1">
      <c r="A23" s="331" t="s">
        <v>256</v>
      </c>
      <c r="B23" s="332">
        <f>SUM('- 31 -'!D23,'- 31 -'!B23,'- 30 -'!F23,'- 30 -'!D23,'- 30 -'!B23)</f>
        <v>1231521</v>
      </c>
      <c r="C23" s="338">
        <f>B23/'- 3 -'!D23*100</f>
        <v>9.833613937223246</v>
      </c>
      <c r="D23" s="332">
        <f>B23/'- 7 -'!F23</f>
        <v>945.86866359447</v>
      </c>
      <c r="E23" s="332">
        <f>SUM('- 33 -'!D23,'- 33 -'!B23,'- 32 -'!F23,'- 32 -'!D23,'- 32 -'!B23)</f>
        <v>1121896</v>
      </c>
      <c r="F23" s="338">
        <f>E23/'- 3 -'!D23*100</f>
        <v>8.958265544570503</v>
      </c>
      <c r="G23" s="332">
        <f>E23/'- 7 -'!F23</f>
        <v>861.6712749615975</v>
      </c>
      <c r="H23" s="332">
        <f>SUM('- 34 -'!B23,'- 34 -'!D23,'- 34 -'!F23)</f>
        <v>204342</v>
      </c>
      <c r="I23" s="338">
        <f>H23/'- 3 -'!D23*100</f>
        <v>1.6316573888387391</v>
      </c>
      <c r="J23" s="332">
        <f>H23/'- 7 -'!F23</f>
        <v>156.9447004608295</v>
      </c>
    </row>
    <row r="24" spans="1:10" ht="13.5" customHeight="1">
      <c r="A24" s="25" t="s">
        <v>257</v>
      </c>
      <c r="B24" s="26">
        <f>SUM('- 31 -'!D24,'- 31 -'!B24,'- 30 -'!F24,'- 30 -'!D24,'- 30 -'!B24)</f>
        <v>2014279</v>
      </c>
      <c r="C24" s="78">
        <f>B24/'- 3 -'!D24*100</f>
        <v>5.0383819499029086</v>
      </c>
      <c r="D24" s="26">
        <f>B24/'- 7 -'!F24</f>
        <v>442.26128005269516</v>
      </c>
      <c r="E24" s="26">
        <f>SUM('- 33 -'!D24,'- 33 -'!B24,'- 32 -'!F24,'- 32 -'!D24,'- 32 -'!B24)</f>
        <v>4154631</v>
      </c>
      <c r="F24" s="78">
        <f>E24/'- 3 -'!D24*100</f>
        <v>10.39211441856221</v>
      </c>
      <c r="G24" s="26">
        <f>E24/'- 7 -'!F24</f>
        <v>912.2035349654188</v>
      </c>
      <c r="H24" s="26">
        <f>SUM('- 34 -'!B24,'- 34 -'!D24,'- 34 -'!F24)</f>
        <v>738627</v>
      </c>
      <c r="I24" s="78">
        <f>H24/'- 3 -'!D24*100</f>
        <v>1.8475518756393405</v>
      </c>
      <c r="J24" s="26">
        <f>H24/'- 7 -'!F24</f>
        <v>162.17521132945438</v>
      </c>
    </row>
    <row r="25" spans="1:10" ht="13.5" customHeight="1">
      <c r="A25" s="331" t="s">
        <v>258</v>
      </c>
      <c r="B25" s="332">
        <f>SUM('- 31 -'!D25,'- 31 -'!B25,'- 30 -'!F25,'- 30 -'!D25,'- 30 -'!B25)</f>
        <v>2145754</v>
      </c>
      <c r="C25" s="338">
        <f>B25/'- 3 -'!D25*100</f>
        <v>1.7228955176601057</v>
      </c>
      <c r="D25" s="332">
        <f>B25/'- 7 -'!F25</f>
        <v>148.67514290663433</v>
      </c>
      <c r="E25" s="332">
        <f>SUM('- 33 -'!D25,'- 33 -'!B25,'- 32 -'!F25,'- 32 -'!D25,'- 32 -'!B25)</f>
        <v>14353687</v>
      </c>
      <c r="F25" s="338">
        <f>E25/'- 3 -'!D25*100</f>
        <v>11.525041078425641</v>
      </c>
      <c r="G25" s="332">
        <f>E25/'- 7 -'!F25</f>
        <v>994.5391997228477</v>
      </c>
      <c r="H25" s="332">
        <f>SUM('- 34 -'!B25,'- 34 -'!D25,'- 34 -'!F25)</f>
        <v>2053090</v>
      </c>
      <c r="I25" s="338">
        <f>H25/'- 3 -'!D25*100</f>
        <v>1.6484925850553172</v>
      </c>
      <c r="J25" s="332">
        <f>H25/'- 7 -'!F25</f>
        <v>142.25463363935563</v>
      </c>
    </row>
    <row r="26" spans="1:10" ht="13.5" customHeight="1">
      <c r="A26" s="25" t="s">
        <v>259</v>
      </c>
      <c r="B26" s="26">
        <f>SUM('- 31 -'!D26,'- 31 -'!B26,'- 30 -'!F26,'- 30 -'!D26,'- 30 -'!B26)</f>
        <v>2233271</v>
      </c>
      <c r="C26" s="78">
        <f>B26/'- 3 -'!D26*100</f>
        <v>7.397099635519272</v>
      </c>
      <c r="D26" s="26">
        <f>B26/'- 7 -'!F26</f>
        <v>697.5702014680619</v>
      </c>
      <c r="E26" s="26">
        <f>SUM('- 33 -'!D26,'- 33 -'!B26,'- 32 -'!F26,'- 32 -'!D26,'- 32 -'!B26)</f>
        <v>3768731</v>
      </c>
      <c r="F26" s="78">
        <f>E26/'- 3 -'!D26*100</f>
        <v>12.482891107469797</v>
      </c>
      <c r="G26" s="26">
        <f>E26/'- 7 -'!F26</f>
        <v>1177.1766359518977</v>
      </c>
      <c r="H26" s="26">
        <f>SUM('- 34 -'!B26,'- 34 -'!D26,'- 34 -'!F26)</f>
        <v>608591</v>
      </c>
      <c r="I26" s="78">
        <f>H26/'- 3 -'!D26*100</f>
        <v>2.0157913053455263</v>
      </c>
      <c r="J26" s="26">
        <f>H26/'- 7 -'!F26</f>
        <v>190.09558019678275</v>
      </c>
    </row>
    <row r="27" spans="1:10" ht="13.5" customHeight="1">
      <c r="A27" s="331" t="s">
        <v>260</v>
      </c>
      <c r="B27" s="332">
        <f>SUM('- 31 -'!D27,'- 31 -'!B27,'- 30 -'!F27,'- 30 -'!D27,'- 30 -'!B27)</f>
        <v>165787</v>
      </c>
      <c r="C27" s="338">
        <f>B27/'- 3 -'!D27*100</f>
        <v>0.5231727862170461</v>
      </c>
      <c r="D27" s="332">
        <f>B27/'- 7 -'!F27</f>
        <v>50.2302653505184</v>
      </c>
      <c r="E27" s="332">
        <f>SUM('- 33 -'!D27,'- 33 -'!B27,'- 32 -'!F27,'- 32 -'!D27,'- 32 -'!B27)</f>
        <v>4138731</v>
      </c>
      <c r="F27" s="338">
        <f>E27/'- 3 -'!D27*100</f>
        <v>13.060562219431326</v>
      </c>
      <c r="G27" s="332">
        <f>E27/'- 7 -'!F27</f>
        <v>1253.9557163373265</v>
      </c>
      <c r="H27" s="332">
        <f>SUM('- 34 -'!B27,'- 34 -'!D27,'- 34 -'!F27)</f>
        <v>527186</v>
      </c>
      <c r="I27" s="338">
        <f>H27/'- 3 -'!D27*100</f>
        <v>1.6636368863337878</v>
      </c>
      <c r="J27" s="332">
        <f>H27/'- 7 -'!F27</f>
        <v>159.72719615578058</v>
      </c>
    </row>
    <row r="28" spans="1:10" ht="13.5" customHeight="1">
      <c r="A28" s="25" t="s">
        <v>261</v>
      </c>
      <c r="B28" s="26">
        <f>SUM('- 31 -'!D28,'- 31 -'!B28,'- 30 -'!F28,'- 30 -'!D28,'- 30 -'!B28)</f>
        <v>1784881</v>
      </c>
      <c r="C28" s="78">
        <f>B28/'- 3 -'!D28*100</f>
        <v>10.232042657105575</v>
      </c>
      <c r="D28" s="26">
        <f>B28/'- 7 -'!F28</f>
        <v>937.1913888159622</v>
      </c>
      <c r="E28" s="26">
        <f>SUM('- 33 -'!D28,'- 33 -'!B28,'- 32 -'!F28,'- 32 -'!D28,'- 32 -'!B28)</f>
        <v>2000717</v>
      </c>
      <c r="F28" s="78">
        <f>E28/'- 3 -'!D28*100</f>
        <v>11.46934820237108</v>
      </c>
      <c r="G28" s="26">
        <f>E28/'- 7 -'!F28</f>
        <v>1050.5208716198476</v>
      </c>
      <c r="H28" s="26">
        <f>SUM('- 34 -'!B28,'- 34 -'!D28,'- 34 -'!F28)</f>
        <v>313871</v>
      </c>
      <c r="I28" s="78">
        <f>H28/'- 3 -'!D28*100</f>
        <v>1.799302844743366</v>
      </c>
      <c r="J28" s="26">
        <f>H28/'- 7 -'!F28</f>
        <v>164.80493567865582</v>
      </c>
    </row>
    <row r="29" spans="1:10" ht="13.5" customHeight="1">
      <c r="A29" s="331" t="s">
        <v>262</v>
      </c>
      <c r="B29" s="332">
        <f>SUM('- 31 -'!D29,'- 31 -'!B29,'- 30 -'!F29,'- 30 -'!D29,'- 30 -'!B29)</f>
        <v>1604201</v>
      </c>
      <c r="C29" s="338">
        <f>B29/'- 3 -'!D29*100</f>
        <v>1.4075634808803827</v>
      </c>
      <c r="D29" s="332">
        <f>B29/'- 7 -'!F29</f>
        <v>127.55544070289827</v>
      </c>
      <c r="E29" s="332">
        <f>SUM('- 33 -'!D29,'- 33 -'!B29,'- 32 -'!F29,'- 32 -'!D29,'- 32 -'!B29)</f>
        <v>11564704</v>
      </c>
      <c r="F29" s="338">
        <f>E29/'- 3 -'!D29*100</f>
        <v>10.147141796814294</v>
      </c>
      <c r="G29" s="332">
        <f>E29/'- 7 -'!F29</f>
        <v>919.5486820657576</v>
      </c>
      <c r="H29" s="332">
        <f>SUM('- 34 -'!B29,'- 34 -'!D29,'- 34 -'!F29)</f>
        <v>2137967</v>
      </c>
      <c r="I29" s="338">
        <f>H29/'- 3 -'!D29*100</f>
        <v>1.8759022544727184</v>
      </c>
      <c r="J29" s="332">
        <f>H29/'- 7 -'!F29</f>
        <v>169.9969784916312</v>
      </c>
    </row>
    <row r="30" spans="1:10" ht="13.5" customHeight="1">
      <c r="A30" s="25" t="s">
        <v>263</v>
      </c>
      <c r="B30" s="26">
        <f>SUM('- 31 -'!D30,'- 31 -'!B30,'- 30 -'!F30,'- 30 -'!D30,'- 30 -'!B30)</f>
        <v>1038044</v>
      </c>
      <c r="C30" s="78">
        <f>B30/'- 3 -'!D30*100</f>
        <v>9.24639218932103</v>
      </c>
      <c r="D30" s="26">
        <f>B30/'- 7 -'!F30</f>
        <v>865.7581317764804</v>
      </c>
      <c r="E30" s="26">
        <f>SUM('- 33 -'!D30,'- 33 -'!B30,'- 32 -'!F30,'- 32 -'!D30,'- 32 -'!B30)</f>
        <v>1219515</v>
      </c>
      <c r="F30" s="78">
        <f>E30/'- 3 -'!D30*100</f>
        <v>10.862847789457707</v>
      </c>
      <c r="G30" s="26">
        <f>E30/'- 7 -'!F30</f>
        <v>1017.1100917431193</v>
      </c>
      <c r="H30" s="26">
        <f>SUM('- 34 -'!B30,'- 34 -'!D30,'- 34 -'!F30)</f>
        <v>175478</v>
      </c>
      <c r="I30" s="78">
        <f>H30/'- 3 -'!D30*100</f>
        <v>1.5630728645391483</v>
      </c>
      <c r="J30" s="26">
        <f>H30/'- 7 -'!F30</f>
        <v>146.3536280233528</v>
      </c>
    </row>
    <row r="31" spans="1:10" ht="13.5" customHeight="1">
      <c r="A31" s="331" t="s">
        <v>264</v>
      </c>
      <c r="B31" s="332">
        <f>SUM('- 31 -'!D31,'- 31 -'!B31,'- 30 -'!F31,'- 30 -'!D31,'- 30 -'!B31)</f>
        <v>864465</v>
      </c>
      <c r="C31" s="338">
        <f>B31/'- 3 -'!D31*100</f>
        <v>3.1226618517839673</v>
      </c>
      <c r="D31" s="332">
        <f>B31/'- 7 -'!F31</f>
        <v>259.1710388247639</v>
      </c>
      <c r="E31" s="332">
        <f>SUM('- 33 -'!D31,'- 33 -'!B31,'- 32 -'!F31,'- 32 -'!D31,'- 32 -'!B31)</f>
        <v>3382866</v>
      </c>
      <c r="F31" s="338">
        <f>E31/'- 3 -'!D31*100</f>
        <v>12.219750490646842</v>
      </c>
      <c r="G31" s="332">
        <f>E31/'- 7 -'!F31</f>
        <v>1014.2005696297407</v>
      </c>
      <c r="H31" s="332">
        <f>SUM('- 34 -'!B31,'- 34 -'!D31,'- 34 -'!F31)</f>
        <v>552571</v>
      </c>
      <c r="I31" s="338">
        <f>H31/'- 3 -'!D31*100</f>
        <v>1.9960234157567032</v>
      </c>
      <c r="J31" s="332">
        <f>H31/'- 7 -'!F31</f>
        <v>165.66361864787888</v>
      </c>
    </row>
    <row r="32" spans="1:10" ht="13.5" customHeight="1">
      <c r="A32" s="25" t="s">
        <v>265</v>
      </c>
      <c r="B32" s="26">
        <f>SUM('- 31 -'!D32,'- 31 -'!B32,'- 30 -'!F32,'- 30 -'!D32,'- 30 -'!B32)</f>
        <v>1566604</v>
      </c>
      <c r="C32" s="78">
        <f>B32/'- 3 -'!D32*100</f>
        <v>7.75270239086575</v>
      </c>
      <c r="D32" s="26">
        <f>B32/'- 7 -'!F32</f>
        <v>723.2705447830101</v>
      </c>
      <c r="E32" s="26">
        <f>SUM('- 33 -'!D32,'- 33 -'!B32,'- 32 -'!F32,'- 32 -'!D32,'- 32 -'!B32)</f>
        <v>2178150</v>
      </c>
      <c r="F32" s="78">
        <f>E32/'- 3 -'!D32*100</f>
        <v>10.779079277637639</v>
      </c>
      <c r="G32" s="26">
        <f>E32/'- 7 -'!F32</f>
        <v>1005.6094182825485</v>
      </c>
      <c r="H32" s="26">
        <f>SUM('- 34 -'!B32,'- 34 -'!D32,'- 34 -'!F32)</f>
        <v>391890</v>
      </c>
      <c r="I32" s="78">
        <f>H32/'- 3 -'!D32*100</f>
        <v>1.9393583445187035</v>
      </c>
      <c r="J32" s="26">
        <f>H32/'- 7 -'!F32</f>
        <v>180.92797783933517</v>
      </c>
    </row>
    <row r="33" spans="1:10" ht="13.5" customHeight="1">
      <c r="A33" s="331" t="s">
        <v>266</v>
      </c>
      <c r="B33" s="332">
        <f>SUM('- 31 -'!D33,'- 31 -'!B33,'- 30 -'!F33,'- 30 -'!D33,'- 30 -'!B33)</f>
        <v>1970005</v>
      </c>
      <c r="C33" s="338">
        <f>B33/'- 3 -'!D33*100</f>
        <v>8.660393890419742</v>
      </c>
      <c r="D33" s="332">
        <f>B33/'- 7 -'!F33</f>
        <v>855.7054122144037</v>
      </c>
      <c r="E33" s="332">
        <f>SUM('- 33 -'!D33,'- 33 -'!B33,'- 32 -'!F33,'- 32 -'!D33,'- 32 -'!B33)</f>
        <v>2816709</v>
      </c>
      <c r="F33" s="338">
        <f>E33/'- 3 -'!D33*100</f>
        <v>12.382612944987603</v>
      </c>
      <c r="G33" s="332">
        <f>E33/'- 7 -'!F33</f>
        <v>1223.485796194944</v>
      </c>
      <c r="H33" s="332">
        <f>SUM('- 34 -'!B33,'- 34 -'!D33,'- 34 -'!F33)</f>
        <v>409439</v>
      </c>
      <c r="I33" s="338">
        <f>H33/'- 3 -'!D33*100</f>
        <v>1.7999462001870903</v>
      </c>
      <c r="J33" s="332">
        <f>H33/'- 7 -'!F33</f>
        <v>177.84684215098602</v>
      </c>
    </row>
    <row r="34" spans="1:10" ht="13.5" customHeight="1">
      <c r="A34" s="25" t="s">
        <v>267</v>
      </c>
      <c r="B34" s="26">
        <f>SUM('- 31 -'!D34,'- 31 -'!B34,'- 30 -'!F34,'- 30 -'!D34,'- 30 -'!B34)</f>
        <v>1859888</v>
      </c>
      <c r="C34" s="78">
        <f>B34/'- 3 -'!D34*100</f>
        <v>9.67921866307369</v>
      </c>
      <c r="D34" s="26">
        <f>B34/'- 7 -'!F34</f>
        <v>910.1482750183509</v>
      </c>
      <c r="E34" s="26">
        <f>SUM('- 33 -'!D34,'- 33 -'!B34,'- 32 -'!F34,'- 32 -'!D34,'- 32 -'!B34)</f>
        <v>2212735</v>
      </c>
      <c r="F34" s="78">
        <f>E34/'- 3 -'!D34*100</f>
        <v>11.515503034825949</v>
      </c>
      <c r="G34" s="26">
        <f>E34/'- 7 -'!F34</f>
        <v>1082.8162466356741</v>
      </c>
      <c r="H34" s="26">
        <f>SUM('- 34 -'!B34,'- 34 -'!D34,'- 34 -'!F34)</f>
        <v>352960</v>
      </c>
      <c r="I34" s="78">
        <f>H34/'- 3 -'!D34*100</f>
        <v>1.8368724457163494</v>
      </c>
      <c r="J34" s="26">
        <f>H34/'- 7 -'!F34</f>
        <v>172.72326890139468</v>
      </c>
    </row>
    <row r="35" spans="1:10" ht="13.5" customHeight="1">
      <c r="A35" s="331" t="s">
        <v>268</v>
      </c>
      <c r="B35" s="332">
        <f>SUM('- 31 -'!D35,'- 31 -'!B35,'- 30 -'!F35,'- 30 -'!D35,'- 30 -'!B35)</f>
        <v>2700257</v>
      </c>
      <c r="C35" s="338">
        <f>B35/'- 3 -'!D35*100</f>
        <v>1.8941439895819805</v>
      </c>
      <c r="D35" s="332">
        <f>B35/'- 7 -'!F35</f>
        <v>160.6913234944061</v>
      </c>
      <c r="E35" s="332">
        <f>SUM('- 33 -'!D35,'- 33 -'!B35,'- 32 -'!F35,'- 32 -'!D35,'- 32 -'!B35)</f>
        <v>17491482</v>
      </c>
      <c r="F35" s="338">
        <f>E35/'- 3 -'!D35*100</f>
        <v>12.269715623061582</v>
      </c>
      <c r="G35" s="332">
        <f>E35/'- 7 -'!F35</f>
        <v>1040.9118067126874</v>
      </c>
      <c r="H35" s="332">
        <f>SUM('- 34 -'!B35,'- 34 -'!D35,'- 34 -'!F35)</f>
        <v>2437889</v>
      </c>
      <c r="I35" s="338">
        <f>H35/'- 3 -'!D35*100</f>
        <v>1.7101012224458725</v>
      </c>
      <c r="J35" s="332">
        <f>H35/'- 7 -'!F35</f>
        <v>145.07789811949536</v>
      </c>
    </row>
    <row r="36" spans="1:10" ht="13.5" customHeight="1">
      <c r="A36" s="25" t="s">
        <v>269</v>
      </c>
      <c r="B36" s="26">
        <f>SUM('- 31 -'!D36,'- 31 -'!B36,'- 30 -'!F36,'- 30 -'!D36,'- 30 -'!B36)</f>
        <v>1291060</v>
      </c>
      <c r="C36" s="78">
        <f>B36/'- 3 -'!D36*100</f>
        <v>7.194210528925986</v>
      </c>
      <c r="D36" s="26">
        <f>B36/'- 7 -'!F36</f>
        <v>665.8380608561114</v>
      </c>
      <c r="E36" s="26">
        <f>SUM('- 33 -'!D36,'- 33 -'!B36,'- 32 -'!F36,'- 32 -'!D36,'- 32 -'!B36)</f>
        <v>2103360</v>
      </c>
      <c r="F36" s="78">
        <f>E36/'- 3 -'!D36*100</f>
        <v>11.720613029697892</v>
      </c>
      <c r="G36" s="26">
        <f>E36/'- 7 -'!F36</f>
        <v>1084.7653429602888</v>
      </c>
      <c r="H36" s="26">
        <f>SUM('- 34 -'!B36,'- 34 -'!D36,'- 34 -'!F36)</f>
        <v>353843</v>
      </c>
      <c r="I36" s="78">
        <f>H36/'- 3 -'!D36*100</f>
        <v>1.9717294596585424</v>
      </c>
      <c r="J36" s="26">
        <f>H36/'- 7 -'!F36</f>
        <v>182.48736462093862</v>
      </c>
    </row>
    <row r="37" spans="1:10" ht="13.5" customHeight="1">
      <c r="A37" s="331" t="s">
        <v>270</v>
      </c>
      <c r="B37" s="332">
        <f>SUM('- 31 -'!D37,'- 31 -'!B37,'- 30 -'!F37,'- 30 -'!D37,'- 30 -'!B37)</f>
        <v>1872344</v>
      </c>
      <c r="C37" s="338">
        <f>B37/'- 3 -'!D37*100</f>
        <v>6.272972593117849</v>
      </c>
      <c r="D37" s="332">
        <f>B37/'- 7 -'!F37</f>
        <v>557.3115847124658</v>
      </c>
      <c r="E37" s="332">
        <f>SUM('- 33 -'!D37,'- 33 -'!B37,'- 32 -'!F37,'- 32 -'!D37,'- 32 -'!B37)</f>
        <v>3233464</v>
      </c>
      <c r="F37" s="338">
        <f>E37/'- 3 -'!D37*100</f>
        <v>10.833175448973702</v>
      </c>
      <c r="G37" s="332">
        <f>E37/'- 7 -'!F37</f>
        <v>962.4550541731159</v>
      </c>
      <c r="H37" s="332">
        <f>SUM('- 34 -'!B37,'- 34 -'!D37,'- 34 -'!F37)</f>
        <v>515722</v>
      </c>
      <c r="I37" s="338">
        <f>H37/'- 3 -'!D37*100</f>
        <v>1.7278395271744529</v>
      </c>
      <c r="J37" s="332">
        <f>H37/'- 7 -'!F37</f>
        <v>153.50696511489463</v>
      </c>
    </row>
    <row r="38" spans="1:10" ht="13.5" customHeight="1">
      <c r="A38" s="25" t="s">
        <v>271</v>
      </c>
      <c r="B38" s="26">
        <f>SUM('- 31 -'!D38,'- 31 -'!B38,'- 30 -'!F38,'- 30 -'!D38,'- 30 -'!B38)</f>
        <v>2282350</v>
      </c>
      <c r="C38" s="78">
        <f>B38/'- 3 -'!D38*100</f>
        <v>3.0761688852097935</v>
      </c>
      <c r="D38" s="26">
        <f>B38/'- 7 -'!F38</f>
        <v>260.6463769771027</v>
      </c>
      <c r="E38" s="26">
        <f>SUM('- 33 -'!D38,'- 33 -'!B38,'- 32 -'!F38,'- 32 -'!D38,'- 32 -'!B38)</f>
        <v>8221729</v>
      </c>
      <c r="F38" s="78">
        <f>E38/'- 3 -'!D38*100</f>
        <v>11.081309585482957</v>
      </c>
      <c r="G38" s="26">
        <f>E38/'- 7 -'!F38</f>
        <v>938.928681550848</v>
      </c>
      <c r="H38" s="26">
        <f>SUM('- 34 -'!B38,'- 34 -'!D38,'- 34 -'!F38)</f>
        <v>1361888</v>
      </c>
      <c r="I38" s="78">
        <f>H38/'- 3 -'!D38*100</f>
        <v>1.8355631216687165</v>
      </c>
      <c r="J38" s="26">
        <f>H38/'- 7 -'!F38</f>
        <v>155.52880717181523</v>
      </c>
    </row>
    <row r="39" spans="1:10" ht="13.5" customHeight="1">
      <c r="A39" s="331" t="s">
        <v>272</v>
      </c>
      <c r="B39" s="332">
        <f>SUM('- 31 -'!D39,'- 31 -'!B39,'- 30 -'!F39,'- 30 -'!D39,'- 30 -'!B39)</f>
        <v>1436380</v>
      </c>
      <c r="C39" s="338">
        <f>B39/'- 3 -'!D39*100</f>
        <v>8.787768997635883</v>
      </c>
      <c r="D39" s="332">
        <f>B39/'- 7 -'!F39</f>
        <v>867.9033232628399</v>
      </c>
      <c r="E39" s="332">
        <f>SUM('- 33 -'!D39,'- 33 -'!B39,'- 32 -'!F39,'- 32 -'!D39,'- 32 -'!B39)</f>
        <v>1835342</v>
      </c>
      <c r="F39" s="338">
        <f>E39/'- 3 -'!D39*100</f>
        <v>11.228617446399308</v>
      </c>
      <c r="G39" s="332">
        <f>E39/'- 7 -'!F39</f>
        <v>1108.9679758308157</v>
      </c>
      <c r="H39" s="332">
        <f>SUM('- 34 -'!B39,'- 34 -'!D39,'- 34 -'!F39)</f>
        <v>309463</v>
      </c>
      <c r="I39" s="338">
        <f>H39/'- 3 -'!D39*100</f>
        <v>1.8932938061762161</v>
      </c>
      <c r="J39" s="332">
        <f>H39/'- 7 -'!F39</f>
        <v>186.9867069486405</v>
      </c>
    </row>
    <row r="40" spans="1:10" ht="13.5" customHeight="1">
      <c r="A40" s="25" t="s">
        <v>273</v>
      </c>
      <c r="B40" s="26">
        <f>SUM('- 31 -'!D40,'- 31 -'!B40,'- 30 -'!F40,'- 30 -'!D40,'- 30 -'!B40)</f>
        <v>1245891</v>
      </c>
      <c r="C40" s="78">
        <f>B40/'- 3 -'!D40*100</f>
        <v>1.6304589360866473</v>
      </c>
      <c r="D40" s="26">
        <f>B40/'- 7 -'!F40</f>
        <v>143.43090020549482</v>
      </c>
      <c r="E40" s="26">
        <f>SUM('- 33 -'!D40,'- 33 -'!B40,'- 32 -'!F40,'- 32 -'!D40,'- 32 -'!B40)</f>
        <v>9393731</v>
      </c>
      <c r="F40" s="78">
        <f>E40/'- 3 -'!D40*100</f>
        <v>12.293284606875044</v>
      </c>
      <c r="G40" s="26">
        <f>E40/'- 7 -'!F40</f>
        <v>1081.4359310872806</v>
      </c>
      <c r="H40" s="26">
        <f>SUM('- 34 -'!B40,'- 34 -'!D40,'- 34 -'!F40)</f>
        <v>1376508</v>
      </c>
      <c r="I40" s="78">
        <f>H40/'- 3 -'!D40*100</f>
        <v>1.8013933555943167</v>
      </c>
      <c r="J40" s="26">
        <f>H40/'- 7 -'!F40</f>
        <v>158.4679410799703</v>
      </c>
    </row>
    <row r="41" spans="1:10" ht="13.5" customHeight="1">
      <c r="A41" s="331" t="s">
        <v>274</v>
      </c>
      <c r="B41" s="332">
        <f>SUM('- 31 -'!D41,'- 31 -'!B41,'- 30 -'!F41,'- 30 -'!D41,'- 30 -'!B41)</f>
        <v>3572756</v>
      </c>
      <c r="C41" s="338">
        <f>B41/'- 3 -'!D41*100</f>
        <v>7.6649824222204845</v>
      </c>
      <c r="D41" s="332">
        <f>B41/'- 7 -'!F41</f>
        <v>763.8174238375201</v>
      </c>
      <c r="E41" s="332">
        <f>SUM('- 33 -'!D41,'- 33 -'!B41,'- 32 -'!F41,'- 32 -'!D41,'- 32 -'!B41)</f>
        <v>4672025</v>
      </c>
      <c r="F41" s="338">
        <f>E41/'- 3 -'!D41*100</f>
        <v>10.023351581013273</v>
      </c>
      <c r="G41" s="332">
        <f>E41/'- 7 -'!F41</f>
        <v>998.8295029396045</v>
      </c>
      <c r="H41" s="332">
        <f>SUM('- 34 -'!B41,'- 34 -'!D41,'- 34 -'!F41)</f>
        <v>865985</v>
      </c>
      <c r="I41" s="338">
        <f>H41/'- 3 -'!D41*100</f>
        <v>1.8578822071550944</v>
      </c>
      <c r="J41" s="332">
        <f>H41/'- 7 -'!F41</f>
        <v>185.13842864778192</v>
      </c>
    </row>
    <row r="42" spans="1:10" ht="13.5" customHeight="1">
      <c r="A42" s="25" t="s">
        <v>275</v>
      </c>
      <c r="B42" s="26">
        <f>SUM('- 31 -'!D42,'- 31 -'!B42,'- 30 -'!F42,'- 30 -'!D42,'- 30 -'!B42)</f>
        <v>1227635</v>
      </c>
      <c r="C42" s="78">
        <f>B42/'- 3 -'!D42*100</f>
        <v>7.432579987713223</v>
      </c>
      <c r="D42" s="26">
        <f>B42/'- 7 -'!F42</f>
        <v>710.4369212962963</v>
      </c>
      <c r="E42" s="26">
        <f>SUM('- 33 -'!D42,'- 33 -'!B42,'- 32 -'!F42,'- 32 -'!D42,'- 32 -'!B42)</f>
        <v>1755072</v>
      </c>
      <c r="F42" s="78">
        <f>E42/'- 3 -'!D42*100</f>
        <v>10.625888822162793</v>
      </c>
      <c r="G42" s="26">
        <f>E42/'- 7 -'!F42</f>
        <v>1015.6666666666666</v>
      </c>
      <c r="H42" s="26">
        <f>SUM('- 34 -'!B42,'- 34 -'!D42,'- 34 -'!F42)</f>
        <v>261928</v>
      </c>
      <c r="I42" s="78">
        <f>H42/'- 3 -'!D42*100</f>
        <v>1.5858140335048683</v>
      </c>
      <c r="J42" s="26">
        <f>H42/'- 7 -'!F42</f>
        <v>151.5787037037037</v>
      </c>
    </row>
    <row r="43" spans="1:10" ht="13.5" customHeight="1">
      <c r="A43" s="331" t="s">
        <v>276</v>
      </c>
      <c r="B43" s="332">
        <f>SUM('- 31 -'!D43,'- 31 -'!B43,'- 30 -'!F43,'- 30 -'!D43,'- 30 -'!B43)</f>
        <v>771692</v>
      </c>
      <c r="C43" s="338">
        <f>B43/'- 3 -'!D43*100</f>
        <v>7.578777827155522</v>
      </c>
      <c r="D43" s="332">
        <f>B43/'- 7 -'!F43</f>
        <v>708.2992198256081</v>
      </c>
      <c r="E43" s="332">
        <f>SUM('- 33 -'!D43,'- 33 -'!B43,'- 32 -'!F43,'- 32 -'!D43,'- 32 -'!B43)</f>
        <v>1058019</v>
      </c>
      <c r="F43" s="338">
        <f>E43/'- 3 -'!D43*100</f>
        <v>10.390791841705315</v>
      </c>
      <c r="G43" s="332">
        <f>E43/'- 7 -'!F43</f>
        <v>971.1050940798532</v>
      </c>
      <c r="H43" s="332">
        <f>SUM('- 34 -'!B43,'- 34 -'!D43,'- 34 -'!F43)</f>
        <v>179016</v>
      </c>
      <c r="I43" s="338">
        <f>H43/'- 3 -'!D43*100</f>
        <v>1.758113977475564</v>
      </c>
      <c r="J43" s="332">
        <f>H43/'- 7 -'!F43</f>
        <v>164.31023405231758</v>
      </c>
    </row>
    <row r="44" spans="1:10" ht="13.5" customHeight="1">
      <c r="A44" s="25" t="s">
        <v>277</v>
      </c>
      <c r="B44" s="26">
        <f>SUM('- 31 -'!D44,'- 31 -'!B44,'- 30 -'!F44,'- 30 -'!D44,'- 30 -'!B44)</f>
        <v>784602</v>
      </c>
      <c r="C44" s="78">
        <f>B44/'- 3 -'!D44*100</f>
        <v>10.14928701634489</v>
      </c>
      <c r="D44" s="26">
        <f>B44/'- 7 -'!F44</f>
        <v>959.7577981651376</v>
      </c>
      <c r="E44" s="26">
        <f>SUM('- 33 -'!D44,'- 33 -'!B44,'- 32 -'!F44,'- 32 -'!D44,'- 32 -'!B44)</f>
        <v>840666</v>
      </c>
      <c r="F44" s="78">
        <f>E44/'- 3 -'!D44*100</f>
        <v>10.874507736256845</v>
      </c>
      <c r="G44" s="26">
        <f>E44/'- 7 -'!F44</f>
        <v>1028.3376146788992</v>
      </c>
      <c r="H44" s="26">
        <f>SUM('- 34 -'!B44,'- 34 -'!D44,'- 34 -'!F44)</f>
        <v>117378</v>
      </c>
      <c r="I44" s="78">
        <f>H44/'- 3 -'!D44*100</f>
        <v>1.51835326879683</v>
      </c>
      <c r="J44" s="26">
        <f>H44/'- 7 -'!F44</f>
        <v>143.5816513761468</v>
      </c>
    </row>
    <row r="45" spans="1:10" ht="13.5" customHeight="1">
      <c r="A45" s="331" t="s">
        <v>278</v>
      </c>
      <c r="B45" s="332">
        <f>SUM('- 31 -'!D45,'- 31 -'!B45,'- 30 -'!F45,'- 30 -'!D45,'- 30 -'!B45)</f>
        <v>463329</v>
      </c>
      <c r="C45" s="338">
        <f>B45/'- 3 -'!D45*100</f>
        <v>3.9766624503379706</v>
      </c>
      <c r="D45" s="332">
        <f>B45/'- 7 -'!F45</f>
        <v>313.9085365853659</v>
      </c>
      <c r="E45" s="332">
        <f>SUM('- 33 -'!D45,'- 33 -'!B45,'- 32 -'!F45,'- 32 -'!D45,'- 32 -'!B45)</f>
        <v>1188107</v>
      </c>
      <c r="F45" s="338">
        <f>E45/'- 3 -'!D45*100</f>
        <v>10.197290680884846</v>
      </c>
      <c r="G45" s="332">
        <f>E45/'- 7 -'!F45</f>
        <v>804.9505420054201</v>
      </c>
      <c r="H45" s="332">
        <f>SUM('- 34 -'!B45,'- 34 -'!D45,'- 34 -'!F45)</f>
        <v>232120.78</v>
      </c>
      <c r="I45" s="338">
        <f>H45/'- 3 -'!D45*100</f>
        <v>1.9922473874269924</v>
      </c>
      <c r="J45" s="332">
        <f>H45/'- 7 -'!F45</f>
        <v>157.26340108401084</v>
      </c>
    </row>
    <row r="46" spans="1:10" ht="13.5" customHeight="1">
      <c r="A46" s="25" t="s">
        <v>279</v>
      </c>
      <c r="B46" s="26">
        <f>SUM('- 31 -'!D46,'- 31 -'!B46,'- 30 -'!F46,'- 30 -'!D46,'- 30 -'!B46)</f>
        <v>4044150</v>
      </c>
      <c r="C46" s="78">
        <f>B46/'- 3 -'!D46*100</f>
        <v>1.3927701743309917</v>
      </c>
      <c r="D46" s="26">
        <f>B46/'- 7 -'!F46</f>
        <v>133.7926357230291</v>
      </c>
      <c r="E46" s="26">
        <f>SUM('- 33 -'!D46,'- 33 -'!B46,'- 32 -'!F46,'- 32 -'!D46,'- 32 -'!B46)</f>
        <v>39713263</v>
      </c>
      <c r="F46" s="78">
        <f>E46/'- 3 -'!D46*100</f>
        <v>13.67690323844628</v>
      </c>
      <c r="G46" s="26">
        <f>E46/'- 7 -'!F46</f>
        <v>1313.8340887286201</v>
      </c>
      <c r="H46" s="26">
        <f>SUM('- 34 -'!B46,'- 34 -'!D46,'- 34 -'!F46)</f>
        <v>5151814</v>
      </c>
      <c r="I46" s="78">
        <f>H46/'- 3 -'!D46*100</f>
        <v>1.7742400462151118</v>
      </c>
      <c r="J46" s="26">
        <f>H46/'- 7 -'!F46</f>
        <v>170.43748966156085</v>
      </c>
    </row>
    <row r="47" spans="1:10" ht="4.5" customHeight="1">
      <c r="A47" s="27"/>
      <c r="B47" s="28"/>
      <c r="C47"/>
      <c r="D47"/>
      <c r="E47"/>
      <c r="F47"/>
      <c r="G47"/>
      <c r="H47"/>
      <c r="I47"/>
      <c r="J47"/>
    </row>
    <row r="48" spans="1:10" ht="13.5" customHeight="1">
      <c r="A48" s="333" t="s">
        <v>280</v>
      </c>
      <c r="B48" s="334">
        <f>SUM(B11:B46)</f>
        <v>63324389</v>
      </c>
      <c r="C48" s="341">
        <f>B48/'- 3 -'!D48*100</f>
        <v>3.991182356266202</v>
      </c>
      <c r="D48" s="334">
        <f>B48/'- 7 -'!F48</f>
        <v>364.5565900501174</v>
      </c>
      <c r="E48" s="334">
        <f>SUM(E11:E46)</f>
        <v>191528767</v>
      </c>
      <c r="F48" s="341">
        <f>E48/'- 3 -'!D48*100</f>
        <v>12.07159275658894</v>
      </c>
      <c r="G48" s="334">
        <f>E48/'- 7 -'!F48</f>
        <v>1102.6253122477574</v>
      </c>
      <c r="H48" s="334">
        <f>SUM(H11:H46)</f>
        <v>28654864.78</v>
      </c>
      <c r="I48" s="341">
        <f>H48/'- 3 -'!D48*100</f>
        <v>1.8060464938892629</v>
      </c>
      <c r="J48" s="334">
        <f>H48/'- 7 -'!F48</f>
        <v>164.9651888870812</v>
      </c>
    </row>
    <row r="49" spans="1:10" ht="4.5" customHeight="1">
      <c r="A49" s="27" t="s">
        <v>32</v>
      </c>
      <c r="B49" s="28"/>
      <c r="C49"/>
      <c r="D49"/>
      <c r="E49"/>
      <c r="F49"/>
      <c r="G49"/>
      <c r="H49"/>
      <c r="I49"/>
      <c r="J49"/>
    </row>
    <row r="50" spans="1:10" ht="13.5" customHeight="1">
      <c r="A50" s="331" t="s">
        <v>281</v>
      </c>
      <c r="B50" s="332">
        <f>SUM('- 31 -'!D50,'- 31 -'!B50,'- 30 -'!F50,'- 30 -'!D50,'- 30 -'!B50)</f>
        <v>26847</v>
      </c>
      <c r="C50" s="338">
        <f>B50/'- 3 -'!D50*100</f>
        <v>1.0185050999232905</v>
      </c>
      <c r="D50" s="332">
        <f>B50/'- 7 -'!F50</f>
        <v>117.59526938239158</v>
      </c>
      <c r="E50" s="332">
        <f>SUM('- 33 -'!D50,'- 33 -'!B50,'- 32 -'!F50,'- 32 -'!D50,'- 32 -'!B50)</f>
        <v>308445</v>
      </c>
      <c r="F50" s="338">
        <f>E50/'- 3 -'!D50*100</f>
        <v>11.701598150476379</v>
      </c>
      <c r="G50" s="332">
        <f>E50/'- 7 -'!F50</f>
        <v>1351.0512483574244</v>
      </c>
      <c r="H50" s="332">
        <f>SUM('- 34 -'!B50,'- 34 -'!D50,'- 34 -'!F50)</f>
        <v>43445</v>
      </c>
      <c r="I50" s="338">
        <f>H50/'- 3 -'!D50*100</f>
        <v>1.6481898933276478</v>
      </c>
      <c r="J50" s="332">
        <f>H50/'- 7 -'!F50</f>
        <v>190.29785370127024</v>
      </c>
    </row>
    <row r="51" spans="1:10" ht="13.5" customHeight="1">
      <c r="A51" s="25" t="s">
        <v>282</v>
      </c>
      <c r="B51" s="26">
        <f>SUM('- 31 -'!D51,'- 31 -'!B51,'- 30 -'!F51,'- 30 -'!D51,'- 30 -'!B51)</f>
        <v>0</v>
      </c>
      <c r="C51" s="78">
        <f>B51/'- 3 -'!D51*100</f>
        <v>0</v>
      </c>
      <c r="D51" s="26">
        <f>B51/'- 7 -'!F51</f>
        <v>0</v>
      </c>
      <c r="E51" s="26">
        <f>SUM('- 33 -'!D51,'- 33 -'!B51,'- 32 -'!F51,'- 32 -'!D51,'- 32 -'!B51)</f>
        <v>940522</v>
      </c>
      <c r="F51" s="78">
        <f>E51/'- 3 -'!D51*100</f>
        <v>9.294853835048023</v>
      </c>
      <c r="G51" s="26">
        <f>E51/'- 7 -'!F51</f>
        <v>1412.831605828451</v>
      </c>
      <c r="H51" s="26">
        <f>SUM('- 34 -'!B51,'- 34 -'!D51,'- 34 -'!F51)</f>
        <v>133273</v>
      </c>
      <c r="I51" s="78">
        <f>H51/'- 3 -'!D51*100</f>
        <v>1.3170909932551873</v>
      </c>
      <c r="J51" s="26">
        <f>H51/'- 7 -'!F51</f>
        <v>200.19978969505783</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2"/>
  <sheetViews>
    <sheetView showGridLines="0" showZeros="0" workbookViewId="0" topLeftCell="A1">
      <selection activeCell="A1" sqref="A1"/>
    </sheetView>
  </sheetViews>
  <sheetFormatPr defaultColWidth="15.83203125" defaultRowHeight="12"/>
  <cols>
    <col min="1" max="1" width="33.83203125" style="1" customWidth="1"/>
    <col min="2" max="2" width="21.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5"/>
      <c r="B1" s="99"/>
      <c r="C1" s="99"/>
      <c r="D1" s="99"/>
      <c r="E1" s="99"/>
      <c r="F1" s="99"/>
      <c r="G1" s="99"/>
    </row>
    <row r="2" spans="1:7" ht="15.75" customHeight="1">
      <c r="A2" s="154"/>
      <c r="B2" s="100" t="s">
        <v>528</v>
      </c>
      <c r="C2" s="231"/>
      <c r="D2" s="101"/>
      <c r="E2" s="101"/>
      <c r="F2" s="101"/>
      <c r="G2" s="155" t="s">
        <v>478</v>
      </c>
    </row>
    <row r="3" spans="1:7" ht="15.75" customHeight="1">
      <c r="A3" s="156"/>
      <c r="B3" s="232" t="str">
        <f>OPYEAR</f>
        <v>OPERATING FUND 2006/2007 ACTUAL</v>
      </c>
      <c r="C3" s="104"/>
      <c r="D3" s="233"/>
      <c r="E3" s="104"/>
      <c r="F3" s="104"/>
      <c r="G3" s="106"/>
    </row>
    <row r="4" spans="2:7" ht="15.75" customHeight="1">
      <c r="B4" s="99"/>
      <c r="C4" s="99"/>
      <c r="D4" s="99"/>
      <c r="E4" s="99"/>
      <c r="F4" s="99"/>
      <c r="G4" s="99"/>
    </row>
    <row r="5" spans="2:7" ht="15.75" customHeight="1">
      <c r="B5" s="212" t="s">
        <v>38</v>
      </c>
      <c r="C5" s="197"/>
      <c r="D5" s="198"/>
      <c r="E5" s="198"/>
      <c r="F5" s="198"/>
      <c r="G5" s="199"/>
    </row>
    <row r="6" spans="2:7" ht="15.75" customHeight="1">
      <c r="B6" s="359"/>
      <c r="C6" s="362"/>
      <c r="D6" s="360"/>
      <c r="E6" s="359" t="s">
        <v>205</v>
      </c>
      <c r="F6" s="362"/>
      <c r="G6" s="360"/>
    </row>
    <row r="7" spans="2:7" ht="15.75" customHeight="1">
      <c r="B7" s="345" t="s">
        <v>59</v>
      </c>
      <c r="C7" s="346"/>
      <c r="D7" s="347"/>
      <c r="E7" s="345" t="s">
        <v>240</v>
      </c>
      <c r="F7" s="346"/>
      <c r="G7" s="347"/>
    </row>
    <row r="8" spans="1:7" ht="15.75" customHeight="1">
      <c r="A8" s="74"/>
      <c r="B8" s="157"/>
      <c r="C8" s="158"/>
      <c r="D8" s="159" t="s">
        <v>89</v>
      </c>
      <c r="E8" s="157"/>
      <c r="F8" s="159"/>
      <c r="G8" s="159" t="s">
        <v>89</v>
      </c>
    </row>
    <row r="9" spans="1:7" ht="15.75" customHeight="1">
      <c r="A9" s="41" t="s">
        <v>108</v>
      </c>
      <c r="B9" s="86" t="s">
        <v>109</v>
      </c>
      <c r="C9" s="86" t="s">
        <v>110</v>
      </c>
      <c r="D9" s="86" t="s">
        <v>111</v>
      </c>
      <c r="E9" s="86" t="s">
        <v>109</v>
      </c>
      <c r="F9" s="86" t="s">
        <v>110</v>
      </c>
      <c r="G9" s="86" t="s">
        <v>111</v>
      </c>
    </row>
    <row r="10" ht="4.5" customHeight="1">
      <c r="A10" s="4"/>
    </row>
    <row r="11" spans="1:7" ht="13.5" customHeight="1">
      <c r="A11" s="331" t="s">
        <v>245</v>
      </c>
      <c r="B11" s="332">
        <v>722824</v>
      </c>
      <c r="C11" s="338">
        <f>B11/'- 3 -'!D11*100</f>
        <v>5.9873715947128465</v>
      </c>
      <c r="D11" s="332">
        <f>B11/'- 7 -'!C11</f>
        <v>506.7115317209954</v>
      </c>
      <c r="E11" s="332">
        <v>0</v>
      </c>
      <c r="F11" s="338">
        <f>E11/'- 3 -'!D11*100</f>
        <v>0</v>
      </c>
      <c r="G11" s="332">
        <f>IF('- 7 -'!B11=0,"",E11/'- 7 -'!B11)</f>
      </c>
    </row>
    <row r="12" spans="1:7" ht="13.5" customHeight="1">
      <c r="A12" s="25" t="s">
        <v>246</v>
      </c>
      <c r="B12" s="26">
        <v>1461447</v>
      </c>
      <c r="C12" s="78">
        <f>B12/'- 3 -'!D12*100</f>
        <v>6.643825637151801</v>
      </c>
      <c r="D12" s="26">
        <f>B12/'- 7 -'!C12</f>
        <v>610.1234485436245</v>
      </c>
      <c r="E12" s="26">
        <v>630094.7</v>
      </c>
      <c r="F12" s="78">
        <f>E12/'- 3 -'!D12*100</f>
        <v>2.8644482637368807</v>
      </c>
      <c r="G12" s="26">
        <f>IF('- 7 -'!B12=0,"",E12/'- 7 -'!B12)</f>
        <v>8385.609528879424</v>
      </c>
    </row>
    <row r="13" spans="1:7" ht="13.5" customHeight="1">
      <c r="A13" s="331" t="s">
        <v>247</v>
      </c>
      <c r="B13" s="332">
        <v>3280078</v>
      </c>
      <c r="C13" s="338">
        <f>B13/'- 3 -'!D13*100</f>
        <v>6.108927635289602</v>
      </c>
      <c r="D13" s="332">
        <f>B13/'- 7 -'!C13</f>
        <v>502.73246992106675</v>
      </c>
      <c r="E13" s="332">
        <v>2108588</v>
      </c>
      <c r="F13" s="338">
        <f>E13/'- 3 -'!D13*100</f>
        <v>3.927105240985132</v>
      </c>
      <c r="G13" s="332">
        <f>IF('- 7 -'!B13=0,"",E13/'- 7 -'!B13)</f>
        <v>5923</v>
      </c>
    </row>
    <row r="14" spans="1:7" ht="13.5" customHeight="1">
      <c r="A14" s="25" t="s">
        <v>283</v>
      </c>
      <c r="B14" s="26">
        <v>3718939</v>
      </c>
      <c r="C14" s="78">
        <f>B14/'- 3 -'!D14*100</f>
        <v>7.570956487661877</v>
      </c>
      <c r="D14" s="26">
        <f>B14/'- 7 -'!C14</f>
        <v>812.1727451408605</v>
      </c>
      <c r="E14" s="26">
        <v>0</v>
      </c>
      <c r="F14" s="78">
        <f>E14/'- 3 -'!D14*100</f>
        <v>0</v>
      </c>
      <c r="G14" s="26">
        <f>IF('- 7 -'!B14=0,"",E14/'- 7 -'!B14)</f>
      </c>
    </row>
    <row r="15" spans="1:7" ht="13.5" customHeight="1">
      <c r="A15" s="331" t="s">
        <v>248</v>
      </c>
      <c r="B15" s="332">
        <v>1019752</v>
      </c>
      <c r="C15" s="338">
        <f>B15/'- 3 -'!D15*100</f>
        <v>7.211118288625902</v>
      </c>
      <c r="D15" s="332">
        <f>B15/'- 7 -'!C15</f>
        <v>627.5396923076923</v>
      </c>
      <c r="E15" s="332">
        <v>0</v>
      </c>
      <c r="F15" s="338">
        <f>E15/'- 3 -'!D15*100</f>
        <v>0</v>
      </c>
      <c r="G15" s="332">
        <f>IF('- 7 -'!B15=0,"",E15/'- 7 -'!B15)</f>
      </c>
    </row>
    <row r="16" spans="1:7" ht="13.5" customHeight="1">
      <c r="A16" s="25" t="s">
        <v>249</v>
      </c>
      <c r="B16" s="26">
        <v>958780</v>
      </c>
      <c r="C16" s="78">
        <f>B16/'- 3 -'!D16*100</f>
        <v>8.62411254127798</v>
      </c>
      <c r="D16" s="26">
        <f>B16/'- 7 -'!C16</f>
        <v>864.934596301308</v>
      </c>
      <c r="E16" s="26">
        <v>78240</v>
      </c>
      <c r="F16" s="78">
        <f>E16/'- 3 -'!D16*100</f>
        <v>0.7037595331875814</v>
      </c>
      <c r="G16" s="26">
        <f>IF('- 7 -'!B16=0,"",E16/'- 7 -'!B16)</f>
        <v>6520</v>
      </c>
    </row>
    <row r="17" spans="1:7" ht="13.5" customHeight="1">
      <c r="A17" s="331" t="s">
        <v>250</v>
      </c>
      <c r="B17" s="332">
        <v>902323</v>
      </c>
      <c r="C17" s="338">
        <f>B17/'- 3 -'!D17*100</f>
        <v>6.756226250762892</v>
      </c>
      <c r="D17" s="332">
        <f>B17/'- 7 -'!C17</f>
        <v>617.8964410792197</v>
      </c>
      <c r="E17" s="332">
        <v>97050</v>
      </c>
      <c r="F17" s="338">
        <f>E17/'- 3 -'!D17*100</f>
        <v>0.7266707793512286</v>
      </c>
      <c r="G17" s="332">
        <f>IF('- 7 -'!B17=0,"",E17/'- 7 -'!B17)</f>
        <v>2966.593886462882</v>
      </c>
    </row>
    <row r="18" spans="1:7" ht="13.5" customHeight="1">
      <c r="A18" s="25" t="s">
        <v>251</v>
      </c>
      <c r="B18" s="26">
        <v>4929684</v>
      </c>
      <c r="C18" s="78">
        <f>B18/'- 3 -'!D18*100</f>
        <v>5.667059056150015</v>
      </c>
      <c r="D18" s="26">
        <f>B18/'- 7 -'!C18</f>
        <v>862.0137091697559</v>
      </c>
      <c r="E18" s="26">
        <v>0</v>
      </c>
      <c r="F18" s="78">
        <f>E18/'- 3 -'!D18*100</f>
        <v>0</v>
      </c>
      <c r="G18" s="26">
        <f>IF('- 7 -'!B18=0,"",E18/'- 7 -'!B18)</f>
      </c>
    </row>
    <row r="19" spans="1:7" ht="13.5" customHeight="1">
      <c r="A19" s="331" t="s">
        <v>252</v>
      </c>
      <c r="B19" s="332">
        <v>1461359</v>
      </c>
      <c r="C19" s="338">
        <f>B19/'- 3 -'!D19*100</f>
        <v>5.901295062491719</v>
      </c>
      <c r="D19" s="332">
        <f>B19/'- 7 -'!C19</f>
        <v>430.5129534594604</v>
      </c>
      <c r="E19" s="332">
        <v>756124</v>
      </c>
      <c r="F19" s="338">
        <f>E19/'- 3 -'!D19*100</f>
        <v>3.0533981231384546</v>
      </c>
      <c r="G19" s="332">
        <f>IF('- 7 -'!B19=0,"",E19/'- 7 -'!B19)</f>
        <v>5749.11800486618</v>
      </c>
    </row>
    <row r="20" spans="1:7" ht="13.5" customHeight="1">
      <c r="A20" s="25" t="s">
        <v>253</v>
      </c>
      <c r="B20" s="26">
        <v>2825467</v>
      </c>
      <c r="C20" s="78">
        <f>B20/'- 3 -'!D20*100</f>
        <v>6.125056492952211</v>
      </c>
      <c r="D20" s="26">
        <f>B20/'- 7 -'!C20</f>
        <v>416.92002360926665</v>
      </c>
      <c r="E20" s="26">
        <v>1568976</v>
      </c>
      <c r="F20" s="78">
        <f>E20/'- 3 -'!D20*100</f>
        <v>3.4012312428657596</v>
      </c>
      <c r="G20" s="26">
        <f>IF('- 7 -'!B20=0,"",E20/'- 7 -'!B20)</f>
        <v>3931.2853921322976</v>
      </c>
    </row>
    <row r="21" spans="1:7" ht="13.5" customHeight="1">
      <c r="A21" s="331" t="s">
        <v>254</v>
      </c>
      <c r="B21" s="332">
        <v>1995520</v>
      </c>
      <c r="C21" s="338">
        <f>B21/'- 3 -'!D21*100</f>
        <v>7.54143971084698</v>
      </c>
      <c r="D21" s="332">
        <f>B21/'- 7 -'!C21</f>
        <v>648.6331870632212</v>
      </c>
      <c r="E21" s="332">
        <v>0</v>
      </c>
      <c r="F21" s="338">
        <f>E21/'- 3 -'!D21*100</f>
        <v>0</v>
      </c>
      <c r="G21" s="332">
        <f>IF('- 7 -'!B21=0,"",E21/'- 7 -'!B21)</f>
      </c>
    </row>
    <row r="22" spans="1:7" ht="13.5" customHeight="1">
      <c r="A22" s="25" t="s">
        <v>255</v>
      </c>
      <c r="B22" s="26">
        <v>946985</v>
      </c>
      <c r="C22" s="78">
        <f>B22/'- 3 -'!D22*100</f>
        <v>6.320598516097524</v>
      </c>
      <c r="D22" s="26">
        <f>B22/'- 7 -'!C22</f>
        <v>619.1872629789459</v>
      </c>
      <c r="E22" s="26">
        <v>0</v>
      </c>
      <c r="F22" s="78">
        <f>E22/'- 3 -'!D22*100</f>
        <v>0</v>
      </c>
      <c r="G22" s="26">
        <f>IF('- 7 -'!B22=0,"",E22/'- 7 -'!B22)</f>
      </c>
    </row>
    <row r="23" spans="1:7" ht="13.5" customHeight="1">
      <c r="A23" s="331" t="s">
        <v>256</v>
      </c>
      <c r="B23" s="332">
        <v>697053</v>
      </c>
      <c r="C23" s="338">
        <f>B23/'- 3 -'!D23*100</f>
        <v>5.565922217959154</v>
      </c>
      <c r="D23" s="332">
        <f>B23/'- 7 -'!C23</f>
        <v>535.3709677419355</v>
      </c>
      <c r="E23" s="332">
        <v>194594</v>
      </c>
      <c r="F23" s="338">
        <f>E23/'- 3 -'!D23*100</f>
        <v>1.5538202519486233</v>
      </c>
      <c r="G23" s="332">
        <f>IF('- 7 -'!B23=0,"",E23/'- 7 -'!B23)</f>
        <v>6486.466666666666</v>
      </c>
    </row>
    <row r="24" spans="1:7" ht="13.5" customHeight="1">
      <c r="A24" s="25" t="s">
        <v>257</v>
      </c>
      <c r="B24" s="26">
        <v>2659780</v>
      </c>
      <c r="C24" s="78">
        <f>B24/'- 3 -'!D24*100</f>
        <v>6.652994715584463</v>
      </c>
      <c r="D24" s="26">
        <f>B24/'- 7 -'!C24</f>
        <v>587.3423871038975</v>
      </c>
      <c r="E24" s="26">
        <v>1540414</v>
      </c>
      <c r="F24" s="78">
        <f>E24/'- 3 -'!D24*100</f>
        <v>3.8530879252465713</v>
      </c>
      <c r="G24" s="26">
        <f>IF('- 7 -'!B24=0,"",E24/'- 7 -'!B24)</f>
        <v>4420.126255380201</v>
      </c>
    </row>
    <row r="25" spans="1:7" ht="13.5" customHeight="1">
      <c r="A25" s="331" t="s">
        <v>258</v>
      </c>
      <c r="B25" s="332">
        <v>9670790</v>
      </c>
      <c r="C25" s="338">
        <f>B25/'- 3 -'!D25*100</f>
        <v>7.764991114187449</v>
      </c>
      <c r="D25" s="332">
        <f>B25/'- 7 -'!C25</f>
        <v>678.294932491671</v>
      </c>
      <c r="E25" s="332">
        <v>1471008</v>
      </c>
      <c r="F25" s="338">
        <f>E25/'- 3 -'!D25*100</f>
        <v>1.181120058330152</v>
      </c>
      <c r="G25" s="332">
        <f>IF('- 7 -'!B25=0,"",E25/'- 7 -'!B25)</f>
        <v>7282.217821782178</v>
      </c>
    </row>
    <row r="26" spans="1:7" ht="13.5" customHeight="1">
      <c r="A26" s="25" t="s">
        <v>259</v>
      </c>
      <c r="B26" s="26">
        <v>2129103</v>
      </c>
      <c r="C26" s="78">
        <f>B26/'- 3 -'!D26*100</f>
        <v>7.052071613916532</v>
      </c>
      <c r="D26" s="26">
        <f>B26/'- 7 -'!C26</f>
        <v>669.0032992930087</v>
      </c>
      <c r="E26" s="26">
        <v>822519</v>
      </c>
      <c r="F26" s="78">
        <f>E26/'- 3 -'!D26*100</f>
        <v>2.724369319759078</v>
      </c>
      <c r="G26" s="26">
        <f>IF('- 7 -'!B26=0,"",E26/'- 7 -'!B26)</f>
        <v>4482.392370572207</v>
      </c>
    </row>
    <row r="27" spans="1:7" ht="13.5" customHeight="1">
      <c r="A27" s="331" t="s">
        <v>260</v>
      </c>
      <c r="B27" s="332">
        <v>2030634</v>
      </c>
      <c r="C27" s="338">
        <f>B27/'- 3 -'!D27*100</f>
        <v>6.408056407119167</v>
      </c>
      <c r="D27" s="332">
        <f>B27/'- 7 -'!C27</f>
        <v>634.0698320707938</v>
      </c>
      <c r="E27" s="332">
        <v>705655</v>
      </c>
      <c r="F27" s="338">
        <f>E27/'- 3 -'!D27*100</f>
        <v>2.226830164355406</v>
      </c>
      <c r="G27" s="332">
        <f>IF('- 7 -'!B27=0,"",E27/'- 7 -'!B27)</f>
        <v>4099.308702219124</v>
      </c>
    </row>
    <row r="28" spans="1:7" ht="13.5" customHeight="1">
      <c r="A28" s="25" t="s">
        <v>261</v>
      </c>
      <c r="B28" s="26">
        <v>1098946</v>
      </c>
      <c r="C28" s="78">
        <f>B28/'- 3 -'!D28*100</f>
        <v>6.2998386726373035</v>
      </c>
      <c r="D28" s="26">
        <f>B28/'- 7 -'!C28</f>
        <v>577.0259910737726</v>
      </c>
      <c r="E28" s="26">
        <v>0</v>
      </c>
      <c r="F28" s="78">
        <f>E28/'- 3 -'!D28*100</f>
        <v>0</v>
      </c>
      <c r="G28" s="26">
        <f>IF('- 7 -'!B28=0,"",E28/'- 7 -'!B28)</f>
      </c>
    </row>
    <row r="29" spans="1:7" ht="13.5" customHeight="1">
      <c r="A29" s="331" t="s">
        <v>262</v>
      </c>
      <c r="B29" s="332">
        <v>8614312</v>
      </c>
      <c r="C29" s="338">
        <f>B29/'- 3 -'!D29*100</f>
        <v>7.5583988441034835</v>
      </c>
      <c r="D29" s="332">
        <f>B29/'- 7 -'!C29</f>
        <v>688.4565034965035</v>
      </c>
      <c r="E29" s="332">
        <v>0</v>
      </c>
      <c r="F29" s="338">
        <f>E29/'- 3 -'!D29*100</f>
        <v>0</v>
      </c>
      <c r="G29" s="332">
        <f>IF('- 7 -'!B29=0,"",E29/'- 7 -'!B29)</f>
      </c>
    </row>
    <row r="30" spans="1:7" ht="13.5" customHeight="1">
      <c r="A30" s="25" t="s">
        <v>263</v>
      </c>
      <c r="B30" s="26">
        <v>684310</v>
      </c>
      <c r="C30" s="78">
        <f>B30/'- 3 -'!D30*100</f>
        <v>6.095501384405934</v>
      </c>
      <c r="D30" s="26">
        <f>B30/'- 7 -'!C30</f>
        <v>570.7339449541284</v>
      </c>
      <c r="E30" s="26">
        <v>0</v>
      </c>
      <c r="F30" s="78">
        <f>E30/'- 3 -'!D30*100</f>
        <v>0</v>
      </c>
      <c r="G30" s="26">
        <f>IF('- 7 -'!B30=0,"",E30/'- 7 -'!B30)</f>
      </c>
    </row>
    <row r="31" spans="1:7" ht="13.5" customHeight="1">
      <c r="A31" s="331" t="s">
        <v>264</v>
      </c>
      <c r="B31" s="332">
        <v>2074556</v>
      </c>
      <c r="C31" s="338">
        <f>B31/'- 3 -'!D31*100</f>
        <v>7.493810484622905</v>
      </c>
      <c r="D31" s="332">
        <f>B31/'- 7 -'!C31</f>
        <v>658.0669310071372</v>
      </c>
      <c r="E31" s="332">
        <v>807487.7</v>
      </c>
      <c r="F31" s="338">
        <f>E31/'- 3 -'!D31*100</f>
        <v>2.9168457214286017</v>
      </c>
      <c r="G31" s="332">
        <f>IF('- 7 -'!B31=0,"",E31/'- 7 -'!B31)</f>
        <v>9389.391860465115</v>
      </c>
    </row>
    <row r="32" spans="1:7" ht="13.5" customHeight="1">
      <c r="A32" s="25" t="s">
        <v>265</v>
      </c>
      <c r="B32" s="26">
        <v>1291406</v>
      </c>
      <c r="C32" s="78">
        <f>B32/'- 3 -'!D32*100</f>
        <v>6.390821409736204</v>
      </c>
      <c r="D32" s="26">
        <f>B32/'- 7 -'!C32</f>
        <v>596.2169898430286</v>
      </c>
      <c r="E32" s="26">
        <v>708365</v>
      </c>
      <c r="F32" s="78">
        <f>E32/'- 3 -'!D32*100</f>
        <v>3.505508111242929</v>
      </c>
      <c r="G32" s="26">
        <f>IF('- 7 -'!B32=0,"",E32/'- 7 -'!B32)</f>
        <v>4981.469760900141</v>
      </c>
    </row>
    <row r="33" spans="1:7" ht="13.5" customHeight="1">
      <c r="A33" s="331" t="s">
        <v>266</v>
      </c>
      <c r="B33" s="332">
        <v>1438119</v>
      </c>
      <c r="C33" s="338">
        <f>B33/'- 3 -'!D33*100</f>
        <v>6.322155020569263</v>
      </c>
      <c r="D33" s="332">
        <f>B33/'- 7 -'!C33</f>
        <v>624.6716184519156</v>
      </c>
      <c r="E33" s="332">
        <v>120524</v>
      </c>
      <c r="F33" s="338">
        <f>E33/'- 3 -'!D33*100</f>
        <v>0.5298389157636397</v>
      </c>
      <c r="G33" s="332">
        <f>IF('- 7 -'!B33=0,"",E33/'- 7 -'!B33)</f>
        <v>5021.833333333333</v>
      </c>
    </row>
    <row r="34" spans="1:7" ht="13.5" customHeight="1">
      <c r="A34" s="25" t="s">
        <v>267</v>
      </c>
      <c r="B34" s="26">
        <v>1682820</v>
      </c>
      <c r="C34" s="78">
        <f>B34/'- 3 -'!D34*100</f>
        <v>8.757722373924489</v>
      </c>
      <c r="D34" s="26">
        <f>B34/'- 7 -'!C34</f>
        <v>827.3451327433628</v>
      </c>
      <c r="E34" s="26">
        <v>219987</v>
      </c>
      <c r="F34" s="78">
        <f>E34/'- 3 -'!D34*100</f>
        <v>1.144855107422378</v>
      </c>
      <c r="G34" s="26">
        <f>IF('- 7 -'!B34=0,"",E34/'- 7 -'!B34)</f>
        <v>9909.324324324325</v>
      </c>
    </row>
    <row r="35" spans="1:7" ht="13.5" customHeight="1">
      <c r="A35" s="331" t="s">
        <v>268</v>
      </c>
      <c r="B35" s="332">
        <v>10490033</v>
      </c>
      <c r="C35" s="338">
        <f>B35/'- 3 -'!D35*100</f>
        <v>7.358422904733376</v>
      </c>
      <c r="D35" s="332">
        <f>B35/'- 7 -'!C35</f>
        <v>630.7517888280921</v>
      </c>
      <c r="E35" s="332">
        <v>3401749</v>
      </c>
      <c r="F35" s="338">
        <f>E35/'- 3 -'!D35*100</f>
        <v>2.386218209013628</v>
      </c>
      <c r="G35" s="332">
        <f>IF('- 7 -'!B35=0,"",E35/'- 7 -'!B35)</f>
        <v>6644.041015625</v>
      </c>
    </row>
    <row r="36" spans="1:7" ht="13.5" customHeight="1">
      <c r="A36" s="25" t="s">
        <v>269</v>
      </c>
      <c r="B36" s="26">
        <v>1124927</v>
      </c>
      <c r="C36" s="78">
        <f>B36/'- 3 -'!D36*100</f>
        <v>6.2684628659187975</v>
      </c>
      <c r="D36" s="26">
        <f>B36/'- 7 -'!C36</f>
        <v>582.2603519668737</v>
      </c>
      <c r="E36" s="26">
        <v>120305</v>
      </c>
      <c r="F36" s="78">
        <f>E36/'- 3 -'!D36*100</f>
        <v>0.6703789891116143</v>
      </c>
      <c r="G36" s="26">
        <f>IF('- 7 -'!B36=0,"",E36/'- 7 -'!B36)</f>
        <v>6914.080459770115</v>
      </c>
    </row>
    <row r="37" spans="1:7" ht="13.5" customHeight="1">
      <c r="A37" s="331" t="s">
        <v>270</v>
      </c>
      <c r="B37" s="332">
        <v>2356404</v>
      </c>
      <c r="C37" s="338">
        <f>B37/'- 3 -'!D37*100</f>
        <v>7.894733932607082</v>
      </c>
      <c r="D37" s="332">
        <f>B37/'- 7 -'!C37</f>
        <v>701.3942135968568</v>
      </c>
      <c r="E37" s="332">
        <v>0</v>
      </c>
      <c r="F37" s="338">
        <f>E37/'- 3 -'!D37*100</f>
        <v>0</v>
      </c>
      <c r="G37" s="332">
        <f>IF('- 7 -'!B37=0,"",E37/'- 7 -'!B37)</f>
      </c>
    </row>
    <row r="38" spans="1:7" ht="13.5" customHeight="1">
      <c r="A38" s="25" t="s">
        <v>271</v>
      </c>
      <c r="B38" s="26">
        <v>6071637</v>
      </c>
      <c r="C38" s="78">
        <f>B38/'- 3 -'!D38*100</f>
        <v>8.1833990499654</v>
      </c>
      <c r="D38" s="26">
        <f>B38/'- 7 -'!C38</f>
        <v>696.2487242703974</v>
      </c>
      <c r="E38" s="26">
        <v>511087</v>
      </c>
      <c r="F38" s="78">
        <f>E38/'- 3 -'!D38*100</f>
        <v>0.6888469897409326</v>
      </c>
      <c r="G38" s="26">
        <f>IF('- 7 -'!B38=0,"",E38/'- 7 -'!B38)</f>
        <v>4121.669354838709</v>
      </c>
    </row>
    <row r="39" spans="1:7" ht="13.5" customHeight="1">
      <c r="A39" s="331" t="s">
        <v>272</v>
      </c>
      <c r="B39" s="332">
        <v>890540</v>
      </c>
      <c r="C39" s="338">
        <f>B39/'- 3 -'!D39*100</f>
        <v>5.448321337775979</v>
      </c>
      <c r="D39" s="332">
        <f>B39/'- 7 -'!C39</f>
        <v>538.0906344410876</v>
      </c>
      <c r="E39" s="332">
        <v>0</v>
      </c>
      <c r="F39" s="338">
        <f>E39/'- 3 -'!D39*100</f>
        <v>0</v>
      </c>
      <c r="G39" s="332">
        <f>IF('- 7 -'!B39=0,"",E39/'- 7 -'!B39)</f>
      </c>
    </row>
    <row r="40" spans="1:7" ht="13.5" customHeight="1">
      <c r="A40" s="25" t="s">
        <v>273</v>
      </c>
      <c r="B40" s="26">
        <v>5720286</v>
      </c>
      <c r="C40" s="78">
        <f>B40/'- 3 -'!D40*100</f>
        <v>7.485960991508361</v>
      </c>
      <c r="D40" s="26">
        <f>B40/'- 7 -'!C40</f>
        <v>669.0541661159722</v>
      </c>
      <c r="E40" s="26">
        <v>2674712</v>
      </c>
      <c r="F40" s="78">
        <f>E40/'- 3 -'!D40*100</f>
        <v>3.500312693372204</v>
      </c>
      <c r="G40" s="26">
        <f>IF('- 7 -'!B40=0,"",E40/'- 7 -'!B40)</f>
        <v>5230.7896898345525</v>
      </c>
    </row>
    <row r="41" spans="1:7" ht="13.5" customHeight="1">
      <c r="A41" s="331" t="s">
        <v>274</v>
      </c>
      <c r="B41" s="332">
        <v>2904069</v>
      </c>
      <c r="C41" s="338">
        <f>B41/'- 3 -'!D41*100</f>
        <v>6.230382885905284</v>
      </c>
      <c r="D41" s="332">
        <f>B41/'- 7 -'!C41</f>
        <v>627.2964683011124</v>
      </c>
      <c r="E41" s="332">
        <v>0</v>
      </c>
      <c r="F41" s="338">
        <f>E41/'- 3 -'!D41*100</f>
        <v>0</v>
      </c>
      <c r="G41" s="332">
        <f>IF('- 7 -'!B41=0,"",E41/'- 7 -'!B41)</f>
      </c>
    </row>
    <row r="42" spans="1:7" ht="13.5" customHeight="1">
      <c r="A42" s="25" t="s">
        <v>275</v>
      </c>
      <c r="B42" s="26">
        <v>1097592</v>
      </c>
      <c r="C42" s="78">
        <f>B42/'- 3 -'!D42*100</f>
        <v>6.645249063340596</v>
      </c>
      <c r="D42" s="26">
        <f>B42/'- 7 -'!C42</f>
        <v>635.1805555555555</v>
      </c>
      <c r="E42" s="26">
        <v>882515</v>
      </c>
      <c r="F42" s="78">
        <f>E42/'- 3 -'!D42*100</f>
        <v>5.343089214511426</v>
      </c>
      <c r="G42" s="26">
        <f>IF('- 7 -'!B42=0,"",E42/'- 7 -'!B42)</f>
        <v>5693.645161290323</v>
      </c>
    </row>
    <row r="43" spans="1:7" ht="13.5" customHeight="1">
      <c r="A43" s="331" t="s">
        <v>276</v>
      </c>
      <c r="B43" s="332">
        <v>512951</v>
      </c>
      <c r="C43" s="338">
        <f>B43/'- 3 -'!D43*100</f>
        <v>5.037685585981522</v>
      </c>
      <c r="D43" s="332">
        <f>B43/'- 7 -'!C43</f>
        <v>470.8132170720514</v>
      </c>
      <c r="E43" s="332">
        <v>0</v>
      </c>
      <c r="F43" s="338">
        <f>E43/'- 3 -'!D43*100</f>
        <v>0</v>
      </c>
      <c r="G43" s="332">
        <f>IF('- 7 -'!B43=0,"",E43/'- 7 -'!B43)</f>
      </c>
    </row>
    <row r="44" spans="1:7" ht="13.5" customHeight="1">
      <c r="A44" s="25" t="s">
        <v>277</v>
      </c>
      <c r="B44" s="26">
        <v>416066</v>
      </c>
      <c r="C44" s="78">
        <f>B44/'- 3 -'!D44*100</f>
        <v>5.382057720656527</v>
      </c>
      <c r="D44" s="26">
        <f>B44/'- 7 -'!C44</f>
        <v>508.9492354740061</v>
      </c>
      <c r="E44" s="26">
        <v>0</v>
      </c>
      <c r="F44" s="78">
        <f>E44/'- 3 -'!D44*100</f>
        <v>0</v>
      </c>
      <c r="G44" s="26">
        <f>IF('- 7 -'!B44=0,"",E44/'- 7 -'!B44)</f>
      </c>
    </row>
    <row r="45" spans="1:7" ht="13.5" customHeight="1">
      <c r="A45" s="331" t="s">
        <v>278</v>
      </c>
      <c r="B45" s="332">
        <v>741974.27</v>
      </c>
      <c r="C45" s="338">
        <f>B45/'- 3 -'!D45*100</f>
        <v>6.368220462405606</v>
      </c>
      <c r="D45" s="332">
        <f>B45/'- 7 -'!C45</f>
        <v>504.7444013605442</v>
      </c>
      <c r="E45" s="332">
        <v>286736.06</v>
      </c>
      <c r="F45" s="338">
        <f>E45/'- 3 -'!D45*100</f>
        <v>2.460999684802495</v>
      </c>
      <c r="G45" s="332">
        <f>IF('- 7 -'!B45=0,"",E45/'- 7 -'!B45)</f>
        <v>6429.059641255605</v>
      </c>
    </row>
    <row r="46" spans="1:7" ht="13.5" customHeight="1">
      <c r="A46" s="25" t="s">
        <v>279</v>
      </c>
      <c r="B46" s="26">
        <v>25192918</v>
      </c>
      <c r="C46" s="78">
        <f>B46/'- 3 -'!D46*100</f>
        <v>8.676222394017625</v>
      </c>
      <c r="D46" s="26">
        <f>B46/'- 7 -'!C46</f>
        <v>870.5825558089709</v>
      </c>
      <c r="E46" s="26">
        <v>4609664</v>
      </c>
      <c r="F46" s="78">
        <f>E46/'- 3 -'!D46*100</f>
        <v>1.5875282897239957</v>
      </c>
      <c r="G46" s="26">
        <f>IF('- 7 -'!B46=0,"",E46/'- 7 -'!B46)</f>
        <v>7976.577262502164</v>
      </c>
    </row>
    <row r="47" spans="1:7" ht="4.5" customHeight="1">
      <c r="A47" s="27"/>
      <c r="B47" s="28"/>
      <c r="C47"/>
      <c r="D47" s="28"/>
      <c r="E47" s="28"/>
      <c r="F47"/>
      <c r="G47" s="28"/>
    </row>
    <row r="48" spans="1:7" ht="13.5" customHeight="1">
      <c r="A48" s="333" t="s">
        <v>280</v>
      </c>
      <c r="B48" s="334">
        <f>SUM(B11:B46)</f>
        <v>115814384.27</v>
      </c>
      <c r="C48" s="341">
        <f>B48/'- 3 -'!D48*100</f>
        <v>7.299499204015343</v>
      </c>
      <c r="D48" s="334">
        <f>B48/'- 7 -'!C48</f>
        <v>677.7548813817941</v>
      </c>
      <c r="E48" s="334">
        <f>SUM(E11:E46)</f>
        <v>24316394.459999997</v>
      </c>
      <c r="F48" s="341">
        <f>E48/'- 3 -'!D48*100</f>
        <v>1.5326032523860784</v>
      </c>
      <c r="G48" s="334">
        <f>E48/'- 7 -'!B48</f>
        <v>5846.335133564465</v>
      </c>
    </row>
    <row r="49" spans="1:6" ht="4.5" customHeight="1">
      <c r="A49" s="27" t="s">
        <v>32</v>
      </c>
      <c r="B49" s="28"/>
      <c r="C49"/>
      <c r="D49" s="28"/>
      <c r="E49" s="28"/>
      <c r="F49"/>
    </row>
    <row r="50" spans="1:7" ht="13.5" customHeight="1">
      <c r="A50" s="25" t="s">
        <v>281</v>
      </c>
      <c r="B50" s="26">
        <v>225630</v>
      </c>
      <c r="C50" s="78">
        <f>B50/'- 3 -'!D50*100</f>
        <v>8.559813226643277</v>
      </c>
      <c r="D50" s="26">
        <f>B50/'- 7 -'!C50</f>
        <v>988.3048620236531</v>
      </c>
      <c r="E50" s="26">
        <v>0</v>
      </c>
      <c r="F50" s="78">
        <f>E50/'- 3 -'!D50*100</f>
        <v>0</v>
      </c>
      <c r="G50" s="26">
        <f>IF('- 7 -'!B50=0,"",E50/'- 7 -'!B50)</f>
      </c>
    </row>
    <row r="51" spans="1:7" ht="13.5" customHeight="1">
      <c r="A51" s="331" t="s">
        <v>282</v>
      </c>
      <c r="B51" s="332">
        <v>572848</v>
      </c>
      <c r="C51" s="338">
        <f>B51/'- 3 -'!D51*100</f>
        <v>5.6612587793795255</v>
      </c>
      <c r="D51" s="332">
        <f>B51/'- 7 -'!C51</f>
        <v>860.519753642782</v>
      </c>
      <c r="E51" s="332">
        <v>3637850</v>
      </c>
      <c r="F51" s="338">
        <f>E51/'- 3 -'!D51*100</f>
        <v>35.95161412899374</v>
      </c>
      <c r="G51" s="332">
        <f>IF('- 7 -'!B51=0,"",E51/'- 7 -'!B51)</f>
        <v>5958.804258804259</v>
      </c>
    </row>
    <row r="52" spans="2:7" ht="49.5" customHeight="1">
      <c r="B52" s="95"/>
      <c r="C52" s="95"/>
      <c r="D52" s="95"/>
      <c r="E52" s="95"/>
      <c r="F52" s="95"/>
      <c r="G52" s="95"/>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3"/>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5"/>
      <c r="C1" s="5"/>
      <c r="D1" s="5"/>
      <c r="E1" s="5"/>
      <c r="F1" s="5"/>
      <c r="G1" s="5"/>
      <c r="H1" s="99"/>
      <c r="I1" s="99"/>
      <c r="J1" s="99"/>
    </row>
    <row r="2" spans="1:10" ht="15.75" customHeight="1">
      <c r="A2" s="154"/>
      <c r="B2" s="100" t="s">
        <v>528</v>
      </c>
      <c r="C2" s="101"/>
      <c r="D2" s="101"/>
      <c r="E2" s="191"/>
      <c r="F2" s="191"/>
      <c r="G2" s="191"/>
      <c r="H2" s="191"/>
      <c r="I2" s="70"/>
      <c r="J2" s="155" t="s">
        <v>492</v>
      </c>
    </row>
    <row r="3" spans="1:10" ht="15.75" customHeight="1">
      <c r="A3" s="156"/>
      <c r="B3" s="82" t="str">
        <f>OPYEAR</f>
        <v>OPERATING FUND 2006/2007 ACTUAL</v>
      </c>
      <c r="C3" s="104"/>
      <c r="D3" s="104"/>
      <c r="E3" s="35"/>
      <c r="F3" s="35"/>
      <c r="G3" s="35"/>
      <c r="H3" s="35"/>
      <c r="I3" s="72"/>
      <c r="J3" s="210"/>
    </row>
    <row r="4" spans="8:10" ht="15.75" customHeight="1">
      <c r="H4" s="99"/>
      <c r="I4" s="99"/>
      <c r="J4" s="99"/>
    </row>
    <row r="5" spans="2:10" ht="15.75" customHeight="1">
      <c r="B5" s="212" t="s">
        <v>38</v>
      </c>
      <c r="C5" s="45"/>
      <c r="D5" s="45"/>
      <c r="E5" s="45"/>
      <c r="F5" s="45"/>
      <c r="G5" s="45"/>
      <c r="H5" s="45"/>
      <c r="I5" s="228"/>
      <c r="J5" s="229"/>
    </row>
    <row r="6" spans="2:10" ht="15.75" customHeight="1">
      <c r="B6" s="381" t="s">
        <v>389</v>
      </c>
      <c r="C6" s="382"/>
      <c r="D6" s="382"/>
      <c r="E6" s="382"/>
      <c r="F6" s="382"/>
      <c r="G6" s="383"/>
      <c r="H6" s="384"/>
      <c r="I6" s="382"/>
      <c r="J6" s="383"/>
    </row>
    <row r="7" spans="2:10" ht="15.75" customHeight="1">
      <c r="B7" s="344" t="s">
        <v>60</v>
      </c>
      <c r="C7" s="336"/>
      <c r="D7" s="337"/>
      <c r="E7" s="344" t="s">
        <v>61</v>
      </c>
      <c r="F7" s="336"/>
      <c r="G7" s="337"/>
      <c r="H7" s="344" t="s">
        <v>62</v>
      </c>
      <c r="I7" s="336"/>
      <c r="J7" s="337"/>
    </row>
    <row r="8" spans="1:10" ht="15.75" customHeight="1">
      <c r="A8" s="74"/>
      <c r="B8" s="230"/>
      <c r="C8" s="215"/>
      <c r="D8" s="201" t="s">
        <v>89</v>
      </c>
      <c r="E8" s="230"/>
      <c r="F8" s="215"/>
      <c r="G8" s="201" t="s">
        <v>89</v>
      </c>
      <c r="H8" s="202"/>
      <c r="I8" s="200"/>
      <c r="J8" s="201" t="s">
        <v>89</v>
      </c>
    </row>
    <row r="9" spans="1:10" ht="15.75" customHeight="1">
      <c r="A9" s="41" t="s">
        <v>108</v>
      </c>
      <c r="B9" s="111" t="s">
        <v>109</v>
      </c>
      <c r="C9" s="111" t="s">
        <v>110</v>
      </c>
      <c r="D9" s="111" t="s">
        <v>111</v>
      </c>
      <c r="E9" s="111" t="s">
        <v>109</v>
      </c>
      <c r="F9" s="111" t="s">
        <v>110</v>
      </c>
      <c r="G9" s="111" t="s">
        <v>111</v>
      </c>
      <c r="H9" s="203" t="s">
        <v>109</v>
      </c>
      <c r="I9" s="111" t="s">
        <v>110</v>
      </c>
      <c r="J9" s="111" t="s">
        <v>111</v>
      </c>
    </row>
    <row r="10" spans="1:10" ht="4.5" customHeight="1">
      <c r="A10" s="4"/>
      <c r="B10" s="95"/>
      <c r="C10" s="95"/>
      <c r="D10" s="95"/>
      <c r="E10" s="95"/>
      <c r="F10" s="95"/>
      <c r="G10" s="95"/>
      <c r="H10" s="95"/>
      <c r="I10" s="95"/>
      <c r="J10" s="95"/>
    </row>
    <row r="11" spans="1:10" ht="13.5" customHeight="1">
      <c r="A11" s="331" t="s">
        <v>245</v>
      </c>
      <c r="B11" s="332">
        <v>6494072.02</v>
      </c>
      <c r="C11" s="338">
        <f>B11/'- 3 -'!D11*100</f>
        <v>53.792378707081504</v>
      </c>
      <c r="D11" s="332">
        <f>B11/'- 6 -'!B11</f>
        <v>4552.451468629512</v>
      </c>
      <c r="E11" s="332">
        <v>0</v>
      </c>
      <c r="F11" s="338">
        <f>E11/'- 3 -'!D11*100</f>
        <v>0</v>
      </c>
      <c r="G11" s="332">
        <f>IF('- 6 -'!C11=0,"",E11/'- 6 -'!C11)</f>
      </c>
      <c r="H11" s="332">
        <v>0</v>
      </c>
      <c r="I11" s="338">
        <f>H11/'- 3 -'!D11*100</f>
        <v>0</v>
      </c>
      <c r="J11" s="332">
        <f>IF('- 6 -'!D11=0,"",H11/'- 6 -'!D11)</f>
      </c>
    </row>
    <row r="12" spans="1:10" ht="13.5" customHeight="1">
      <c r="A12" s="25" t="s">
        <v>246</v>
      </c>
      <c r="B12" s="26">
        <v>10200323</v>
      </c>
      <c r="C12" s="78">
        <f>B12/'- 3 -'!D12*100</f>
        <v>46.37127959798006</v>
      </c>
      <c r="D12" s="26">
        <f>B12/'- 6 -'!B12</f>
        <v>4426.858462192788</v>
      </c>
      <c r="E12" s="26">
        <v>0</v>
      </c>
      <c r="F12" s="78">
        <f>E12/'- 3 -'!D12*100</f>
        <v>0</v>
      </c>
      <c r="G12" s="26">
        <f>IF('- 6 -'!C12=0,"",E12/'- 6 -'!C12)</f>
      </c>
      <c r="H12" s="26">
        <v>124785</v>
      </c>
      <c r="I12" s="78">
        <f>H12/'- 3 -'!D12*100</f>
        <v>0.5672800875652607</v>
      </c>
      <c r="J12" s="26">
        <f>IF('- 6 -'!D12=0,"",H12/'- 6 -'!D12)</f>
        <v>7799.0625</v>
      </c>
    </row>
    <row r="13" spans="1:10" ht="13.5" customHeight="1">
      <c r="A13" s="331" t="s">
        <v>247</v>
      </c>
      <c r="B13" s="332">
        <v>22477109</v>
      </c>
      <c r="C13" s="338">
        <f>B13/'- 3 -'!D13*100</f>
        <v>41.862124111535344</v>
      </c>
      <c r="D13" s="332">
        <f>B13/'- 6 -'!B13</f>
        <v>4466.390263288624</v>
      </c>
      <c r="E13" s="332">
        <v>0</v>
      </c>
      <c r="F13" s="338">
        <f>E13/'- 3 -'!D13*100</f>
        <v>0</v>
      </c>
      <c r="G13" s="332">
        <f>IF('- 6 -'!C13=0,"",E13/'- 6 -'!C13)</f>
      </c>
      <c r="H13" s="332">
        <v>0</v>
      </c>
      <c r="I13" s="338">
        <f>H13/'- 3 -'!D13*100</f>
        <v>0</v>
      </c>
      <c r="J13" s="332">
        <f>IF('- 6 -'!D13=0,"",H13/'- 6 -'!D13)</f>
      </c>
    </row>
    <row r="14" spans="1:10" ht="13.5" customHeight="1">
      <c r="A14" s="25" t="s">
        <v>283</v>
      </c>
      <c r="B14" s="26">
        <v>0</v>
      </c>
      <c r="C14" s="78">
        <f>B14/'- 3 -'!D14*100</f>
        <v>0</v>
      </c>
      <c r="D14" s="26"/>
      <c r="E14" s="26">
        <v>23384037</v>
      </c>
      <c r="F14" s="78">
        <f>E14/'- 3 -'!D14*100</f>
        <v>47.60484821957966</v>
      </c>
      <c r="G14" s="26">
        <f>IF('- 6 -'!C14=0,"",E14/'- 6 -'!C14)</f>
        <v>5106.799956322341</v>
      </c>
      <c r="H14" s="26">
        <v>0</v>
      </c>
      <c r="I14" s="78">
        <f>H14/'- 3 -'!D14*100</f>
        <v>0</v>
      </c>
      <c r="J14" s="26">
        <f>IF('- 6 -'!D14=0,"",H14/'- 6 -'!D14)</f>
      </c>
    </row>
    <row r="15" spans="1:10" ht="13.5" customHeight="1">
      <c r="A15" s="331" t="s">
        <v>248</v>
      </c>
      <c r="B15" s="332">
        <v>6932434</v>
      </c>
      <c r="C15" s="338">
        <f>B15/'- 3 -'!D15*100</f>
        <v>49.02231287812332</v>
      </c>
      <c r="D15" s="332">
        <f>B15/'- 6 -'!B15</f>
        <v>4266.1132307692305</v>
      </c>
      <c r="E15" s="332">
        <v>0</v>
      </c>
      <c r="F15" s="338">
        <f>E15/'- 3 -'!D15*100</f>
        <v>0</v>
      </c>
      <c r="G15" s="332">
        <f>IF('- 6 -'!C15=0,"",E15/'- 6 -'!C15)</f>
      </c>
      <c r="H15" s="332">
        <v>0</v>
      </c>
      <c r="I15" s="338">
        <f>H15/'- 3 -'!D15*100</f>
        <v>0</v>
      </c>
      <c r="J15" s="332">
        <f>IF('- 6 -'!D15=0,"",H15/'- 6 -'!D15)</f>
      </c>
    </row>
    <row r="16" spans="1:10" ht="13.5" customHeight="1">
      <c r="A16" s="25" t="s">
        <v>249</v>
      </c>
      <c r="B16" s="26">
        <v>3381004</v>
      </c>
      <c r="C16" s="78">
        <f>B16/'- 3 -'!D16*100</f>
        <v>30.411730530998792</v>
      </c>
      <c r="D16" s="26">
        <f>B16/'- 6 -'!B16</f>
        <v>5031.255952380952</v>
      </c>
      <c r="E16" s="26">
        <v>0</v>
      </c>
      <c r="F16" s="78">
        <f>E16/'- 3 -'!D16*100</f>
        <v>0</v>
      </c>
      <c r="G16" s="26">
        <f>IF('- 6 -'!C16=0,"",E16/'- 6 -'!C16)</f>
      </c>
      <c r="H16" s="26">
        <v>0</v>
      </c>
      <c r="I16" s="78">
        <f>H16/'- 3 -'!D16*100</f>
        <v>0</v>
      </c>
      <c r="J16" s="26">
        <f>IF('- 6 -'!D16=0,"",H16/'- 6 -'!D16)</f>
      </c>
    </row>
    <row r="17" spans="1:10" ht="13.5" customHeight="1">
      <c r="A17" s="331" t="s">
        <v>250</v>
      </c>
      <c r="B17" s="332">
        <v>6724632</v>
      </c>
      <c r="C17" s="338">
        <f>B17/'- 3 -'!D17*100</f>
        <v>50.351299085937264</v>
      </c>
      <c r="D17" s="332">
        <f>B17/'- 6 -'!B17</f>
        <v>4710.4455029420005</v>
      </c>
      <c r="E17" s="332">
        <v>0</v>
      </c>
      <c r="F17" s="338">
        <f>E17/'- 3 -'!D17*100</f>
        <v>0</v>
      </c>
      <c r="G17" s="332">
        <f>IF('- 6 -'!C17=0,"",E17/'- 6 -'!C17)</f>
      </c>
      <c r="H17" s="332">
        <v>0</v>
      </c>
      <c r="I17" s="338">
        <f>H17/'- 3 -'!D17*100</f>
        <v>0</v>
      </c>
      <c r="J17" s="332">
        <f>IF('- 6 -'!D17=0,"",H17/'- 6 -'!D17)</f>
      </c>
    </row>
    <row r="18" spans="1:10" ht="13.5" customHeight="1">
      <c r="A18" s="25" t="s">
        <v>251</v>
      </c>
      <c r="B18" s="26">
        <v>32334427</v>
      </c>
      <c r="C18" s="78">
        <f>B18/'- 3 -'!D18*100</f>
        <v>37.170964174533616</v>
      </c>
      <c r="D18" s="26">
        <f>B18/'- 6 -'!B18</f>
        <v>5654.05801916486</v>
      </c>
      <c r="E18" s="26">
        <v>0</v>
      </c>
      <c r="F18" s="78">
        <f>E18/'- 3 -'!D18*100</f>
        <v>0</v>
      </c>
      <c r="G18" s="26">
        <f>IF('- 6 -'!C18=0,"",E18/'- 6 -'!C18)</f>
      </c>
      <c r="H18" s="26">
        <v>0</v>
      </c>
      <c r="I18" s="78">
        <f>H18/'- 3 -'!D18*100</f>
        <v>0</v>
      </c>
      <c r="J18" s="26">
        <f>IF('- 6 -'!D18=0,"",H18/'- 6 -'!D18)</f>
      </c>
    </row>
    <row r="19" spans="1:10" ht="13.5" customHeight="1">
      <c r="A19" s="331" t="s">
        <v>252</v>
      </c>
      <c r="B19" s="332">
        <v>13418815</v>
      </c>
      <c r="C19" s="338">
        <f>B19/'- 3 -'!D19*100</f>
        <v>54.18818148311936</v>
      </c>
      <c r="D19" s="332">
        <f>B19/'- 6 -'!B19</f>
        <v>4112.492108344009</v>
      </c>
      <c r="E19" s="332">
        <v>0</v>
      </c>
      <c r="F19" s="338">
        <f>E19/'- 3 -'!D19*100</f>
        <v>0</v>
      </c>
      <c r="G19" s="332">
        <f>IF('- 6 -'!C19=0,"",E19/'- 6 -'!C19)</f>
      </c>
      <c r="H19" s="332">
        <v>0</v>
      </c>
      <c r="I19" s="338">
        <f>H19/'- 3 -'!D19*100</f>
        <v>0</v>
      </c>
      <c r="J19" s="332">
        <f>IF('- 6 -'!D19=0,"",H19/'- 6 -'!D19)</f>
      </c>
    </row>
    <row r="20" spans="1:10" ht="13.5" customHeight="1">
      <c r="A20" s="25" t="s">
        <v>253</v>
      </c>
      <c r="B20" s="26">
        <v>24021210</v>
      </c>
      <c r="C20" s="78">
        <f>B20/'- 3 -'!D20*100</f>
        <v>52.073256661312485</v>
      </c>
      <c r="D20" s="26">
        <f>B20/'- 6 -'!B20</f>
        <v>3766.3196349895734</v>
      </c>
      <c r="E20" s="26">
        <v>0</v>
      </c>
      <c r="F20" s="78">
        <f>E20/'- 3 -'!D20*100</f>
        <v>0</v>
      </c>
      <c r="G20" s="26">
        <f>IF('- 6 -'!C20=0,"",E20/'- 6 -'!C20)</f>
      </c>
      <c r="H20" s="26">
        <v>0</v>
      </c>
      <c r="I20" s="78">
        <f>H20/'- 3 -'!D20*100</f>
        <v>0</v>
      </c>
      <c r="J20" s="26">
        <f>IF('- 6 -'!D20=0,"",H20/'- 6 -'!D20)</f>
      </c>
    </row>
    <row r="21" spans="1:10" ht="13.5" customHeight="1">
      <c r="A21" s="331" t="s">
        <v>254</v>
      </c>
      <c r="B21" s="332">
        <v>12826139</v>
      </c>
      <c r="C21" s="338">
        <f>B21/'- 3 -'!D21*100</f>
        <v>48.472355071080806</v>
      </c>
      <c r="D21" s="332">
        <f>B21/'- 6 -'!B21</f>
        <v>4169.068421908012</v>
      </c>
      <c r="E21" s="332">
        <v>0</v>
      </c>
      <c r="F21" s="338">
        <f>E21/'- 3 -'!D21*100</f>
        <v>0</v>
      </c>
      <c r="G21" s="332">
        <f>IF('- 6 -'!C21=0,"",E21/'- 6 -'!C21)</f>
      </c>
      <c r="H21" s="332">
        <v>0</v>
      </c>
      <c r="I21" s="338">
        <f>H21/'- 3 -'!D21*100</f>
        <v>0</v>
      </c>
      <c r="J21" s="332">
        <f>IF('- 6 -'!D21=0,"",H21/'- 6 -'!D21)</f>
      </c>
    </row>
    <row r="22" spans="1:10" ht="13.5" customHeight="1">
      <c r="A22" s="25" t="s">
        <v>255</v>
      </c>
      <c r="B22" s="26">
        <v>3444268</v>
      </c>
      <c r="C22" s="78">
        <f>B22/'- 3 -'!D22*100</f>
        <v>22.988574486229655</v>
      </c>
      <c r="D22" s="26">
        <f>B22/'- 6 -'!B22</f>
        <v>4145.225658924059</v>
      </c>
      <c r="E22" s="26">
        <v>0</v>
      </c>
      <c r="F22" s="78">
        <f>E22/'- 3 -'!D22*100</f>
        <v>0</v>
      </c>
      <c r="G22" s="26">
        <f>IF('- 6 -'!C22=0,"",E22/'- 6 -'!C22)</f>
      </c>
      <c r="H22" s="26">
        <v>0</v>
      </c>
      <c r="I22" s="78">
        <f>H22/'- 3 -'!D22*100</f>
        <v>0</v>
      </c>
      <c r="J22" s="26">
        <f>IF('- 6 -'!D22=0,"",H22/'- 6 -'!D22)</f>
      </c>
    </row>
    <row r="23" spans="1:10" ht="13.5" customHeight="1">
      <c r="A23" s="331" t="s">
        <v>256</v>
      </c>
      <c r="B23" s="332">
        <v>5894916</v>
      </c>
      <c r="C23" s="338">
        <f>B23/'- 3 -'!D23*100</f>
        <v>47.07051535163453</v>
      </c>
      <c r="D23" s="332">
        <f>B23/'- 6 -'!B23</f>
        <v>4634.367924528302</v>
      </c>
      <c r="E23" s="332">
        <v>0</v>
      </c>
      <c r="F23" s="338">
        <f>E23/'- 3 -'!D23*100</f>
        <v>0</v>
      </c>
      <c r="G23" s="332">
        <f>IF('- 6 -'!C23=0,"",E23/'- 6 -'!C23)</f>
      </c>
      <c r="H23" s="332">
        <v>0</v>
      </c>
      <c r="I23" s="338">
        <f>H23/'- 3 -'!D23*100</f>
        <v>0</v>
      </c>
      <c r="J23" s="332">
        <f>IF('- 6 -'!D23=0,"",H23/'- 6 -'!D23)</f>
      </c>
    </row>
    <row r="24" spans="1:10" ht="13.5" customHeight="1">
      <c r="A24" s="25" t="s">
        <v>257</v>
      </c>
      <c r="B24" s="26">
        <v>13912331</v>
      </c>
      <c r="C24" s="78">
        <f>B24/'- 3 -'!D24*100</f>
        <v>34.799368603591994</v>
      </c>
      <c r="D24" s="26">
        <f>B24/'- 6 -'!B24</f>
        <v>4880.6633923873005</v>
      </c>
      <c r="E24" s="26">
        <v>0</v>
      </c>
      <c r="F24" s="78">
        <f>E24/'- 3 -'!D24*100</f>
        <v>0</v>
      </c>
      <c r="G24" s="26">
        <f>IF('- 6 -'!C24=0,"",E24/'- 6 -'!C24)</f>
      </c>
      <c r="H24" s="26">
        <v>1077040</v>
      </c>
      <c r="I24" s="78">
        <f>H24/'- 3 -'!D24*100</f>
        <v>2.694035382051557</v>
      </c>
      <c r="J24" s="26">
        <f>IF('- 6 -'!D24=0,"",H24/'- 6 -'!D24)</f>
        <v>4432.263374485597</v>
      </c>
    </row>
    <row r="25" spans="1:10" ht="13.5" customHeight="1">
      <c r="A25" s="331" t="s">
        <v>258</v>
      </c>
      <c r="B25" s="332">
        <v>45965001</v>
      </c>
      <c r="C25" s="338">
        <f>B25/'- 3 -'!D25*100</f>
        <v>36.906790895947196</v>
      </c>
      <c r="D25" s="332">
        <f>B25/'- 6 -'!B25</f>
        <v>4386.182642301636</v>
      </c>
      <c r="E25" s="332">
        <v>1116707</v>
      </c>
      <c r="F25" s="338">
        <f>E25/'- 3 -'!D25*100</f>
        <v>0.8966402881409815</v>
      </c>
      <c r="G25" s="332">
        <f>IF('- 6 -'!C25=0,"",E25/'- 6 -'!C25)</f>
        <v>3981.1301247771835</v>
      </c>
      <c r="H25" s="332">
        <v>13011405</v>
      </c>
      <c r="I25" s="338">
        <f>H25/'- 3 -'!D25*100</f>
        <v>10.447279302734746</v>
      </c>
      <c r="J25" s="332">
        <f>IF('- 6 -'!D25=0,"",H25/'- 6 -'!D25)</f>
        <v>3948.2339553937186</v>
      </c>
    </row>
    <row r="26" spans="1:10" ht="13.5" customHeight="1">
      <c r="A26" s="25" t="s">
        <v>259</v>
      </c>
      <c r="B26" s="26">
        <v>12210410</v>
      </c>
      <c r="C26" s="78">
        <f>B26/'- 3 -'!D26*100</f>
        <v>40.44364493182461</v>
      </c>
      <c r="D26" s="26">
        <f>B26/'- 6 -'!B26</f>
        <v>4880.259792166267</v>
      </c>
      <c r="E26" s="26">
        <v>0</v>
      </c>
      <c r="F26" s="78">
        <f>E26/'- 3 -'!D26*100</f>
        <v>0</v>
      </c>
      <c r="G26" s="26">
        <f>IF('- 6 -'!C26=0,"",E26/'- 6 -'!C26)</f>
      </c>
      <c r="H26" s="26">
        <v>456680</v>
      </c>
      <c r="I26" s="78">
        <f>H26/'- 3 -'!D26*100</f>
        <v>1.512627648659272</v>
      </c>
      <c r="J26" s="26">
        <f>IF('- 6 -'!D26=0,"",H26/'- 6 -'!D26)</f>
        <v>3988.471615720524</v>
      </c>
    </row>
    <row r="27" spans="1:10" ht="13.5" customHeight="1">
      <c r="A27" s="331" t="s">
        <v>260</v>
      </c>
      <c r="B27" s="332">
        <v>13621887</v>
      </c>
      <c r="C27" s="338">
        <f>B27/'- 3 -'!D27*100</f>
        <v>42.98648612571408</v>
      </c>
      <c r="D27" s="332">
        <f>B27/'- 6 -'!B27</f>
        <v>5357.885069225928</v>
      </c>
      <c r="E27" s="332">
        <v>0</v>
      </c>
      <c r="F27" s="338">
        <f>E27/'- 3 -'!D27*100</f>
        <v>0</v>
      </c>
      <c r="G27" s="332">
        <f>IF('- 6 -'!C27=0,"",E27/'- 6 -'!C27)</f>
      </c>
      <c r="H27" s="332">
        <v>0</v>
      </c>
      <c r="I27" s="338">
        <f>H27/'- 3 -'!D27*100</f>
        <v>0</v>
      </c>
      <c r="J27" s="332">
        <f>IF('- 6 -'!D27=0,"",H27/'- 6 -'!D27)</f>
      </c>
    </row>
    <row r="28" spans="1:10" ht="13.5" customHeight="1">
      <c r="A28" s="25" t="s">
        <v>261</v>
      </c>
      <c r="B28" s="26">
        <v>8768117</v>
      </c>
      <c r="C28" s="78">
        <f>B28/'- 3 -'!D28*100</f>
        <v>50.26427373393104</v>
      </c>
      <c r="D28" s="26">
        <f>B28/'- 6 -'!B28</f>
        <v>4603.894460488317</v>
      </c>
      <c r="E28" s="26">
        <v>0</v>
      </c>
      <c r="F28" s="78">
        <f>E28/'- 3 -'!D28*100</f>
        <v>0</v>
      </c>
      <c r="G28" s="26">
        <f>IF('- 6 -'!C28=0,"",E28/'- 6 -'!C28)</f>
      </c>
      <c r="H28" s="26">
        <v>0</v>
      </c>
      <c r="I28" s="78">
        <f>H28/'- 3 -'!D28*100</f>
        <v>0</v>
      </c>
      <c r="J28" s="26">
        <f>IF('- 6 -'!D28=0,"",H28/'- 6 -'!D28)</f>
      </c>
    </row>
    <row r="29" spans="1:10" ht="13.5" customHeight="1">
      <c r="A29" s="331" t="s">
        <v>262</v>
      </c>
      <c r="B29" s="332">
        <v>39009835</v>
      </c>
      <c r="C29" s="338">
        <f>B29/'- 3 -'!D29*100</f>
        <v>34.22814169868326</v>
      </c>
      <c r="D29" s="332">
        <f>B29/'- 6 -'!B29</f>
        <v>4798.847951777587</v>
      </c>
      <c r="E29" s="332">
        <v>0</v>
      </c>
      <c r="F29" s="338">
        <f>E29/'- 3 -'!D29*100</f>
        <v>0</v>
      </c>
      <c r="G29" s="332">
        <f>IF('- 6 -'!C29=0,"",E29/'- 6 -'!C29)</f>
      </c>
      <c r="H29" s="332">
        <v>5971227</v>
      </c>
      <c r="I29" s="338">
        <f>H29/'- 3 -'!D29*100</f>
        <v>5.239294241336919</v>
      </c>
      <c r="J29" s="332">
        <f>IF('- 6 -'!D29=0,"",H29/'- 6 -'!D29)</f>
        <v>4573.900421294523</v>
      </c>
    </row>
    <row r="30" spans="1:10" ht="13.5" customHeight="1">
      <c r="A30" s="25" t="s">
        <v>263</v>
      </c>
      <c r="B30" s="26">
        <v>6046161</v>
      </c>
      <c r="C30" s="78">
        <f>B30/'- 3 -'!D30*100</f>
        <v>53.85626798649906</v>
      </c>
      <c r="D30" s="26">
        <f>B30/'- 6 -'!B30</f>
        <v>5042.6697247706425</v>
      </c>
      <c r="E30" s="26">
        <v>0</v>
      </c>
      <c r="F30" s="78">
        <f>E30/'- 3 -'!D30*100</f>
        <v>0</v>
      </c>
      <c r="G30" s="26">
        <f>IF('- 6 -'!C30=0,"",E30/'- 6 -'!C30)</f>
      </c>
      <c r="H30" s="26">
        <v>0</v>
      </c>
      <c r="I30" s="78">
        <f>H30/'- 3 -'!D30*100</f>
        <v>0</v>
      </c>
      <c r="J30" s="26">
        <f>IF('- 6 -'!D30=0,"",H30/'- 6 -'!D30)</f>
      </c>
    </row>
    <row r="31" spans="1:10" ht="13.5" customHeight="1">
      <c r="A31" s="331" t="s">
        <v>264</v>
      </c>
      <c r="B31" s="332">
        <v>10862808.37</v>
      </c>
      <c r="C31" s="338">
        <f>B31/'- 3 -'!D31*100</f>
        <v>39.239156357097826</v>
      </c>
      <c r="D31" s="332">
        <f>B31/'- 6 -'!B31</f>
        <v>4448.324475839476</v>
      </c>
      <c r="E31" s="332">
        <v>0</v>
      </c>
      <c r="F31" s="338">
        <f>E31/'- 3 -'!D31*100</f>
        <v>0</v>
      </c>
      <c r="G31" s="332">
        <f>IF('- 6 -'!C31=0,"",E31/'- 6 -'!C31)</f>
      </c>
      <c r="H31" s="332">
        <v>0</v>
      </c>
      <c r="I31" s="338">
        <f>H31/'- 3 -'!D31*100</f>
        <v>0</v>
      </c>
      <c r="J31" s="332">
        <f>IF('- 6 -'!D31=0,"",H31/'- 6 -'!D31)</f>
      </c>
    </row>
    <row r="32" spans="1:10" ht="13.5" customHeight="1">
      <c r="A32" s="25" t="s">
        <v>265</v>
      </c>
      <c r="B32" s="26">
        <v>8663980</v>
      </c>
      <c r="C32" s="78">
        <f>B32/'- 3 -'!D32*100</f>
        <v>42.875709790357384</v>
      </c>
      <c r="D32" s="26">
        <f>B32/'- 6 -'!B32</f>
        <v>5004.03141966039</v>
      </c>
      <c r="E32" s="26">
        <v>0</v>
      </c>
      <c r="F32" s="78">
        <f>E32/'- 3 -'!D32*100</f>
        <v>0</v>
      </c>
      <c r="G32" s="26">
        <f>IF('- 6 -'!C32=0,"",E32/'- 6 -'!C32)</f>
      </c>
      <c r="H32" s="26">
        <v>531887</v>
      </c>
      <c r="I32" s="78">
        <f>H32/'- 3 -'!D32*100</f>
        <v>2.632165892957257</v>
      </c>
      <c r="J32" s="26">
        <f>IF('- 6 -'!D32=0,"",H32/'- 6 -'!D32)</f>
        <v>5065.590476190476</v>
      </c>
    </row>
    <row r="33" spans="1:10" ht="13.5" customHeight="1">
      <c r="A33" s="331" t="s">
        <v>266</v>
      </c>
      <c r="B33" s="332">
        <v>9602890</v>
      </c>
      <c r="C33" s="338">
        <f>B33/'- 3 -'!D33*100</f>
        <v>42.21553239020858</v>
      </c>
      <c r="D33" s="332">
        <f>B33/'- 6 -'!B33</f>
        <v>5057.613103702533</v>
      </c>
      <c r="E33" s="332">
        <v>0</v>
      </c>
      <c r="F33" s="338">
        <f>E33/'- 3 -'!D33*100</f>
        <v>0</v>
      </c>
      <c r="G33" s="332">
        <f>IF('- 6 -'!C33=0,"",E33/'- 6 -'!C33)</f>
      </c>
      <c r="H33" s="332">
        <v>0</v>
      </c>
      <c r="I33" s="338">
        <f>H33/'- 3 -'!D33*100</f>
        <v>0</v>
      </c>
      <c r="J33" s="332">
        <f>IF('- 6 -'!D33=0,"",H33/'- 6 -'!D33)</f>
      </c>
    </row>
    <row r="34" spans="1:10" ht="13.5" customHeight="1">
      <c r="A34" s="25" t="s">
        <v>267</v>
      </c>
      <c r="B34" s="26">
        <v>7447667</v>
      </c>
      <c r="C34" s="78">
        <f>B34/'- 3 -'!D34*100</f>
        <v>38.75910668962757</v>
      </c>
      <c r="D34" s="26">
        <f>B34/'- 6 -'!B34</f>
        <v>4411.8636336709915</v>
      </c>
      <c r="E34" s="26">
        <v>0</v>
      </c>
      <c r="F34" s="78">
        <f>E34/'- 3 -'!D34*100</f>
        <v>0</v>
      </c>
      <c r="G34" s="26">
        <f>IF('- 6 -'!C34=0,"",E34/'- 6 -'!C34)</f>
      </c>
      <c r="H34" s="26">
        <v>1143018</v>
      </c>
      <c r="I34" s="78">
        <f>H34/'- 3 -'!D34*100</f>
        <v>5.948487843262155</v>
      </c>
      <c r="J34" s="26">
        <f>IF('- 6 -'!D34=0,"",H34/'- 6 -'!D34)</f>
        <v>5900.9705730511105</v>
      </c>
    </row>
    <row r="35" spans="1:10" ht="13.5" customHeight="1">
      <c r="A35" s="331" t="s">
        <v>268</v>
      </c>
      <c r="B35" s="332">
        <v>44718424</v>
      </c>
      <c r="C35" s="338">
        <f>B35/'- 3 -'!D35*100</f>
        <v>31.36854530630921</v>
      </c>
      <c r="D35" s="332">
        <f>B35/'- 6 -'!B35</f>
        <v>4411.188557336622</v>
      </c>
      <c r="E35" s="332">
        <v>0</v>
      </c>
      <c r="F35" s="338">
        <f>E35/'- 3 -'!D35*100</f>
        <v>0</v>
      </c>
      <c r="G35" s="332">
        <f>IF('- 6 -'!C35=0,"",E35/'- 6 -'!C35)</f>
      </c>
      <c r="H35" s="332">
        <v>4417519.54</v>
      </c>
      <c r="I35" s="338">
        <f>H35/'- 3 -'!D35*100</f>
        <v>3.0987487804131066</v>
      </c>
      <c r="J35" s="332">
        <f>IF('- 6 -'!D35=0,"",H35/'- 6 -'!D35)</f>
        <v>4229.315021541407</v>
      </c>
    </row>
    <row r="36" spans="1:10" ht="13.5" customHeight="1">
      <c r="A36" s="25" t="s">
        <v>269</v>
      </c>
      <c r="B36" s="26">
        <v>9135160</v>
      </c>
      <c r="C36" s="78">
        <f>B36/'- 3 -'!D36*100</f>
        <v>50.9041130973181</v>
      </c>
      <c r="D36" s="26">
        <f>B36/'- 6 -'!B36</f>
        <v>4771.3151572129955</v>
      </c>
      <c r="E36" s="26">
        <v>0</v>
      </c>
      <c r="F36" s="78">
        <f>E36/'- 3 -'!D36*100</f>
        <v>0</v>
      </c>
      <c r="G36" s="26">
        <f>IF('- 6 -'!C36=0,"",E36/'- 6 -'!C36)</f>
      </c>
      <c r="H36" s="26">
        <v>0</v>
      </c>
      <c r="I36" s="78">
        <f>H36/'- 3 -'!D36*100</f>
        <v>0</v>
      </c>
      <c r="J36" s="26">
        <f>IF('- 6 -'!D36=0,"",H36/'- 6 -'!D36)</f>
      </c>
    </row>
    <row r="37" spans="1:10" ht="13.5" customHeight="1">
      <c r="A37" s="331" t="s">
        <v>270</v>
      </c>
      <c r="B37" s="332">
        <v>7116758</v>
      </c>
      <c r="C37" s="338">
        <f>B37/'- 3 -'!D37*100</f>
        <v>23.84349664690474</v>
      </c>
      <c r="D37" s="332">
        <f>B37/'- 6 -'!B37</f>
        <v>4426.945757651158</v>
      </c>
      <c r="E37" s="332">
        <v>0</v>
      </c>
      <c r="F37" s="338">
        <f>E37/'- 3 -'!D37*100</f>
        <v>0</v>
      </c>
      <c r="G37" s="332">
        <f>IF('- 6 -'!C37=0,"",E37/'- 6 -'!C37)</f>
      </c>
      <c r="H37" s="332">
        <v>2551451</v>
      </c>
      <c r="I37" s="338">
        <f>H37/'- 3 -'!D37*100</f>
        <v>8.548205989755692</v>
      </c>
      <c r="J37" s="332">
        <f>IF('- 6 -'!D37=0,"",H37/'- 6 -'!D37)</f>
        <v>4302.615514333896</v>
      </c>
    </row>
    <row r="38" spans="1:10" ht="13.5" customHeight="1">
      <c r="A38" s="25" t="s">
        <v>271</v>
      </c>
      <c r="B38" s="26">
        <v>20791793</v>
      </c>
      <c r="C38" s="78">
        <f>B38/'- 3 -'!D38*100</f>
        <v>28.023338530165304</v>
      </c>
      <c r="D38" s="26">
        <f>B38/'- 6 -'!B38</f>
        <v>4453.634572132377</v>
      </c>
      <c r="E38" s="26">
        <v>0</v>
      </c>
      <c r="F38" s="78">
        <f>E38/'- 3 -'!D38*100</f>
        <v>0</v>
      </c>
      <c r="G38" s="26">
        <f>IF('- 6 -'!C38=0,"",E38/'- 6 -'!C38)</f>
      </c>
      <c r="H38" s="26">
        <v>871310</v>
      </c>
      <c r="I38" s="78">
        <f>H38/'- 3 -'!D38*100</f>
        <v>1.1743583198773828</v>
      </c>
      <c r="J38" s="26">
        <f>IF('- 6 -'!D38=0,"",H38/'- 6 -'!D38)</f>
        <v>4514.559585492228</v>
      </c>
    </row>
    <row r="39" spans="1:10" ht="13.5" customHeight="1">
      <c r="A39" s="331" t="s">
        <v>272</v>
      </c>
      <c r="B39" s="332">
        <v>8701853</v>
      </c>
      <c r="C39" s="338">
        <f>B39/'- 3 -'!D39*100</f>
        <v>53.23791337625475</v>
      </c>
      <c r="D39" s="332">
        <f>B39/'- 6 -'!B39</f>
        <v>5257.917220543806</v>
      </c>
      <c r="E39" s="332">
        <v>0</v>
      </c>
      <c r="F39" s="338">
        <f>E39/'- 3 -'!D39*100</f>
        <v>0</v>
      </c>
      <c r="G39" s="332">
        <f>IF('- 6 -'!C39=0,"",E39/'- 6 -'!C39)</f>
      </c>
      <c r="H39" s="332">
        <v>0</v>
      </c>
      <c r="I39" s="338">
        <f>H39/'- 3 -'!D39*100</f>
        <v>0</v>
      </c>
      <c r="J39" s="332">
        <f>IF('- 6 -'!D39=0,"",H39/'- 6 -'!D39)</f>
      </c>
    </row>
    <row r="40" spans="1:10" ht="13.5" customHeight="1">
      <c r="A40" s="25" t="s">
        <v>273</v>
      </c>
      <c r="B40" s="26">
        <v>27837010</v>
      </c>
      <c r="C40" s="78">
        <f>B40/'- 3 -'!D40*100</f>
        <v>36.42943219626224</v>
      </c>
      <c r="D40" s="26">
        <f>B40/'- 6 -'!B40</f>
        <v>4726.845900837645</v>
      </c>
      <c r="E40" s="26">
        <v>0</v>
      </c>
      <c r="F40" s="78">
        <f>E40/'- 3 -'!D40*100</f>
        <v>0</v>
      </c>
      <c r="G40" s="26">
        <f>IF('- 6 -'!C40=0,"",E40/'- 6 -'!C40)</f>
      </c>
      <c r="H40" s="26">
        <v>3120487</v>
      </c>
      <c r="I40" s="78">
        <f>H40/'- 3 -'!D40*100</f>
        <v>4.083684619354513</v>
      </c>
      <c r="J40" s="26">
        <f>IF('- 6 -'!D40=0,"",H40/'- 6 -'!D40)</f>
        <v>4671.387724550898</v>
      </c>
    </row>
    <row r="41" spans="1:10" ht="13.5" customHeight="1">
      <c r="A41" s="331" t="s">
        <v>274</v>
      </c>
      <c r="B41" s="332">
        <v>15584671</v>
      </c>
      <c r="C41" s="338">
        <f>B41/'- 3 -'!D41*100</f>
        <v>33.435316957298326</v>
      </c>
      <c r="D41" s="332">
        <f>B41/'- 6 -'!B41</f>
        <v>4956.168230243282</v>
      </c>
      <c r="E41" s="332">
        <v>0</v>
      </c>
      <c r="F41" s="338">
        <f>E41/'- 3 -'!D41*100</f>
        <v>0</v>
      </c>
      <c r="G41" s="332">
        <f>IF('- 6 -'!C41=0,"",E41/'- 6 -'!C41)</f>
      </c>
      <c r="H41" s="332">
        <v>0</v>
      </c>
      <c r="I41" s="338">
        <f>H41/'- 3 -'!D41*100</f>
        <v>0</v>
      </c>
      <c r="J41" s="332">
        <f>IF('- 6 -'!D41=0,"",H41/'- 6 -'!D41)</f>
      </c>
    </row>
    <row r="42" spans="1:10" ht="13.5" customHeight="1">
      <c r="A42" s="25" t="s">
        <v>275</v>
      </c>
      <c r="B42" s="26">
        <v>6407695</v>
      </c>
      <c r="C42" s="78">
        <f>B42/'- 3 -'!D42*100</f>
        <v>38.79467889427238</v>
      </c>
      <c r="D42" s="26">
        <f>B42/'- 6 -'!B42</f>
        <v>5006.01171875</v>
      </c>
      <c r="E42" s="26">
        <v>0</v>
      </c>
      <c r="F42" s="78">
        <f>E42/'- 3 -'!D42*100</f>
        <v>0</v>
      </c>
      <c r="G42" s="26">
        <f>IF('- 6 -'!C42=0,"",E42/'- 6 -'!C42)</f>
      </c>
      <c r="H42" s="26">
        <v>0</v>
      </c>
      <c r="I42" s="78">
        <f>H42/'- 3 -'!D42*100</f>
        <v>0</v>
      </c>
      <c r="J42" s="26">
        <f>IF('- 6 -'!D42=0,"",H42/'- 6 -'!D42)</f>
      </c>
    </row>
    <row r="43" spans="1:10" ht="13.5" customHeight="1">
      <c r="A43" s="331" t="s">
        <v>276</v>
      </c>
      <c r="B43" s="332">
        <v>4951269</v>
      </c>
      <c r="C43" s="338">
        <f>B43/'- 3 -'!D43*100</f>
        <v>48.62635314799492</v>
      </c>
      <c r="D43" s="332">
        <f>B43/'- 6 -'!B43</f>
        <v>4544.533272143185</v>
      </c>
      <c r="E43" s="332">
        <v>0</v>
      </c>
      <c r="F43" s="338">
        <f>E43/'- 3 -'!D43*100</f>
        <v>0</v>
      </c>
      <c r="G43" s="332">
        <f>IF('- 6 -'!C43=0,"",E43/'- 6 -'!C43)</f>
      </c>
      <c r="H43" s="332">
        <v>0</v>
      </c>
      <c r="I43" s="338">
        <f>H43/'- 3 -'!D43*100</f>
        <v>0</v>
      </c>
      <c r="J43" s="332">
        <f>IF('- 6 -'!D43=0,"",H43/'- 6 -'!D43)</f>
      </c>
    </row>
    <row r="44" spans="1:10" ht="13.5" customHeight="1">
      <c r="A44" s="25" t="s">
        <v>277</v>
      </c>
      <c r="B44" s="26">
        <v>3592122</v>
      </c>
      <c r="C44" s="78">
        <f>B44/'- 3 -'!D44*100</f>
        <v>46.46620474549751</v>
      </c>
      <c r="D44" s="26">
        <f>B44/'- 6 -'!B44</f>
        <v>4695.584313725491</v>
      </c>
      <c r="E44" s="26">
        <v>244273</v>
      </c>
      <c r="F44" s="78">
        <f>E44/'- 3 -'!D44*100</f>
        <v>3.159814514038475</v>
      </c>
      <c r="G44" s="26">
        <f>IF('- 6 -'!C44=0,"",E44/'- 6 -'!C44)</f>
        <v>4652.8190476190475</v>
      </c>
      <c r="H44" s="26">
        <v>0</v>
      </c>
      <c r="I44" s="78">
        <f>H44/'- 3 -'!D44*100</f>
        <v>0</v>
      </c>
      <c r="J44" s="26">
        <f>IF('- 6 -'!D44=0,"",H44/'- 6 -'!D44)</f>
      </c>
    </row>
    <row r="45" spans="1:10" ht="13.5" customHeight="1">
      <c r="A45" s="331" t="s">
        <v>278</v>
      </c>
      <c r="B45" s="332">
        <v>3013102.68</v>
      </c>
      <c r="C45" s="338">
        <f>B45/'- 3 -'!D45*100</f>
        <v>25.860872698597987</v>
      </c>
      <c r="D45" s="332">
        <f>B45/'- 6 -'!B45</f>
        <v>4690.383997509341</v>
      </c>
      <c r="E45" s="332">
        <v>0</v>
      </c>
      <c r="F45" s="338">
        <f>E45/'- 3 -'!D45*100</f>
        <v>0</v>
      </c>
      <c r="G45" s="332">
        <f>IF('- 6 -'!C45=0,"",E45/'- 6 -'!C45)</f>
      </c>
      <c r="H45" s="332">
        <v>0</v>
      </c>
      <c r="I45" s="338">
        <f>H45/'- 3 -'!D45*100</f>
        <v>0</v>
      </c>
      <c r="J45" s="332">
        <f>IF('- 6 -'!D45=0,"",H45/'- 6 -'!D45)</f>
      </c>
    </row>
    <row r="46" spans="1:10" ht="13.5" customHeight="1">
      <c r="A46" s="25" t="s">
        <v>279</v>
      </c>
      <c r="B46" s="26">
        <v>100112402</v>
      </c>
      <c r="C46" s="78">
        <f>B46/'- 3 -'!D46*100</f>
        <v>34.47784270767264</v>
      </c>
      <c r="D46" s="26">
        <f>B46/'- 6 -'!B46</f>
        <v>4565.9010038264905</v>
      </c>
      <c r="E46" s="26">
        <v>0</v>
      </c>
      <c r="F46" s="78">
        <f>E46/'- 3 -'!D46*100</f>
        <v>0</v>
      </c>
      <c r="G46" s="26">
        <f>IF('- 6 -'!C46=0,"",E46/'- 6 -'!C46)</f>
      </c>
      <c r="H46" s="26">
        <v>4268823</v>
      </c>
      <c r="I46" s="78">
        <f>H46/'- 3 -'!D46*100</f>
        <v>1.4701456063445093</v>
      </c>
      <c r="J46" s="26">
        <f>IF('- 6 -'!D46=0,"",H46/'- 6 -'!D46)</f>
        <v>4474.657232704402</v>
      </c>
    </row>
    <row r="47" spans="1:10" ht="4.5" customHeight="1">
      <c r="A47" s="27"/>
      <c r="B47" s="28"/>
      <c r="C47"/>
      <c r="D47" s="28"/>
      <c r="E47" s="28"/>
      <c r="F47"/>
      <c r="G47" s="28"/>
      <c r="H47" s="28"/>
      <c r="I47"/>
      <c r="J47"/>
    </row>
    <row r="48" spans="1:10" ht="13.5" customHeight="1">
      <c r="A48" s="333" t="s">
        <v>280</v>
      </c>
      <c r="B48" s="334">
        <f>SUM(B11:B46)</f>
        <v>576222696.0699999</v>
      </c>
      <c r="C48" s="341">
        <f>B48/'- 3 -'!D48*100</f>
        <v>36.31791627448195</v>
      </c>
      <c r="D48" s="334">
        <f>B48/'- 6 -'!B48</f>
        <v>4605.59011310986</v>
      </c>
      <c r="E48" s="334">
        <f>SUM(E11:E46)</f>
        <v>24745017</v>
      </c>
      <c r="F48" s="341">
        <f>E48/'- 3 -'!D48*100</f>
        <v>1.559618289501494</v>
      </c>
      <c r="G48" s="334">
        <f>E48/'- 6 -'!C48</f>
        <v>5037.666327361563</v>
      </c>
      <c r="H48" s="334">
        <f>SUM(H11:H46)</f>
        <v>37545632.54</v>
      </c>
      <c r="I48" s="341">
        <f>H48/'- 3 -'!D48*100</f>
        <v>2.366409980655355</v>
      </c>
      <c r="J48" s="334">
        <f>H48/'- 6 -'!D48</f>
        <v>4302.879143220601</v>
      </c>
    </row>
    <row r="49" spans="1:10" ht="4.5" customHeight="1">
      <c r="A49" s="27" t="s">
        <v>32</v>
      </c>
      <c r="B49" s="28"/>
      <c r="C49"/>
      <c r="D49" s="28"/>
      <c r="E49" s="28"/>
      <c r="F49"/>
      <c r="I49"/>
      <c r="J49"/>
    </row>
    <row r="50" spans="1:10" ht="13.5" customHeight="1">
      <c r="A50" s="25" t="s">
        <v>281</v>
      </c>
      <c r="B50" s="26">
        <v>1406767</v>
      </c>
      <c r="C50" s="78">
        <f>B50/'- 3 -'!D50*100</f>
        <v>53.36906782522396</v>
      </c>
      <c r="D50" s="26">
        <f>B50/'- 6 -'!B50</f>
        <v>6161.922908453788</v>
      </c>
      <c r="E50" s="26">
        <v>0</v>
      </c>
      <c r="F50" s="78">
        <f>E50/'- 3 -'!D50*100</f>
        <v>0</v>
      </c>
      <c r="G50" s="26">
        <f>IF('- 6 -'!C50=0,"",E50/'- 6 -'!C50)</f>
      </c>
      <c r="H50" s="26">
        <v>0</v>
      </c>
      <c r="I50" s="78">
        <f>H50/'- 3 -'!D50*100</f>
        <v>0</v>
      </c>
      <c r="J50" s="26">
        <f>IF('- 6 -'!D50=0,"",H50/'- 6 -'!D50)</f>
      </c>
    </row>
    <row r="51" spans="1:10" ht="13.5" customHeight="1">
      <c r="A51" s="331" t="s">
        <v>282</v>
      </c>
      <c r="B51" s="332">
        <v>189044</v>
      </c>
      <c r="C51" s="338">
        <f>B51/'- 3 -'!D51*100</f>
        <v>1.8682565090373415</v>
      </c>
      <c r="D51" s="332">
        <f>B51/'- 6 -'!B51</f>
        <v>3424.710144927536</v>
      </c>
      <c r="E51" s="332">
        <v>0</v>
      </c>
      <c r="F51" s="338">
        <f>E51/'- 3 -'!D51*100</f>
        <v>0</v>
      </c>
      <c r="G51" s="332">
        <f>IF('- 6 -'!C51=0,"",E51/'- 6 -'!C51)</f>
      </c>
      <c r="H51" s="332">
        <v>0</v>
      </c>
      <c r="I51" s="338">
        <f>H51/'- 3 -'!D51*100</f>
        <v>0</v>
      </c>
      <c r="J51" s="332">
        <f>IF('- 6 -'!D51=0,"",H51/'- 6 -'!D51)</f>
      </c>
    </row>
    <row r="52" spans="1:10" ht="49.5" customHeight="1">
      <c r="A52" s="29"/>
      <c r="B52" s="29"/>
      <c r="C52" s="29"/>
      <c r="D52" s="29"/>
      <c r="E52" s="29"/>
      <c r="F52" s="29"/>
      <c r="G52" s="29"/>
      <c r="H52" s="125"/>
      <c r="I52" s="125"/>
      <c r="J52" s="125"/>
    </row>
    <row r="53" spans="1:10" ht="15" customHeight="1">
      <c r="A53" s="127" t="s">
        <v>390</v>
      </c>
      <c r="B53" s="95"/>
      <c r="C53" s="95"/>
      <c r="D53" s="95"/>
      <c r="E53" s="95"/>
      <c r="F53" s="95"/>
      <c r="G53" s="95"/>
      <c r="I53" s="95"/>
      <c r="J53" s="95"/>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53"/>
  <sheetViews>
    <sheetView showGridLines="0" showZeros="0" workbookViewId="0" topLeftCell="A1">
      <selection activeCell="A1" sqref="A1"/>
    </sheetView>
  </sheetViews>
  <sheetFormatPr defaultColWidth="15.83203125" defaultRowHeight="12"/>
  <cols>
    <col min="1" max="1" width="31.83203125" style="1" customWidth="1"/>
    <col min="2" max="2" width="14.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ustomWidth="1"/>
  </cols>
  <sheetData>
    <row r="1" spans="1:9" ht="6.75" customHeight="1">
      <c r="A1" s="5"/>
      <c r="B1" s="99"/>
      <c r="C1" s="99"/>
      <c r="D1" s="99"/>
      <c r="E1" s="99"/>
      <c r="F1" s="99"/>
      <c r="G1" s="99"/>
      <c r="H1" s="99"/>
      <c r="I1" s="99"/>
    </row>
    <row r="2" spans="1:9" ht="15.75" customHeight="1">
      <c r="A2" s="154"/>
      <c r="B2" s="100" t="s">
        <v>528</v>
      </c>
      <c r="C2" s="101"/>
      <c r="D2" s="101"/>
      <c r="E2" s="101"/>
      <c r="F2" s="101"/>
      <c r="G2" s="101"/>
      <c r="H2" s="209"/>
      <c r="I2" s="155" t="s">
        <v>491</v>
      </c>
    </row>
    <row r="3" spans="1:9" ht="15.75" customHeight="1">
      <c r="A3" s="156"/>
      <c r="B3" s="82" t="str">
        <f>OPYEAR</f>
        <v>OPERATING FUND 2006/2007 ACTUAL</v>
      </c>
      <c r="C3" s="104"/>
      <c r="D3" s="104"/>
      <c r="E3" s="104"/>
      <c r="F3" s="104"/>
      <c r="G3" s="104"/>
      <c r="H3" s="210"/>
      <c r="I3" s="211"/>
    </row>
    <row r="4" spans="2:9" ht="15.75" customHeight="1">
      <c r="B4" s="99"/>
      <c r="C4" s="99"/>
      <c r="D4" s="99"/>
      <c r="E4" s="99"/>
      <c r="F4" s="99"/>
      <c r="G4" s="99"/>
      <c r="H4" s="99"/>
      <c r="I4" s="99"/>
    </row>
    <row r="5" spans="2:9" ht="15.75" customHeight="1">
      <c r="B5" s="212" t="s">
        <v>38</v>
      </c>
      <c r="C5" s="213"/>
      <c r="D5" s="213"/>
      <c r="E5" s="213"/>
      <c r="F5" s="213"/>
      <c r="G5" s="213"/>
      <c r="H5" s="213"/>
      <c r="I5" s="214"/>
    </row>
    <row r="6" spans="2:9" ht="15.75" customHeight="1">
      <c r="B6" s="385" t="s">
        <v>391</v>
      </c>
      <c r="C6" s="386"/>
      <c r="D6" s="386"/>
      <c r="E6" s="386"/>
      <c r="F6" s="386"/>
      <c r="G6" s="386"/>
      <c r="H6" s="386"/>
      <c r="I6" s="387"/>
    </row>
    <row r="7" spans="2:9" ht="15.75" customHeight="1">
      <c r="B7" s="202"/>
      <c r="C7" s="215"/>
      <c r="D7" s="215"/>
      <c r="E7" s="216" t="s">
        <v>190</v>
      </c>
      <c r="F7" s="217" t="s">
        <v>191</v>
      </c>
      <c r="G7" s="217"/>
      <c r="H7" s="217"/>
      <c r="I7" s="218"/>
    </row>
    <row r="8" spans="1:9" ht="15.75" customHeight="1">
      <c r="A8" s="74"/>
      <c r="B8" s="219"/>
      <c r="C8" s="219"/>
      <c r="D8" s="201" t="s">
        <v>89</v>
      </c>
      <c r="E8" s="220" t="s">
        <v>192</v>
      </c>
      <c r="F8" s="219"/>
      <c r="G8" s="221"/>
      <c r="H8" s="222" t="s">
        <v>98</v>
      </c>
      <c r="I8" s="219"/>
    </row>
    <row r="9" spans="1:9" ht="15.75" customHeight="1">
      <c r="A9" s="41" t="s">
        <v>108</v>
      </c>
      <c r="B9" s="111" t="s">
        <v>109</v>
      </c>
      <c r="C9" s="111" t="s">
        <v>110</v>
      </c>
      <c r="D9" s="111" t="s">
        <v>111</v>
      </c>
      <c r="E9" s="223" t="s">
        <v>115</v>
      </c>
      <c r="F9" s="111" t="s">
        <v>97</v>
      </c>
      <c r="G9" s="224" t="s">
        <v>61</v>
      </c>
      <c r="H9" s="111" t="s">
        <v>113</v>
      </c>
      <c r="I9" s="111" t="s">
        <v>74</v>
      </c>
    </row>
    <row r="10" spans="1:9" ht="4.5" customHeight="1">
      <c r="A10" s="4"/>
      <c r="B10" s="95"/>
      <c r="C10" s="95"/>
      <c r="D10" s="95"/>
      <c r="E10" s="95"/>
      <c r="F10" s="95"/>
      <c r="G10" s="95"/>
      <c r="H10" s="95"/>
      <c r="I10" s="95"/>
    </row>
    <row r="11" spans="1:9" ht="13.5" customHeight="1">
      <c r="A11" s="388" t="s">
        <v>245</v>
      </c>
      <c r="B11" s="332">
        <v>0</v>
      </c>
      <c r="C11" s="338">
        <f>B11/'- 3 -'!D11*100</f>
        <v>0</v>
      </c>
      <c r="D11" s="389">
        <f>IF(E11=0,"",B11/E11)</f>
      </c>
      <c r="E11" s="390">
        <f>SUM('- 6 -'!E11:H11)</f>
        <v>0</v>
      </c>
      <c r="F11" s="338">
        <f>IF(E11=0,"",'- 6 -'!E11/E11*100)</f>
      </c>
      <c r="G11" s="338">
        <f>IF(E11=0,"",'- 6 -'!F11/E11*100)</f>
      </c>
      <c r="H11" s="338">
        <f>IF(E11=0,"",'- 6 -'!G11/E11*100)</f>
      </c>
      <c r="I11" s="338">
        <f>IF(E11=0,"",'- 6 -'!H11/E11*100)</f>
      </c>
    </row>
    <row r="12" spans="1:9" ht="13.5" customHeight="1">
      <c r="A12" s="25" t="s">
        <v>246</v>
      </c>
      <c r="B12" s="26">
        <v>0</v>
      </c>
      <c r="C12" s="78">
        <f>B12/'- 3 -'!D12*100</f>
        <v>0</v>
      </c>
      <c r="D12" s="225">
        <f aca="true" t="shared" si="0" ref="D12:D46">IF(E12=0,"",B12/E12)</f>
      </c>
      <c r="E12" s="226">
        <f>SUM('- 6 -'!E12:H12)</f>
        <v>0</v>
      </c>
      <c r="F12" s="78">
        <f>IF(E12=0,"",'- 6 -'!E12/E12*100)</f>
      </c>
      <c r="G12" s="78">
        <f>IF(E12=0,"",'- 6 -'!F12/E12*100)</f>
      </c>
      <c r="H12" s="78">
        <f>IF(E12=0,"",'- 6 -'!G12/E12*100)</f>
      </c>
      <c r="I12" s="78">
        <f>IF(E12=0,"",'- 6 -'!H12/E12*100)</f>
      </c>
    </row>
    <row r="13" spans="1:9" ht="13.5" customHeight="1">
      <c r="A13" s="388" t="s">
        <v>247</v>
      </c>
      <c r="B13" s="332">
        <v>4373761</v>
      </c>
      <c r="C13" s="338">
        <f>B13/'- 3 -'!D13*100</f>
        <v>8.14583965474354</v>
      </c>
      <c r="D13" s="389">
        <f t="shared" si="0"/>
        <v>3850.1417253521126</v>
      </c>
      <c r="E13" s="390">
        <f>SUM('- 6 -'!E13:H13)</f>
        <v>1136</v>
      </c>
      <c r="F13" s="338">
        <f>IF(E13=0,"",'- 6 -'!E13/E13*100)</f>
        <v>56.51408450704225</v>
      </c>
      <c r="G13" s="338">
        <f>IF(E13=0,"",'- 6 -'!F13/E13*100)</f>
        <v>0</v>
      </c>
      <c r="H13" s="338">
        <f>IF(E13=0,"",'- 6 -'!G13/E13*100)</f>
        <v>43.485915492957744</v>
      </c>
      <c r="I13" s="338">
        <f>IF(E13=0,"",'- 6 -'!H13/E13*100)</f>
        <v>0</v>
      </c>
    </row>
    <row r="14" spans="1:9" ht="13.5" customHeight="1">
      <c r="A14" s="25" t="s">
        <v>283</v>
      </c>
      <c r="B14" s="26">
        <v>0</v>
      </c>
      <c r="C14" s="78">
        <f>B14/'- 3 -'!D14*100</f>
        <v>0</v>
      </c>
      <c r="D14" s="225">
        <f t="shared" si="0"/>
      </c>
      <c r="E14" s="226">
        <f>SUM('- 6 -'!E14:H14)</f>
        <v>0</v>
      </c>
      <c r="F14" s="78">
        <f>IF(E14=0,"",'- 6 -'!E14/E14*100)</f>
      </c>
      <c r="G14" s="78">
        <f>IF(E14=0,"",'- 6 -'!F14/E14*100)</f>
      </c>
      <c r="H14" s="78">
        <f>IF(E14=0,"",'- 6 -'!G14/E14*100)</f>
      </c>
      <c r="I14" s="78">
        <f>IF(E14=0,"",'- 6 -'!H14/E14*100)</f>
      </c>
    </row>
    <row r="15" spans="1:9" ht="13.5" customHeight="1">
      <c r="A15" s="388" t="s">
        <v>248</v>
      </c>
      <c r="B15" s="332">
        <v>0</v>
      </c>
      <c r="C15" s="338">
        <f>B15/'- 3 -'!D15*100</f>
        <v>0</v>
      </c>
      <c r="D15" s="389">
        <f t="shared" si="0"/>
      </c>
      <c r="E15" s="390">
        <f>SUM('- 6 -'!E15:H15)</f>
        <v>0</v>
      </c>
      <c r="F15" s="338">
        <f>IF(E15=0,"",'- 6 -'!E15/E15*100)</f>
      </c>
      <c r="G15" s="338">
        <f>IF(E15=0,"",'- 6 -'!F15/E15*100)</f>
      </c>
      <c r="H15" s="338">
        <f>IF(E15=0,"",'- 6 -'!G15/E15*100)</f>
      </c>
      <c r="I15" s="338">
        <f>IF(E15=0,"",'- 6 -'!H15/E15*100)</f>
      </c>
    </row>
    <row r="16" spans="1:9" ht="13.5" customHeight="1">
      <c r="A16" s="25" t="s">
        <v>249</v>
      </c>
      <c r="B16" s="26">
        <v>1791556</v>
      </c>
      <c r="C16" s="78">
        <f>B16/'- 3 -'!D16*100</f>
        <v>16.114834026577334</v>
      </c>
      <c r="D16" s="225">
        <f t="shared" si="0"/>
        <v>4220.391048292108</v>
      </c>
      <c r="E16" s="226">
        <f>SUM('- 6 -'!E16:H16)</f>
        <v>424.5</v>
      </c>
      <c r="F16" s="78">
        <f>IF(E16=0,"",'- 6 -'!E16/E16*100)</f>
        <v>73.38044758539458</v>
      </c>
      <c r="G16" s="78">
        <f>IF(E16=0,"",'- 6 -'!F16/E16*100)</f>
        <v>0</v>
      </c>
      <c r="H16" s="78">
        <f>IF(E16=0,"",'- 6 -'!G16/E16*100)</f>
        <v>26.61955241460542</v>
      </c>
      <c r="I16" s="78">
        <f>IF(E16=0,"",'- 6 -'!H16/E16*100)</f>
        <v>0</v>
      </c>
    </row>
    <row r="17" spans="1:9" ht="13.5" customHeight="1">
      <c r="A17" s="388" t="s">
        <v>250</v>
      </c>
      <c r="B17" s="332">
        <v>0</v>
      </c>
      <c r="C17" s="338">
        <f>B17/'- 3 -'!D17*100</f>
        <v>0</v>
      </c>
      <c r="D17" s="389">
        <f t="shared" si="0"/>
      </c>
      <c r="E17" s="390">
        <f>SUM('- 6 -'!E17:H17)</f>
        <v>0</v>
      </c>
      <c r="F17" s="338">
        <f>IF(E17=0,"",'- 6 -'!E17/E17*100)</f>
      </c>
      <c r="G17" s="338">
        <f>IF(E17=0,"",'- 6 -'!F17/E17*100)</f>
      </c>
      <c r="H17" s="338">
        <f>IF(E17=0,"",'- 6 -'!G17/E17*100)</f>
      </c>
      <c r="I17" s="338">
        <f>IF(E17=0,"",'- 6 -'!H17/E17*100)</f>
      </c>
    </row>
    <row r="18" spans="1:9" ht="13.5" customHeight="1">
      <c r="A18" s="25" t="s">
        <v>251</v>
      </c>
      <c r="B18" s="26">
        <v>0</v>
      </c>
      <c r="C18" s="78">
        <f>B18/'- 3 -'!D18*100</f>
        <v>0</v>
      </c>
      <c r="D18" s="225">
        <f t="shared" si="0"/>
      </c>
      <c r="E18" s="226">
        <f>SUM('- 6 -'!E18:H18)</f>
        <v>0</v>
      </c>
      <c r="F18" s="78">
        <f>IF(E18=0,"",'- 6 -'!E18/E18*100)</f>
      </c>
      <c r="G18" s="78">
        <f>IF(E18=0,"",'- 6 -'!F18/E18*100)</f>
      </c>
      <c r="H18" s="78">
        <f>IF(E18=0,"",'- 6 -'!G18/E18*100)</f>
      </c>
      <c r="I18" s="78">
        <f>IF(E18=0,"",'- 6 -'!H18/E18*100)</f>
      </c>
    </row>
    <row r="19" spans="1:9" ht="13.5" customHeight="1">
      <c r="A19" s="388" t="s">
        <v>252</v>
      </c>
      <c r="B19" s="332">
        <v>0</v>
      </c>
      <c r="C19" s="338">
        <f>B19/'- 3 -'!D19*100</f>
        <v>0</v>
      </c>
      <c r="D19" s="389">
        <f t="shared" si="0"/>
      </c>
      <c r="E19" s="390">
        <f>SUM('- 6 -'!E19:H19)</f>
        <v>0</v>
      </c>
      <c r="F19" s="338">
        <f>IF(E19=0,"",'- 6 -'!E19/E19*100)</f>
      </c>
      <c r="G19" s="338">
        <f>IF(E19=0,"",'- 6 -'!F19/E19*100)</f>
      </c>
      <c r="H19" s="338">
        <f>IF(E19=0,"",'- 6 -'!G19/E19*100)</f>
      </c>
      <c r="I19" s="338">
        <f>IF(E19=0,"",'- 6 -'!H19/E19*100)</f>
      </c>
    </row>
    <row r="20" spans="1:9" ht="13.5" customHeight="1">
      <c r="A20" s="25" t="s">
        <v>253</v>
      </c>
      <c r="B20" s="26">
        <v>0</v>
      </c>
      <c r="C20" s="78">
        <f>B20/'- 3 -'!D20*100</f>
        <v>0</v>
      </c>
      <c r="D20" s="225">
        <f t="shared" si="0"/>
      </c>
      <c r="E20" s="226">
        <f>SUM('- 6 -'!E20:H20)</f>
        <v>0</v>
      </c>
      <c r="F20" s="78">
        <f>IF(E20=0,"",'- 6 -'!E20/E20*100)</f>
      </c>
      <c r="G20" s="78">
        <f>IF(E20=0,"",'- 6 -'!F20/E20*100)</f>
      </c>
      <c r="H20" s="78">
        <f>IF(E20=0,"",'- 6 -'!G20/E20*100)</f>
      </c>
      <c r="I20" s="78">
        <f>IF(E20=0,"",'- 6 -'!H20/E20*100)</f>
      </c>
    </row>
    <row r="21" spans="1:9" ht="13.5" customHeight="1">
      <c r="A21" s="388" t="s">
        <v>254</v>
      </c>
      <c r="B21" s="332">
        <v>0</v>
      </c>
      <c r="C21" s="338">
        <f>B21/'- 3 -'!D21*100</f>
        <v>0</v>
      </c>
      <c r="D21" s="389">
        <f t="shared" si="0"/>
      </c>
      <c r="E21" s="390">
        <f>SUM('- 6 -'!E21:H21)</f>
        <v>0</v>
      </c>
      <c r="F21" s="338">
        <f>IF(E21=0,"",'- 6 -'!E21/E21*100)</f>
      </c>
      <c r="G21" s="338">
        <f>IF(E21=0,"",'- 6 -'!F21/E21*100)</f>
      </c>
      <c r="H21" s="338">
        <f>IF(E21=0,"",'- 6 -'!G21/E21*100)</f>
      </c>
      <c r="I21" s="338">
        <f>IF(E21=0,"",'- 6 -'!H21/E21*100)</f>
      </c>
    </row>
    <row r="22" spans="1:9" ht="13.5" customHeight="1">
      <c r="A22" s="25" t="s">
        <v>255</v>
      </c>
      <c r="B22" s="26">
        <v>2961822</v>
      </c>
      <c r="C22" s="78">
        <f>B22/'- 3 -'!D22*100</f>
        <v>19.76851559226915</v>
      </c>
      <c r="D22" s="225">
        <f t="shared" si="0"/>
        <v>4240.260558339299</v>
      </c>
      <c r="E22" s="226">
        <f>SUM('- 6 -'!E22:H22)</f>
        <v>698.5</v>
      </c>
      <c r="F22" s="78">
        <f>IF(E22=0,"",'- 6 -'!E22/E22*100)</f>
        <v>78.16750178954904</v>
      </c>
      <c r="G22" s="78">
        <f>IF(E22=0,"",'- 6 -'!F22/E22*100)</f>
        <v>0</v>
      </c>
      <c r="H22" s="78">
        <f>IF(E22=0,"",'- 6 -'!G22/E22*100)</f>
        <v>21.832498210450964</v>
      </c>
      <c r="I22" s="78">
        <f>IF(E22=0,"",'- 6 -'!H22/E22*100)</f>
        <v>0</v>
      </c>
    </row>
    <row r="23" spans="1:9" ht="13.5" customHeight="1">
      <c r="A23" s="388" t="s">
        <v>256</v>
      </c>
      <c r="B23" s="332">
        <v>0</v>
      </c>
      <c r="C23" s="338">
        <f>B23/'- 3 -'!D23*100</f>
        <v>0</v>
      </c>
      <c r="D23" s="389">
        <f t="shared" si="0"/>
      </c>
      <c r="E23" s="390">
        <f>SUM('- 6 -'!E23:H23)</f>
        <v>0</v>
      </c>
      <c r="F23" s="338">
        <f>IF(E23=0,"",'- 6 -'!E23/E23*100)</f>
      </c>
      <c r="G23" s="338">
        <f>IF(E23=0,"",'- 6 -'!F23/E23*100)</f>
      </c>
      <c r="H23" s="338">
        <f>IF(E23=0,"",'- 6 -'!G23/E23*100)</f>
      </c>
      <c r="I23" s="338">
        <f>IF(E23=0,"",'- 6 -'!H23/E23*100)</f>
      </c>
    </row>
    <row r="24" spans="1:9" ht="13.5" customHeight="1">
      <c r="A24" s="25" t="s">
        <v>257</v>
      </c>
      <c r="B24" s="26">
        <v>4690007</v>
      </c>
      <c r="C24" s="78">
        <f>B24/'- 3 -'!D24*100</f>
        <v>11.731267919547534</v>
      </c>
      <c r="D24" s="225">
        <f t="shared" si="0"/>
        <v>4316.619420156466</v>
      </c>
      <c r="E24" s="226">
        <f>SUM('- 6 -'!E24:H24)</f>
        <v>1086.5</v>
      </c>
      <c r="F24" s="78">
        <f>IF(E24=0,"",'- 6 -'!E24/E24*100)</f>
        <v>83.38702254947079</v>
      </c>
      <c r="G24" s="78">
        <f>IF(E24=0,"",'- 6 -'!F24/E24*100)</f>
        <v>0</v>
      </c>
      <c r="H24" s="78">
        <f>IF(E24=0,"",'- 6 -'!G24/E24*100)</f>
        <v>5.982512655315232</v>
      </c>
      <c r="I24" s="78">
        <f>IF(E24=0,"",'- 6 -'!H24/E24*100)</f>
        <v>10.630464795213989</v>
      </c>
    </row>
    <row r="25" spans="1:9" ht="13.5" customHeight="1">
      <c r="A25" s="388" t="s">
        <v>258</v>
      </c>
      <c r="B25" s="332">
        <v>0</v>
      </c>
      <c r="C25" s="338">
        <f>B25/'- 3 -'!D25*100</f>
        <v>0</v>
      </c>
      <c r="D25" s="389">
        <f t="shared" si="0"/>
      </c>
      <c r="E25" s="390">
        <f>SUM('- 6 -'!E25:H25)</f>
        <v>0</v>
      </c>
      <c r="F25" s="338">
        <f>IF(E25=0,"",'- 6 -'!E25/E25*100)</f>
      </c>
      <c r="G25" s="338">
        <f>IF(E25=0,"",'- 6 -'!F25/E25*100)</f>
      </c>
      <c r="H25" s="338">
        <f>IF(E25=0,"",'- 6 -'!G25/E25*100)</f>
      </c>
      <c r="I25" s="338">
        <f>IF(E25=0,"",'- 6 -'!H25/E25*100)</f>
      </c>
    </row>
    <row r="26" spans="1:9" ht="13.5" customHeight="1">
      <c r="A26" s="25" t="s">
        <v>259</v>
      </c>
      <c r="B26" s="26">
        <v>1594146</v>
      </c>
      <c r="C26" s="78">
        <f>B26/'- 3 -'!D26*100</f>
        <v>5.280172802836962</v>
      </c>
      <c r="D26" s="225">
        <f t="shared" si="0"/>
        <v>4167.701960784314</v>
      </c>
      <c r="E26" s="226">
        <f>SUM('- 6 -'!E26:H26)</f>
        <v>382.5</v>
      </c>
      <c r="F26" s="78">
        <f>IF(E26=0,"",'- 6 -'!E26/E26*100)</f>
        <v>60.3921568627451</v>
      </c>
      <c r="G26" s="78">
        <f>IF(E26=0,"",'- 6 -'!F26/E26*100)</f>
        <v>0</v>
      </c>
      <c r="H26" s="78">
        <f>IF(E26=0,"",'- 6 -'!G26/E26*100)</f>
        <v>10.718954248366012</v>
      </c>
      <c r="I26" s="78">
        <f>IF(E26=0,"",'- 6 -'!H26/E26*100)</f>
        <v>28.888888888888886</v>
      </c>
    </row>
    <row r="27" spans="1:9" ht="13.5" customHeight="1">
      <c r="A27" s="388" t="s">
        <v>260</v>
      </c>
      <c r="B27" s="332">
        <v>1905394</v>
      </c>
      <c r="C27" s="338">
        <f>B27/'- 3 -'!D27*100</f>
        <v>6.012837483163592</v>
      </c>
      <c r="D27" s="389">
        <f t="shared" si="0"/>
        <v>3904.495901639344</v>
      </c>
      <c r="E27" s="390">
        <f>SUM('- 6 -'!E27:H27)</f>
        <v>488</v>
      </c>
      <c r="F27" s="338">
        <f>IF(E27=0,"",'- 6 -'!E27/E27*100)</f>
        <v>48.36065573770492</v>
      </c>
      <c r="G27" s="338">
        <f>IF(E27=0,"",'- 6 -'!F27/E27*100)</f>
        <v>0</v>
      </c>
      <c r="H27" s="338">
        <f>IF(E27=0,"",'- 6 -'!G27/E27*100)</f>
        <v>51.63934426229508</v>
      </c>
      <c r="I27" s="338">
        <f>IF(E27=0,"",'- 6 -'!H27/E27*100)</f>
        <v>0</v>
      </c>
    </row>
    <row r="28" spans="1:9" ht="13.5" customHeight="1">
      <c r="A28" s="25" t="s">
        <v>261</v>
      </c>
      <c r="B28" s="26">
        <v>0</v>
      </c>
      <c r="C28" s="78">
        <f>B28/'- 3 -'!D28*100</f>
        <v>0</v>
      </c>
      <c r="D28" s="225">
        <f t="shared" si="0"/>
      </c>
      <c r="E28" s="226">
        <f>SUM('- 6 -'!E28:H28)</f>
        <v>0</v>
      </c>
      <c r="F28" s="78">
        <f>IF(E28=0,"",'- 6 -'!E28/E28*100)</f>
      </c>
      <c r="G28" s="78">
        <f>IF(E28=0,"",'- 6 -'!F28/E28*100)</f>
      </c>
      <c r="H28" s="78">
        <f>IF(E28=0,"",'- 6 -'!G28/E28*100)</f>
      </c>
      <c r="I28" s="78">
        <f>IF(E28=0,"",'- 6 -'!H28/E28*100)</f>
      </c>
    </row>
    <row r="29" spans="1:9" ht="13.5" customHeight="1">
      <c r="A29" s="388" t="s">
        <v>262</v>
      </c>
      <c r="B29" s="332">
        <v>13508733</v>
      </c>
      <c r="C29" s="338">
        <f>B29/'- 3 -'!D29*100</f>
        <v>11.852878313729823</v>
      </c>
      <c r="D29" s="389">
        <f t="shared" si="0"/>
        <v>4388.802144249513</v>
      </c>
      <c r="E29" s="390">
        <f>SUM('- 6 -'!E29:H29)</f>
        <v>3078</v>
      </c>
      <c r="F29" s="338">
        <f>IF(E29=0,"",'- 6 -'!E29/E29*100)</f>
        <v>75.55230669265757</v>
      </c>
      <c r="G29" s="338">
        <f>IF(E29=0,"",'- 6 -'!F29/E29*100)</f>
        <v>0</v>
      </c>
      <c r="H29" s="338">
        <f>IF(E29=0,"",'- 6 -'!G29/E29*100)</f>
        <v>24.44769330734243</v>
      </c>
      <c r="I29" s="338">
        <f>IF(E29=0,"",'- 6 -'!H29/E29*100)</f>
        <v>0</v>
      </c>
    </row>
    <row r="30" spans="1:9" ht="13.5" customHeight="1">
      <c r="A30" s="25" t="s">
        <v>263</v>
      </c>
      <c r="B30" s="26">
        <v>0</v>
      </c>
      <c r="C30" s="78">
        <f>B30/'- 3 -'!D30*100</f>
        <v>0</v>
      </c>
      <c r="D30" s="225">
        <f t="shared" si="0"/>
      </c>
      <c r="E30" s="226">
        <f>SUM('- 6 -'!E30:H30)</f>
        <v>0</v>
      </c>
      <c r="F30" s="78">
        <f>IF(E30=0,"",'- 6 -'!E30/E30*100)</f>
      </c>
      <c r="G30" s="78">
        <f>IF(E30=0,"",'- 6 -'!F30/E30*100)</f>
      </c>
      <c r="H30" s="78">
        <f>IF(E30=0,"",'- 6 -'!G30/E30*100)</f>
      </c>
      <c r="I30" s="78">
        <f>IF(E30=0,"",'- 6 -'!H30/E30*100)</f>
      </c>
    </row>
    <row r="31" spans="1:9" ht="13.5" customHeight="1">
      <c r="A31" s="388" t="s">
        <v>264</v>
      </c>
      <c r="B31" s="332">
        <v>2180164</v>
      </c>
      <c r="C31" s="338">
        <f>B31/'- 3 -'!D31*100</f>
        <v>7.875292757292361</v>
      </c>
      <c r="D31" s="389">
        <f t="shared" si="0"/>
        <v>3491.0552441953564</v>
      </c>
      <c r="E31" s="390">
        <f>SUM('- 6 -'!E31:H31)</f>
        <v>624.5</v>
      </c>
      <c r="F31" s="338">
        <f>IF(E31=0,"",'- 6 -'!E31/E31*100)</f>
        <v>76.38110488390713</v>
      </c>
      <c r="G31" s="338">
        <f>IF(E31=0,"",'- 6 -'!F31/E31*100)</f>
        <v>0</v>
      </c>
      <c r="H31" s="338">
        <f>IF(E31=0,"",'- 6 -'!G31/E31*100)</f>
        <v>23.618895116092876</v>
      </c>
      <c r="I31" s="338">
        <f>IF(E31=0,"",'- 6 -'!H31/E31*100)</f>
        <v>0</v>
      </c>
    </row>
    <row r="32" spans="1:9" ht="13.5" customHeight="1">
      <c r="A32" s="25" t="s">
        <v>265</v>
      </c>
      <c r="B32" s="26">
        <v>914271</v>
      </c>
      <c r="C32" s="78">
        <f>B32/'- 3 -'!D32*100</f>
        <v>4.524481596880399</v>
      </c>
      <c r="D32" s="225">
        <f t="shared" si="0"/>
        <v>4878.713980789755</v>
      </c>
      <c r="E32" s="226">
        <f>SUM('- 6 -'!E32:H32)</f>
        <v>187.4</v>
      </c>
      <c r="F32" s="78">
        <f>IF(E32=0,"",'- 6 -'!E32/E32*100)</f>
        <v>72.25186766275347</v>
      </c>
      <c r="G32" s="78">
        <f>IF(E32=0,"",'- 6 -'!F32/E32*100)</f>
        <v>0</v>
      </c>
      <c r="H32" s="78">
        <f>IF(E32=0,"",'- 6 -'!G32/E32*100)</f>
        <v>27.748132337246528</v>
      </c>
      <c r="I32" s="78">
        <f>IF(E32=0,"",'- 6 -'!H32/E32*100)</f>
        <v>0</v>
      </c>
    </row>
    <row r="33" spans="1:9" ht="13.5" customHeight="1">
      <c r="A33" s="388" t="s">
        <v>266</v>
      </c>
      <c r="B33" s="332">
        <v>1972563</v>
      </c>
      <c r="C33" s="338">
        <f>B33/'- 3 -'!D33*100</f>
        <v>8.671639185518838</v>
      </c>
      <c r="D33" s="389">
        <f t="shared" si="0"/>
        <v>5197.794466403162</v>
      </c>
      <c r="E33" s="390">
        <f>SUM('- 6 -'!E33:H33)</f>
        <v>379.5</v>
      </c>
      <c r="F33" s="338">
        <f>IF(E33=0,"",'- 6 -'!E33/E33*100)</f>
        <v>35.44137022397892</v>
      </c>
      <c r="G33" s="338">
        <f>IF(E33=0,"",'- 6 -'!F33/E33*100)</f>
        <v>40.05270092226614</v>
      </c>
      <c r="H33" s="338">
        <f>IF(E33=0,"",'- 6 -'!G33/E33*100)</f>
        <v>24.50592885375494</v>
      </c>
      <c r="I33" s="338">
        <f>IF(E33=0,"",'- 6 -'!H33/E33*100)</f>
        <v>0</v>
      </c>
    </row>
    <row r="34" spans="1:9" ht="13.5" customHeight="1">
      <c r="A34" s="25" t="s">
        <v>267</v>
      </c>
      <c r="B34" s="26">
        <v>658941</v>
      </c>
      <c r="C34" s="78">
        <f>B34/'- 3 -'!D34*100</f>
        <v>3.4292570440071883</v>
      </c>
      <c r="D34" s="225">
        <f t="shared" si="0"/>
        <v>5068.776923076923</v>
      </c>
      <c r="E34" s="226">
        <f>SUM('- 6 -'!E34:H34)</f>
        <v>130</v>
      </c>
      <c r="F34" s="78">
        <f>IF(E34=0,"",'- 6 -'!E34/E34*100)</f>
        <v>33.46153846153846</v>
      </c>
      <c r="G34" s="78">
        <f>IF(E34=0,"",'- 6 -'!F34/E34*100)</f>
        <v>66.53846153846153</v>
      </c>
      <c r="H34" s="78">
        <f>IF(E34=0,"",'- 6 -'!G34/E34*100)</f>
        <v>0</v>
      </c>
      <c r="I34" s="78">
        <f>IF(E34=0,"",'- 6 -'!H34/E34*100)</f>
        <v>0</v>
      </c>
    </row>
    <row r="35" spans="1:9" ht="13.5" customHeight="1">
      <c r="A35" s="388" t="s">
        <v>268</v>
      </c>
      <c r="B35" s="332">
        <v>20052867</v>
      </c>
      <c r="C35" s="338">
        <f>B35/'- 3 -'!D35*100</f>
        <v>14.066445342771758</v>
      </c>
      <c r="D35" s="389">
        <f t="shared" si="0"/>
        <v>4061.7514685031397</v>
      </c>
      <c r="E35" s="390">
        <f>SUM('- 6 -'!E35:H35)</f>
        <v>4937</v>
      </c>
      <c r="F35" s="338">
        <f>IF(E35=0,"",'- 6 -'!E35/E35*100)</f>
        <v>63.348187158193234</v>
      </c>
      <c r="G35" s="338">
        <f>IF(E35=0,"",'- 6 -'!F35/E35*100)</f>
        <v>0</v>
      </c>
      <c r="H35" s="338">
        <f>IF(E35=0,"",'- 6 -'!G35/E35*100)</f>
        <v>26.068462629126998</v>
      </c>
      <c r="I35" s="338">
        <f>IF(E35=0,"",'- 6 -'!H35/E35*100)</f>
        <v>10.583350212679765</v>
      </c>
    </row>
    <row r="36" spans="1:9" ht="13.5" customHeight="1">
      <c r="A36" s="25" t="s">
        <v>269</v>
      </c>
      <c r="B36" s="26">
        <v>0</v>
      </c>
      <c r="C36" s="78">
        <f>B36/'- 3 -'!D36*100</f>
        <v>0</v>
      </c>
      <c r="D36" s="225">
        <f t="shared" si="0"/>
      </c>
      <c r="E36" s="226">
        <f>SUM('- 6 -'!E36:H36)</f>
        <v>0</v>
      </c>
      <c r="F36" s="78">
        <f>IF(E36=0,"",'- 6 -'!E36/E36*100)</f>
      </c>
      <c r="G36" s="78">
        <f>IF(E36=0,"",'- 6 -'!F36/E36*100)</f>
      </c>
      <c r="H36" s="78">
        <f>IF(E36=0,"",'- 6 -'!G36/E36*100)</f>
      </c>
      <c r="I36" s="78">
        <f>IF(E36=0,"",'- 6 -'!H36/E36*100)</f>
      </c>
    </row>
    <row r="37" spans="1:9" ht="13.5" customHeight="1">
      <c r="A37" s="388" t="s">
        <v>270</v>
      </c>
      <c r="B37" s="332">
        <v>4983643</v>
      </c>
      <c r="C37" s="338">
        <f>B37/'- 3 -'!D37*100</f>
        <v>16.696854826294537</v>
      </c>
      <c r="D37" s="389">
        <f t="shared" si="0"/>
        <v>4299.950819672131</v>
      </c>
      <c r="E37" s="390">
        <f>SUM('- 6 -'!E37:H37)</f>
        <v>1159</v>
      </c>
      <c r="F37" s="338">
        <f>IF(E37=0,"",'- 6 -'!E37/E37*100)</f>
        <v>65.57377049180327</v>
      </c>
      <c r="G37" s="338">
        <f>IF(E37=0,"",'- 6 -'!F37/E37*100)</f>
        <v>0</v>
      </c>
      <c r="H37" s="338">
        <f>IF(E37=0,"",'- 6 -'!G37/E37*100)</f>
        <v>34.42622950819672</v>
      </c>
      <c r="I37" s="338">
        <f>IF(E37=0,"",'- 6 -'!H37/E37*100)</f>
        <v>0</v>
      </c>
    </row>
    <row r="38" spans="1:9" ht="13.5" customHeight="1">
      <c r="A38" s="25" t="s">
        <v>271</v>
      </c>
      <c r="B38" s="26">
        <v>17355309</v>
      </c>
      <c r="C38" s="78">
        <f>B38/'- 3 -'!D38*100</f>
        <v>23.391618962473544</v>
      </c>
      <c r="D38" s="225">
        <f t="shared" si="0"/>
        <v>4646.669076305221</v>
      </c>
      <c r="E38" s="226">
        <f>SUM('- 6 -'!E38:H38)</f>
        <v>3735</v>
      </c>
      <c r="F38" s="78">
        <f>IF(E38=0,"",'- 6 -'!E38/E38*100)</f>
        <v>74.33734939759036</v>
      </c>
      <c r="G38" s="78">
        <f>IF(E38=0,"",'- 6 -'!F38/E38*100)</f>
        <v>0</v>
      </c>
      <c r="H38" s="78">
        <f>IF(E38=0,"",'- 6 -'!G38/E38*100)</f>
        <v>21.4190093708166</v>
      </c>
      <c r="I38" s="78">
        <f>IF(E38=0,"",'- 6 -'!H38/E38*100)</f>
        <v>4.243641231593038</v>
      </c>
    </row>
    <row r="39" spans="1:9" ht="13.5" customHeight="1">
      <c r="A39" s="388" t="s">
        <v>272</v>
      </c>
      <c r="B39" s="332">
        <v>0</v>
      </c>
      <c r="C39" s="338">
        <f>B39/'- 3 -'!D39*100</f>
        <v>0</v>
      </c>
      <c r="D39" s="389">
        <f t="shared" si="0"/>
      </c>
      <c r="E39" s="390">
        <f>SUM('- 6 -'!E39:H39)</f>
        <v>0</v>
      </c>
      <c r="F39" s="338">
        <f>IF(E39=0,"",'- 6 -'!E39/E39*100)</f>
      </c>
      <c r="G39" s="338">
        <f>IF(E39=0,"",'- 6 -'!F39/E39*100)</f>
      </c>
      <c r="H39" s="338">
        <f>IF(E39=0,"",'- 6 -'!G39/E39*100)</f>
      </c>
      <c r="I39" s="338">
        <f>IF(E39=0,"",'- 6 -'!H39/E39*100)</f>
      </c>
    </row>
    <row r="40" spans="1:9" ht="13.5" customHeight="1">
      <c r="A40" s="25" t="s">
        <v>273</v>
      </c>
      <c r="B40" s="26">
        <v>6495871</v>
      </c>
      <c r="C40" s="78">
        <f>B40/'- 3 -'!D40*100</f>
        <v>8.500945042235722</v>
      </c>
      <c r="D40" s="225">
        <f t="shared" si="0"/>
        <v>4385.131705077834</v>
      </c>
      <c r="E40" s="226">
        <f>SUM('- 6 -'!E40:H40)</f>
        <v>1481.3400000000001</v>
      </c>
      <c r="F40" s="78">
        <f>IF(E40=0,"",'- 6 -'!E40/E40*100)</f>
        <v>60.3062092429827</v>
      </c>
      <c r="G40" s="78">
        <f>IF(E40=0,"",'- 6 -'!F40/E40*100)</f>
        <v>0</v>
      </c>
      <c r="H40" s="78">
        <f>IF(E40=0,"",'- 6 -'!G40/E40*100)</f>
        <v>39.69379075701729</v>
      </c>
      <c r="I40" s="78">
        <f>IF(E40=0,"",'- 6 -'!H40/E40*100)</f>
        <v>0</v>
      </c>
    </row>
    <row r="41" spans="1:9" ht="13.5" customHeight="1">
      <c r="A41" s="388" t="s">
        <v>274</v>
      </c>
      <c r="B41" s="332">
        <v>6898761</v>
      </c>
      <c r="C41" s="338">
        <f>B41/'- 3 -'!D41*100</f>
        <v>14.80058582228963</v>
      </c>
      <c r="D41" s="389">
        <f t="shared" si="0"/>
        <v>4645.630303030303</v>
      </c>
      <c r="E41" s="390">
        <f>SUM('- 6 -'!E41:H41)</f>
        <v>1485</v>
      </c>
      <c r="F41" s="338">
        <f>IF(E41=0,"",'- 6 -'!E41/E41*100)</f>
        <v>64.64646464646465</v>
      </c>
      <c r="G41" s="338">
        <f>IF(E41=0,"",'- 6 -'!F41/E41*100)</f>
        <v>0</v>
      </c>
      <c r="H41" s="338">
        <f>IF(E41=0,"",'- 6 -'!G41/E41*100)</f>
        <v>30.707070707070706</v>
      </c>
      <c r="I41" s="338">
        <f>IF(E41=0,"",'- 6 -'!H41/E41*100)</f>
        <v>4.646464646464646</v>
      </c>
    </row>
    <row r="42" spans="1:9" ht="13.5" customHeight="1">
      <c r="A42" s="25" t="s">
        <v>275</v>
      </c>
      <c r="B42" s="26">
        <v>1186456</v>
      </c>
      <c r="C42" s="78">
        <f>B42/'- 3 -'!D42*100</f>
        <v>7.183266298127928</v>
      </c>
      <c r="D42" s="225">
        <f t="shared" si="0"/>
        <v>4049.3378839590446</v>
      </c>
      <c r="E42" s="226">
        <f>SUM('- 6 -'!E42:H42)</f>
        <v>293</v>
      </c>
      <c r="F42" s="78">
        <f>IF(E42=0,"",'- 6 -'!E42/E42*100)</f>
        <v>69.96587030716724</v>
      </c>
      <c r="G42" s="78">
        <f>IF(E42=0,"",'- 6 -'!F42/E42*100)</f>
        <v>0</v>
      </c>
      <c r="H42" s="78">
        <f>IF(E42=0,"",'- 6 -'!G42/E42*100)</f>
        <v>30.034129692832767</v>
      </c>
      <c r="I42" s="78">
        <f>IF(E42=0,"",'- 6 -'!H42/E42*100)</f>
        <v>0</v>
      </c>
    </row>
    <row r="43" spans="1:9" ht="13.5" customHeight="1">
      <c r="A43" s="388" t="s">
        <v>276</v>
      </c>
      <c r="B43" s="332">
        <v>0</v>
      </c>
      <c r="C43" s="338">
        <f>B43/'- 3 -'!D43*100</f>
        <v>0</v>
      </c>
      <c r="D43" s="389">
        <f t="shared" si="0"/>
      </c>
      <c r="E43" s="390">
        <f>SUM('- 6 -'!E43:H43)</f>
        <v>0</v>
      </c>
      <c r="F43" s="338">
        <f>IF(E43=0,"",'- 6 -'!E43/E43*100)</f>
      </c>
      <c r="G43" s="338">
        <f>IF(E43=0,"",'- 6 -'!F43/E43*100)</f>
      </c>
      <c r="H43" s="338">
        <f>IF(E43=0,"",'- 6 -'!G43/E43*100)</f>
      </c>
      <c r="I43" s="338">
        <f>IF(E43=0,"",'- 6 -'!H43/E43*100)</f>
      </c>
    </row>
    <row r="44" spans="1:9" ht="13.5" customHeight="1">
      <c r="A44" s="25" t="s">
        <v>277</v>
      </c>
      <c r="B44" s="26">
        <v>0</v>
      </c>
      <c r="C44" s="78">
        <f>B44/'- 3 -'!D44*100</f>
        <v>0</v>
      </c>
      <c r="D44" s="225">
        <f t="shared" si="0"/>
      </c>
      <c r="E44" s="226">
        <f>SUM('- 6 -'!E44:H44)</f>
        <v>0</v>
      </c>
      <c r="F44" s="78">
        <f>IF(E44=0,"",'- 6 -'!E44/E44*100)</f>
      </c>
      <c r="G44" s="78">
        <f>IF(E44=0,"",'- 6 -'!F44/E44*100)</f>
      </c>
      <c r="H44" s="78">
        <f>IF(E44=0,"",'- 6 -'!G44/E44*100)</f>
      </c>
      <c r="I44" s="78">
        <f>IF(E44=0,"",'- 6 -'!H44/E44*100)</f>
      </c>
    </row>
    <row r="45" spans="1:9" ht="13.5" customHeight="1">
      <c r="A45" s="388" t="s">
        <v>278</v>
      </c>
      <c r="B45" s="332">
        <v>3078623.21</v>
      </c>
      <c r="C45" s="338">
        <f>B45/'- 3 -'!D45*100</f>
        <v>26.423222630023048</v>
      </c>
      <c r="D45" s="389">
        <f t="shared" si="0"/>
        <v>3931.8304086845465</v>
      </c>
      <c r="E45" s="390">
        <f>SUM('- 6 -'!E45:H45)</f>
        <v>783</v>
      </c>
      <c r="F45" s="338">
        <f>IF(E45=0,"",'- 6 -'!E45/E45*100)</f>
        <v>83.78033205619413</v>
      </c>
      <c r="G45" s="338">
        <f>IF(E45=0,"",'- 6 -'!F45/E45*100)</f>
        <v>0</v>
      </c>
      <c r="H45" s="338">
        <f>IF(E45=0,"",'- 6 -'!G45/E45*100)</f>
        <v>16.219667943805874</v>
      </c>
      <c r="I45" s="338">
        <f>IF(E45=0,"",'- 6 -'!H45/E45*100)</f>
        <v>0</v>
      </c>
    </row>
    <row r="46" spans="1:9" ht="13.5" customHeight="1">
      <c r="A46" s="25" t="s">
        <v>279</v>
      </c>
      <c r="B46" s="26">
        <v>20934671</v>
      </c>
      <c r="C46" s="78">
        <f>B46/'- 3 -'!D46*100</f>
        <v>7.2097190703193395</v>
      </c>
      <c r="D46" s="225">
        <f t="shared" si="0"/>
        <v>3820.1954379562044</v>
      </c>
      <c r="E46" s="226">
        <f>SUM('- 6 -'!E46:H46)</f>
        <v>5480</v>
      </c>
      <c r="F46" s="78">
        <f>IF(E46=0,"",'- 6 -'!E46/E46*100)</f>
        <v>61.79744525547445</v>
      </c>
      <c r="G46" s="78">
        <f>IF(E46=0,"",'- 6 -'!F46/E46*100)</f>
        <v>0</v>
      </c>
      <c r="H46" s="78">
        <f>IF(E46=0,"",'- 6 -'!G46/E46*100)</f>
        <v>33.75</v>
      </c>
      <c r="I46" s="78">
        <f>IF(E46=0,"",'- 6 -'!H46/E46*100)</f>
        <v>4.452554744525548</v>
      </c>
    </row>
    <row r="47" spans="1:10" ht="4.5" customHeight="1">
      <c r="A47"/>
      <c r="B47" s="28"/>
      <c r="C47"/>
      <c r="D47"/>
      <c r="E47"/>
      <c r="F47"/>
      <c r="G47"/>
      <c r="H47"/>
      <c r="I47"/>
      <c r="J47"/>
    </row>
    <row r="48" spans="1:9" ht="13.5" customHeight="1">
      <c r="A48" s="333" t="s">
        <v>280</v>
      </c>
      <c r="B48" s="334">
        <f>SUM(B11:B46)</f>
        <v>117537559.21</v>
      </c>
      <c r="C48" s="341">
        <f>B48/'- 3 -'!D48*100</f>
        <v>7.408106733055822</v>
      </c>
      <c r="D48" s="391">
        <f>B48/E48</f>
        <v>4202.461720120391</v>
      </c>
      <c r="E48" s="392">
        <f>SUM(E11:E46)</f>
        <v>27968.74</v>
      </c>
      <c r="F48" s="341">
        <f>IF(E48=0,"",'- 6 -'!E48/E48*100)</f>
        <v>67.0507144762331</v>
      </c>
      <c r="G48" s="341">
        <f>IF(E48=0,"",'- 6 -'!F48/E48*100)</f>
        <v>0.8527377350570673</v>
      </c>
      <c r="H48" s="341">
        <f>IF(E48=0,"",'- 6 -'!G48/E48*100)</f>
        <v>27.73453505592315</v>
      </c>
      <c r="I48" s="341">
        <f>IF(E48=0,"",'- 6 -'!H48/E48*100)</f>
        <v>4.362012732786675</v>
      </c>
    </row>
    <row r="49" spans="1:9" ht="4.5" customHeight="1">
      <c r="A49" s="27" t="s">
        <v>32</v>
      </c>
      <c r="B49" s="28"/>
      <c r="C49"/>
      <c r="D49" s="28"/>
      <c r="E49" s="227"/>
      <c r="F49"/>
      <c r="G49"/>
      <c r="H49"/>
      <c r="I49"/>
    </row>
    <row r="50" spans="1:9" ht="13.5" customHeight="1">
      <c r="A50" s="25" t="s">
        <v>281</v>
      </c>
      <c r="B50" s="26">
        <v>0</v>
      </c>
      <c r="C50" s="78">
        <f>B50/'- 3 -'!D50*100</f>
        <v>0</v>
      </c>
      <c r="D50" s="225">
        <f>IF(E50=0,"",B50/E50)</f>
      </c>
      <c r="E50" s="226">
        <f>SUM('- 6 -'!E50:H50)</f>
        <v>0</v>
      </c>
      <c r="F50" s="78">
        <f>IF(E50=0,"",'- 6 -'!E50/E50*100)</f>
      </c>
      <c r="G50" s="78">
        <f>IF(E50=0,"",'- 6 -'!F50/E50*100)</f>
      </c>
      <c r="H50" s="78">
        <f>IF(E50=0,"",'- 6 -'!G50/E50*100)</f>
      </c>
      <c r="I50" s="78">
        <f>IF(E50=0,"",'- 6 -'!H50/E50*100)</f>
      </c>
    </row>
    <row r="51" spans="1:9" ht="13.5" customHeight="1">
      <c r="A51" s="388" t="s">
        <v>282</v>
      </c>
      <c r="B51" s="332">
        <v>0</v>
      </c>
      <c r="C51" s="338">
        <f>B51/'- 3 -'!D51*100</f>
        <v>0</v>
      </c>
      <c r="D51" s="389">
        <f>IF(E51=0,"",B51/E51)</f>
      </c>
      <c r="E51" s="390">
        <f>SUM('- 6 -'!E51:H51)</f>
        <v>0</v>
      </c>
      <c r="F51" s="338">
        <f>IF(E51=0,"",'- 6 -'!E51/E51*100)</f>
      </c>
      <c r="G51" s="338">
        <f>IF(E51=0,"",'- 6 -'!F51/E51*100)</f>
      </c>
      <c r="H51" s="338">
        <f>IF(E51=0,"",'- 6 -'!G51/E51*100)</f>
      </c>
      <c r="I51" s="338">
        <f>IF(E51=0,"",'- 6 -'!H51/E51*100)</f>
      </c>
    </row>
    <row r="52" spans="1:9" ht="49.5" customHeight="1">
      <c r="A52" s="29"/>
      <c r="B52" s="125"/>
      <c r="C52" s="125"/>
      <c r="D52" s="125"/>
      <c r="E52" s="125"/>
      <c r="F52" s="125"/>
      <c r="G52" s="125"/>
      <c r="H52" s="125"/>
      <c r="I52" s="125"/>
    </row>
    <row r="53" spans="1:9" ht="15" customHeight="1">
      <c r="A53" s="127" t="s">
        <v>392</v>
      </c>
      <c r="C53" s="95"/>
      <c r="D53" s="95"/>
      <c r="E53" s="95"/>
      <c r="F53" s="95"/>
      <c r="G53" s="95"/>
      <c r="H53" s="95"/>
      <c r="I53" s="95"/>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5"/>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4"/>
      <c r="B2" s="7" t="s">
        <v>528</v>
      </c>
      <c r="C2" s="8"/>
      <c r="D2" s="8"/>
      <c r="E2" s="8"/>
      <c r="F2" s="8"/>
      <c r="G2" s="81"/>
      <c r="H2" s="81"/>
      <c r="I2" s="208"/>
      <c r="J2" s="155" t="s">
        <v>490</v>
      </c>
    </row>
    <row r="3" spans="1:10" ht="15.75" customHeight="1">
      <c r="A3" s="156"/>
      <c r="B3" s="9" t="str">
        <f>OPYEAR</f>
        <v>OPERATING FUND 2006/2007 ACTUAL</v>
      </c>
      <c r="C3" s="10"/>
      <c r="D3" s="10"/>
      <c r="E3" s="10"/>
      <c r="F3" s="10"/>
      <c r="G3" s="83"/>
      <c r="H3" s="83"/>
      <c r="I3" s="83"/>
      <c r="J3" s="73"/>
    </row>
    <row r="4" spans="2:10" ht="15.75" customHeight="1">
      <c r="B4" s="6"/>
      <c r="C4" s="6"/>
      <c r="D4" s="73"/>
      <c r="E4" s="6"/>
      <c r="F4" s="6"/>
      <c r="G4" s="6"/>
      <c r="H4" s="6"/>
      <c r="I4" s="6"/>
      <c r="J4" s="6"/>
    </row>
    <row r="5" spans="2:10" ht="15.75" customHeight="1">
      <c r="B5" s="482" t="s">
        <v>452</v>
      </c>
      <c r="C5" s="187"/>
      <c r="D5" s="188"/>
      <c r="E5" s="188"/>
      <c r="F5" s="188"/>
      <c r="G5" s="188"/>
      <c r="H5" s="188"/>
      <c r="I5" s="188"/>
      <c r="J5" s="189"/>
    </row>
    <row r="6" spans="2:10" ht="15.75" customHeight="1">
      <c r="B6" s="359" t="s">
        <v>39</v>
      </c>
      <c r="C6" s="362"/>
      <c r="D6" s="360"/>
      <c r="E6" s="369"/>
      <c r="F6" s="370"/>
      <c r="G6" s="371"/>
      <c r="H6" s="359" t="s">
        <v>40</v>
      </c>
      <c r="I6" s="362"/>
      <c r="J6" s="360"/>
    </row>
    <row r="7" spans="2:10" ht="15.75" customHeight="1">
      <c r="B7" s="345" t="s">
        <v>63</v>
      </c>
      <c r="C7" s="346"/>
      <c r="D7" s="347"/>
      <c r="E7" s="345" t="s">
        <v>393</v>
      </c>
      <c r="F7" s="346"/>
      <c r="G7" s="347"/>
      <c r="H7" s="345" t="s">
        <v>64</v>
      </c>
      <c r="I7" s="346"/>
      <c r="J7" s="347"/>
    </row>
    <row r="8" spans="1:10" ht="15.75" customHeight="1">
      <c r="A8" s="74"/>
      <c r="B8" s="157"/>
      <c r="C8" s="158"/>
      <c r="D8" s="159" t="s">
        <v>89</v>
      </c>
      <c r="E8" s="157"/>
      <c r="F8" s="159"/>
      <c r="G8" s="159" t="s">
        <v>89</v>
      </c>
      <c r="H8" s="157"/>
      <c r="I8" s="159"/>
      <c r="J8" s="159" t="s">
        <v>89</v>
      </c>
    </row>
    <row r="9" spans="1:10" ht="15.75" customHeight="1">
      <c r="A9" s="41" t="s">
        <v>108</v>
      </c>
      <c r="B9" s="86" t="s">
        <v>109</v>
      </c>
      <c r="C9" s="86" t="s">
        <v>110</v>
      </c>
      <c r="D9" s="86" t="s">
        <v>111</v>
      </c>
      <c r="E9" s="86" t="s">
        <v>109</v>
      </c>
      <c r="F9" s="86" t="s">
        <v>110</v>
      </c>
      <c r="G9" s="86" t="s">
        <v>111</v>
      </c>
      <c r="H9" s="86" t="s">
        <v>109</v>
      </c>
      <c r="I9" s="86" t="s">
        <v>110</v>
      </c>
      <c r="J9" s="86" t="s">
        <v>111</v>
      </c>
    </row>
    <row r="10" ht="4.5" customHeight="1">
      <c r="A10" s="4"/>
    </row>
    <row r="11" spans="1:10" ht="13.5" customHeight="1">
      <c r="A11" s="331" t="s">
        <v>245</v>
      </c>
      <c r="B11" s="332">
        <v>103508</v>
      </c>
      <c r="C11" s="338">
        <f>B11/'- 3 -'!D11*100</f>
        <v>0.8573883255474878</v>
      </c>
      <c r="D11" s="332">
        <f>B11/'- 7 -'!F11</f>
        <v>71.16397387418357</v>
      </c>
      <c r="E11" s="332">
        <v>0</v>
      </c>
      <c r="F11" s="338">
        <f>E11/'- 3 -'!D11*100</f>
        <v>0</v>
      </c>
      <c r="G11" s="332">
        <f>E11/'- 7 -'!F11</f>
        <v>0</v>
      </c>
      <c r="H11" s="332">
        <v>159355</v>
      </c>
      <c r="I11" s="338">
        <f>H11/'- 3 -'!D11*100</f>
        <v>1.319986055354368</v>
      </c>
      <c r="J11" s="332">
        <f>H11/'- 7 -'!F11</f>
        <v>109.5599862495703</v>
      </c>
    </row>
    <row r="12" spans="1:10" ht="13.5" customHeight="1">
      <c r="A12" s="25" t="s">
        <v>246</v>
      </c>
      <c r="B12" s="26">
        <v>219266</v>
      </c>
      <c r="C12" s="78">
        <f>B12/'- 3 -'!D12*100</f>
        <v>0.9967963752060299</v>
      </c>
      <c r="D12" s="26">
        <f>B12/'- 7 -'!F12</f>
        <v>91.538952879144</v>
      </c>
      <c r="E12" s="26">
        <v>0</v>
      </c>
      <c r="F12" s="78">
        <f>E12/'- 3 -'!D12*100</f>
        <v>0</v>
      </c>
      <c r="G12" s="26">
        <f>E12/'- 7 -'!F12</f>
        <v>0</v>
      </c>
      <c r="H12" s="26">
        <v>411900</v>
      </c>
      <c r="I12" s="78">
        <f>H12/'- 3 -'!D12*100</f>
        <v>1.8725220825269933</v>
      </c>
      <c r="J12" s="26">
        <f>H12/'- 7 -'!F12</f>
        <v>171.95960473087217</v>
      </c>
    </row>
    <row r="13" spans="1:10" ht="13.5" customHeight="1">
      <c r="A13" s="331" t="s">
        <v>247</v>
      </c>
      <c r="B13" s="332">
        <v>200255</v>
      </c>
      <c r="C13" s="338">
        <f>B13/'- 3 -'!D13*100</f>
        <v>0.3729616501817698</v>
      </c>
      <c r="D13" s="332">
        <f>B13/'- 7 -'!F13</f>
        <v>29.696003558982724</v>
      </c>
      <c r="E13" s="332">
        <v>0</v>
      </c>
      <c r="F13" s="338">
        <f>E13/'- 3 -'!D13*100</f>
        <v>0</v>
      </c>
      <c r="G13" s="332">
        <f>E13/'- 7 -'!F13</f>
        <v>0</v>
      </c>
      <c r="H13" s="332">
        <v>901469</v>
      </c>
      <c r="I13" s="338">
        <f>H13/'- 3 -'!D13*100</f>
        <v>1.6789261982357986</v>
      </c>
      <c r="J13" s="332">
        <f>H13/'- 7 -'!F13</f>
        <v>133.67969155483058</v>
      </c>
    </row>
    <row r="14" spans="1:10" ht="13.5" customHeight="1">
      <c r="A14" s="25" t="s">
        <v>283</v>
      </c>
      <c r="B14" s="26">
        <v>248219</v>
      </c>
      <c r="C14" s="78">
        <f>B14/'- 3 -'!D14*100</f>
        <v>0.5053202669930706</v>
      </c>
      <c r="D14" s="26">
        <f>B14/'- 7 -'!F14</f>
        <v>53.02691732535783</v>
      </c>
      <c r="E14" s="26">
        <v>0</v>
      </c>
      <c r="F14" s="78">
        <f>E14/'- 3 -'!D14*100</f>
        <v>0</v>
      </c>
      <c r="G14" s="26">
        <f>E14/'- 7 -'!F14</f>
        <v>0</v>
      </c>
      <c r="H14" s="26">
        <v>533564</v>
      </c>
      <c r="I14" s="78">
        <f>H14/'- 3 -'!D14*100</f>
        <v>1.086221050515435</v>
      </c>
      <c r="J14" s="26">
        <f>H14/'- 7 -'!F14</f>
        <v>113.98504593035676</v>
      </c>
    </row>
    <row r="15" spans="1:10" ht="13.5" customHeight="1">
      <c r="A15" s="331" t="s">
        <v>248</v>
      </c>
      <c r="B15" s="332">
        <v>147849</v>
      </c>
      <c r="C15" s="338">
        <f>B15/'- 3 -'!D15*100</f>
        <v>1.0455057973458752</v>
      </c>
      <c r="D15" s="332">
        <f>B15/'- 7 -'!F15</f>
        <v>90.984</v>
      </c>
      <c r="E15" s="332">
        <v>0</v>
      </c>
      <c r="F15" s="338">
        <f>E15/'- 3 -'!D15*100</f>
        <v>0</v>
      </c>
      <c r="G15" s="332">
        <f>E15/'- 7 -'!F15</f>
        <v>0</v>
      </c>
      <c r="H15" s="332">
        <v>189543</v>
      </c>
      <c r="I15" s="338">
        <f>H15/'- 3 -'!D15*100</f>
        <v>1.3403425477773216</v>
      </c>
      <c r="J15" s="332">
        <f>H15/'- 7 -'!F15</f>
        <v>116.64184615384616</v>
      </c>
    </row>
    <row r="16" spans="1:10" ht="13.5" customHeight="1">
      <c r="A16" s="25" t="s">
        <v>249</v>
      </c>
      <c r="B16" s="26">
        <v>132208</v>
      </c>
      <c r="C16" s="78">
        <f>B16/'- 3 -'!D16*100</f>
        <v>1.1891953011715715</v>
      </c>
      <c r="D16" s="26">
        <f>B16/'- 7 -'!F16</f>
        <v>118.73192635832959</v>
      </c>
      <c r="E16" s="26">
        <v>0</v>
      </c>
      <c r="F16" s="78">
        <f>E16/'- 3 -'!D16*100</f>
        <v>0</v>
      </c>
      <c r="G16" s="26">
        <f>E16/'- 7 -'!F16</f>
        <v>0</v>
      </c>
      <c r="H16" s="26">
        <v>84296</v>
      </c>
      <c r="I16" s="78">
        <f>H16/'- 3 -'!D16*100</f>
        <v>0.7582325359097695</v>
      </c>
      <c r="J16" s="26">
        <f>H16/'- 7 -'!F16</f>
        <v>75.70363718006287</v>
      </c>
    </row>
    <row r="17" spans="1:10" ht="13.5" customHeight="1">
      <c r="A17" s="331" t="s">
        <v>250</v>
      </c>
      <c r="B17" s="332">
        <v>101859</v>
      </c>
      <c r="C17" s="338">
        <f>B17/'- 3 -'!D17*100</f>
        <v>0.762678608077659</v>
      </c>
      <c r="D17" s="332">
        <f>B17/'- 7 -'!F17</f>
        <v>69.7514233726595</v>
      </c>
      <c r="E17" s="332">
        <v>0</v>
      </c>
      <c r="F17" s="338">
        <f>E17/'- 3 -'!D17*100</f>
        <v>0</v>
      </c>
      <c r="G17" s="332">
        <f>E17/'- 7 -'!F17</f>
        <v>0</v>
      </c>
      <c r="H17" s="332">
        <v>216305</v>
      </c>
      <c r="I17" s="338">
        <f>H17/'- 3 -'!D17*100</f>
        <v>1.6196035335143484</v>
      </c>
      <c r="J17" s="332">
        <f>H17/'- 7 -'!F17</f>
        <v>148.1222241787482</v>
      </c>
    </row>
    <row r="18" spans="1:10" ht="13.5" customHeight="1">
      <c r="A18" s="25" t="s">
        <v>251</v>
      </c>
      <c r="B18" s="26">
        <v>0</v>
      </c>
      <c r="C18" s="78">
        <f>B18/'- 3 -'!D18*100</f>
        <v>0</v>
      </c>
      <c r="D18" s="26">
        <f>B18/'- 7 -'!F18</f>
        <v>0</v>
      </c>
      <c r="E18" s="26">
        <v>0</v>
      </c>
      <c r="F18" s="78">
        <f>E18/'- 3 -'!D18*100</f>
        <v>0</v>
      </c>
      <c r="G18" s="26">
        <f>E18/'- 7 -'!F18</f>
        <v>0</v>
      </c>
      <c r="H18" s="26">
        <v>2322411</v>
      </c>
      <c r="I18" s="78">
        <f>H18/'- 3 -'!D18*100</f>
        <v>2.6697939035549565</v>
      </c>
      <c r="J18" s="26">
        <f>H18/'- 7 -'!F18</f>
        <v>406.1011051269497</v>
      </c>
    </row>
    <row r="19" spans="1:10" ht="13.5" customHeight="1">
      <c r="A19" s="331" t="s">
        <v>252</v>
      </c>
      <c r="B19" s="332">
        <v>120178</v>
      </c>
      <c r="C19" s="338">
        <f>B19/'- 3 -'!D19*100</f>
        <v>0.4853056901282504</v>
      </c>
      <c r="D19" s="332">
        <f>B19/'- 7 -'!F19</f>
        <v>34.930794137993175</v>
      </c>
      <c r="E19" s="332">
        <v>0</v>
      </c>
      <c r="F19" s="338">
        <f>E19/'- 3 -'!D19*100</f>
        <v>0</v>
      </c>
      <c r="G19" s="332">
        <f>E19/'- 7 -'!F19</f>
        <v>0</v>
      </c>
      <c r="H19" s="332">
        <v>342268</v>
      </c>
      <c r="I19" s="338">
        <f>H19/'- 3 -'!D19*100</f>
        <v>1.382154869849856</v>
      </c>
      <c r="J19" s="332">
        <f>H19/'- 7 -'!F19</f>
        <v>99.48320864070502</v>
      </c>
    </row>
    <row r="20" spans="1:10" ht="13.5" customHeight="1">
      <c r="A20" s="25" t="s">
        <v>253</v>
      </c>
      <c r="B20" s="26">
        <v>266265</v>
      </c>
      <c r="C20" s="78">
        <f>B20/'- 3 -'!D20*100</f>
        <v>0.5772101274217397</v>
      </c>
      <c r="D20" s="26">
        <f>B20/'- 7 -'!F20</f>
        <v>39.214285714285715</v>
      </c>
      <c r="E20" s="26">
        <v>8279</v>
      </c>
      <c r="F20" s="78">
        <f>E20/'- 3 -'!D20*100</f>
        <v>0.017947242953165393</v>
      </c>
      <c r="G20" s="26">
        <f>E20/'- 7 -'!F20</f>
        <v>1.2192930780559648</v>
      </c>
      <c r="H20" s="26">
        <v>571424</v>
      </c>
      <c r="I20" s="78">
        <f>H20/'- 3 -'!D20*100</f>
        <v>1.2387347937274527</v>
      </c>
      <c r="J20" s="26">
        <f>H20/'- 7 -'!F20</f>
        <v>84.15670103092783</v>
      </c>
    </row>
    <row r="21" spans="1:10" ht="13.5" customHeight="1">
      <c r="A21" s="331" t="s">
        <v>254</v>
      </c>
      <c r="B21" s="332">
        <v>118457</v>
      </c>
      <c r="C21" s="338">
        <f>B21/'- 3 -'!D21*100</f>
        <v>0.4476709448303202</v>
      </c>
      <c r="D21" s="332">
        <f>B21/'- 7 -'!F21</f>
        <v>37.97307260778971</v>
      </c>
      <c r="E21" s="332">
        <v>0</v>
      </c>
      <c r="F21" s="338">
        <f>E21/'- 3 -'!D21*100</f>
        <v>0</v>
      </c>
      <c r="G21" s="332">
        <f>E21/'- 7 -'!F21</f>
        <v>0</v>
      </c>
      <c r="H21" s="332">
        <v>426480</v>
      </c>
      <c r="I21" s="338">
        <f>H21/'- 3 -'!D21*100</f>
        <v>1.6117469170351686</v>
      </c>
      <c r="J21" s="332">
        <f>H21/'- 7 -'!F21</f>
        <v>136.71421702195866</v>
      </c>
    </row>
    <row r="22" spans="1:10" ht="13.5" customHeight="1">
      <c r="A22" s="25" t="s">
        <v>255</v>
      </c>
      <c r="B22" s="26">
        <v>136006</v>
      </c>
      <c r="C22" s="78">
        <f>B22/'- 3 -'!D22*100</f>
        <v>0.9077644543264781</v>
      </c>
      <c r="D22" s="26">
        <f>B22/'- 7 -'!F22</f>
        <v>83.62395474667979</v>
      </c>
      <c r="E22" s="26">
        <v>0</v>
      </c>
      <c r="F22" s="78">
        <f>E22/'- 3 -'!D22*100</f>
        <v>0</v>
      </c>
      <c r="G22" s="26">
        <f>E22/'- 7 -'!F22</f>
        <v>0</v>
      </c>
      <c r="H22" s="26">
        <v>185367</v>
      </c>
      <c r="I22" s="78">
        <f>H22/'- 3 -'!D22*100</f>
        <v>1.237221693198361</v>
      </c>
      <c r="J22" s="26">
        <f>H22/'- 7 -'!F22</f>
        <v>113.97380718150517</v>
      </c>
    </row>
    <row r="23" spans="1:10" ht="13.5" customHeight="1">
      <c r="A23" s="331" t="s">
        <v>256</v>
      </c>
      <c r="B23" s="332">
        <v>100550</v>
      </c>
      <c r="C23" s="338">
        <f>B23/'- 3 -'!D23*100</f>
        <v>0.8028851163624473</v>
      </c>
      <c r="D23" s="332">
        <f>B23/'- 7 -'!F23</f>
        <v>77.2273425499232</v>
      </c>
      <c r="E23" s="332">
        <v>0</v>
      </c>
      <c r="F23" s="338">
        <f>E23/'- 3 -'!D23*100</f>
        <v>0</v>
      </c>
      <c r="G23" s="332">
        <f>E23/'- 7 -'!F23</f>
        <v>0</v>
      </c>
      <c r="H23" s="332">
        <v>148569</v>
      </c>
      <c r="I23" s="338">
        <f>H23/'- 3 -'!D23*100</f>
        <v>1.1863136633799347</v>
      </c>
      <c r="J23" s="332">
        <f>H23/'- 7 -'!F23</f>
        <v>114.10829493087557</v>
      </c>
    </row>
    <row r="24" spans="1:10" ht="13.5" customHeight="1">
      <c r="A24" s="25" t="s">
        <v>257</v>
      </c>
      <c r="B24" s="26">
        <v>157353</v>
      </c>
      <c r="C24" s="78">
        <f>B24/'- 3 -'!D24*100</f>
        <v>0.3935922059273181</v>
      </c>
      <c r="D24" s="26">
        <f>B24/'- 7 -'!F24</f>
        <v>34.54890767372928</v>
      </c>
      <c r="E24" s="26">
        <v>16240</v>
      </c>
      <c r="F24" s="78">
        <f>E24/'- 3 -'!D24*100</f>
        <v>0.040621643211503085</v>
      </c>
      <c r="G24" s="26">
        <f>E24/'- 7 -'!F24</f>
        <v>3.5657042485453947</v>
      </c>
      <c r="H24" s="26">
        <v>878943</v>
      </c>
      <c r="I24" s="78">
        <f>H24/'- 3 -'!D24*100</f>
        <v>2.1985288761852315</v>
      </c>
      <c r="J24" s="26">
        <f>H24/'- 7 -'!F24</f>
        <v>192.98342298825338</v>
      </c>
    </row>
    <row r="25" spans="1:10" ht="13.5" customHeight="1">
      <c r="A25" s="331" t="s">
        <v>258</v>
      </c>
      <c r="B25" s="332">
        <v>864771</v>
      </c>
      <c r="C25" s="338">
        <f>B25/'- 3 -'!D25*100</f>
        <v>0.6943526982601209</v>
      </c>
      <c r="D25" s="332">
        <f>B25/'- 7 -'!F25</f>
        <v>59.91830937121081</v>
      </c>
      <c r="E25" s="332">
        <v>10082</v>
      </c>
      <c r="F25" s="338">
        <f>E25/'- 3 -'!D25*100</f>
        <v>0.008095164967209282</v>
      </c>
      <c r="G25" s="332">
        <f>E25/'- 7 -'!F25</f>
        <v>0.6985622726485363</v>
      </c>
      <c r="H25" s="332">
        <v>2590492</v>
      </c>
      <c r="I25" s="338">
        <f>H25/'- 3 -'!D25*100</f>
        <v>2.0799900898865213</v>
      </c>
      <c r="J25" s="332">
        <f>H25/'- 7 -'!F25</f>
        <v>179.49017841676772</v>
      </c>
    </row>
    <row r="26" spans="1:10" ht="13.5" customHeight="1">
      <c r="A26" s="25" t="s">
        <v>259</v>
      </c>
      <c r="B26" s="26">
        <v>134230</v>
      </c>
      <c r="C26" s="78">
        <f>B26/'- 3 -'!D26*100</f>
        <v>0.4446001779791847</v>
      </c>
      <c r="D26" s="26">
        <f>B26/'- 7 -'!F26</f>
        <v>41.92722161486803</v>
      </c>
      <c r="E26" s="26">
        <v>4381</v>
      </c>
      <c r="F26" s="78">
        <f>E26/'- 3 -'!D26*100</f>
        <v>0.01451086478229016</v>
      </c>
      <c r="G26" s="26">
        <f>E26/'- 7 -'!F26</f>
        <v>1.368421052631579</v>
      </c>
      <c r="H26" s="26">
        <v>408191</v>
      </c>
      <c r="I26" s="78">
        <f>H26/'- 3 -'!D26*100</f>
        <v>1.3520210925240363</v>
      </c>
      <c r="J26" s="26">
        <f>H26/'- 7 -'!F26</f>
        <v>127.49992191160393</v>
      </c>
    </row>
    <row r="27" spans="1:10" ht="13.5" customHeight="1">
      <c r="A27" s="331" t="s">
        <v>260</v>
      </c>
      <c r="B27" s="332">
        <v>141780</v>
      </c>
      <c r="C27" s="338">
        <f>B27/'- 3 -'!D27*100</f>
        <v>0.44741407727899535</v>
      </c>
      <c r="D27" s="332">
        <f>B27/'- 7 -'!F27</f>
        <v>42.95660710065626</v>
      </c>
      <c r="E27" s="332">
        <v>37643</v>
      </c>
      <c r="F27" s="338">
        <f>E27/'- 3 -'!D27*100</f>
        <v>0.11878973135148271</v>
      </c>
      <c r="G27" s="332">
        <f>E27/'- 7 -'!F27</f>
        <v>11.405103407321226</v>
      </c>
      <c r="H27" s="332">
        <v>284146</v>
      </c>
      <c r="I27" s="338">
        <f>H27/'- 3 -'!D27*100</f>
        <v>0.8966773903407913</v>
      </c>
      <c r="J27" s="332">
        <f>H27/'- 7 -'!F27</f>
        <v>86.09076090579117</v>
      </c>
    </row>
    <row r="28" spans="1:10" ht="13.5" customHeight="1">
      <c r="A28" s="25" t="s">
        <v>261</v>
      </c>
      <c r="B28" s="26">
        <v>102294</v>
      </c>
      <c r="C28" s="78">
        <f>B28/'- 3 -'!D28*100</f>
        <v>0.586412523616957</v>
      </c>
      <c r="D28" s="26">
        <f>B28/'- 7 -'!F28</f>
        <v>53.7117353636125</v>
      </c>
      <c r="E28" s="26">
        <v>0</v>
      </c>
      <c r="F28" s="78">
        <f>E28/'- 3 -'!D28*100</f>
        <v>0</v>
      </c>
      <c r="G28" s="26">
        <f>E28/'- 7 -'!F28</f>
        <v>0</v>
      </c>
      <c r="H28" s="26">
        <v>204021</v>
      </c>
      <c r="I28" s="78">
        <f>H28/'- 3 -'!D28*100</f>
        <v>1.169574652285131</v>
      </c>
      <c r="J28" s="26">
        <f>H28/'- 7 -'!F28</f>
        <v>107.1257547912838</v>
      </c>
    </row>
    <row r="29" spans="1:10" ht="13.5" customHeight="1">
      <c r="A29" s="331" t="s">
        <v>262</v>
      </c>
      <c r="B29" s="332">
        <v>400391</v>
      </c>
      <c r="C29" s="338">
        <f>B29/'- 3 -'!D29*100</f>
        <v>0.35131242884973723</v>
      </c>
      <c r="D29" s="332">
        <f>B29/'- 7 -'!F29</f>
        <v>31.836440981195086</v>
      </c>
      <c r="E29" s="332">
        <v>0</v>
      </c>
      <c r="F29" s="338">
        <f>E29/'- 3 -'!D29*100</f>
        <v>0</v>
      </c>
      <c r="G29" s="332">
        <f>E29/'- 7 -'!F29</f>
        <v>0</v>
      </c>
      <c r="H29" s="332">
        <v>2252235</v>
      </c>
      <c r="I29" s="338">
        <f>H29/'- 3 -'!D29*100</f>
        <v>1.9761636704880676</v>
      </c>
      <c r="J29" s="332">
        <f>H29/'- 7 -'!F29</f>
        <v>179.08281318331808</v>
      </c>
    </row>
    <row r="30" spans="1:10" ht="13.5" customHeight="1">
      <c r="A30" s="25" t="s">
        <v>263</v>
      </c>
      <c r="B30" s="26">
        <v>117059</v>
      </c>
      <c r="C30" s="78">
        <f>B30/'- 3 -'!D30*100</f>
        <v>1.0427047632756707</v>
      </c>
      <c r="D30" s="26">
        <f>B30/'- 7 -'!F30</f>
        <v>97.63052543786489</v>
      </c>
      <c r="E30" s="26">
        <v>0</v>
      </c>
      <c r="F30" s="78">
        <f>E30/'- 3 -'!D30*100</f>
        <v>0</v>
      </c>
      <c r="G30" s="26">
        <f>E30/'- 7 -'!F30</f>
        <v>0</v>
      </c>
      <c r="H30" s="26">
        <v>86865</v>
      </c>
      <c r="I30" s="78">
        <f>H30/'- 3 -'!D30*100</f>
        <v>0.7737512644217116</v>
      </c>
      <c r="J30" s="26">
        <f>H30/'- 7 -'!F30</f>
        <v>72.44787322768974</v>
      </c>
    </row>
    <row r="31" spans="1:10" ht="13.5" customHeight="1">
      <c r="A31" s="331" t="s">
        <v>264</v>
      </c>
      <c r="B31" s="332">
        <v>103942</v>
      </c>
      <c r="C31" s="338">
        <f>B31/'- 3 -'!D31*100</f>
        <v>0.37546426772411734</v>
      </c>
      <c r="D31" s="332">
        <f>B31/'- 7 -'!F31</f>
        <v>31.162344476090542</v>
      </c>
      <c r="E31" s="332">
        <v>3927</v>
      </c>
      <c r="F31" s="338">
        <f>E31/'- 3 -'!D31*100</f>
        <v>0.014185297371155153</v>
      </c>
      <c r="G31" s="332">
        <f>E31/'- 7 -'!F31</f>
        <v>1.1773347324239245</v>
      </c>
      <c r="H31" s="332">
        <v>436306</v>
      </c>
      <c r="I31" s="338">
        <f>H31/'- 3 -'!D31*100</f>
        <v>1.5760454175755592</v>
      </c>
      <c r="J31" s="332">
        <f>H31/'- 7 -'!F31</f>
        <v>130.8067755958627</v>
      </c>
    </row>
    <row r="32" spans="1:10" ht="13.5" customHeight="1">
      <c r="A32" s="25" t="s">
        <v>265</v>
      </c>
      <c r="B32" s="26">
        <v>102673</v>
      </c>
      <c r="C32" s="78">
        <f>B32/'- 3 -'!D32*100</f>
        <v>0.5081010980294696</v>
      </c>
      <c r="D32" s="26">
        <f>B32/'- 7 -'!F32</f>
        <v>47.40212373037858</v>
      </c>
      <c r="E32" s="26">
        <v>0</v>
      </c>
      <c r="F32" s="78">
        <f>E32/'- 3 -'!D32*100</f>
        <v>0</v>
      </c>
      <c r="G32" s="26">
        <f>E32/'- 7 -'!F32</f>
        <v>0</v>
      </c>
      <c r="H32" s="26">
        <v>208466</v>
      </c>
      <c r="I32" s="78">
        <f>H32/'- 3 -'!D32*100</f>
        <v>1.0316422379964685</v>
      </c>
      <c r="J32" s="26">
        <f>H32/'- 7 -'!F32</f>
        <v>96.24469067405356</v>
      </c>
    </row>
    <row r="33" spans="1:10" ht="13.5" customHeight="1">
      <c r="A33" s="331" t="s">
        <v>266</v>
      </c>
      <c r="B33" s="332">
        <v>170371</v>
      </c>
      <c r="C33" s="338">
        <f>B33/'- 3 -'!D33*100</f>
        <v>0.7489727018483212</v>
      </c>
      <c r="D33" s="332">
        <f>B33/'- 7 -'!F33</f>
        <v>74.00356181044219</v>
      </c>
      <c r="E33" s="332">
        <v>0</v>
      </c>
      <c r="F33" s="338">
        <f>E33/'- 3 -'!D33*100</f>
        <v>0</v>
      </c>
      <c r="G33" s="332">
        <f>E33/'- 7 -'!F33</f>
        <v>0</v>
      </c>
      <c r="H33" s="332">
        <v>260672</v>
      </c>
      <c r="I33" s="338">
        <f>H33/'- 3 -'!D33*100</f>
        <v>1.1459474449067364</v>
      </c>
      <c r="J33" s="332">
        <f>H33/'- 7 -'!F33</f>
        <v>113.22734775432197</v>
      </c>
    </row>
    <row r="34" spans="1:10" ht="13.5" customHeight="1">
      <c r="A34" s="25" t="s">
        <v>267</v>
      </c>
      <c r="B34" s="26">
        <v>122665</v>
      </c>
      <c r="C34" s="78">
        <f>B34/'- 3 -'!D34*100</f>
        <v>0.638372502702278</v>
      </c>
      <c r="D34" s="26">
        <f>B34/'- 7 -'!F34</f>
        <v>60.02691460729141</v>
      </c>
      <c r="E34" s="26">
        <v>0</v>
      </c>
      <c r="F34" s="78">
        <f>E34/'- 3 -'!D34*100</f>
        <v>0</v>
      </c>
      <c r="G34" s="26">
        <f>E34/'- 7 -'!F34</f>
        <v>0</v>
      </c>
      <c r="H34" s="26">
        <v>238092</v>
      </c>
      <c r="I34" s="78">
        <f>H34/'- 3 -'!D34*100</f>
        <v>1.2390770465364265</v>
      </c>
      <c r="J34" s="26">
        <f>H34/'- 7 -'!F34</f>
        <v>116.51186689503304</v>
      </c>
    </row>
    <row r="35" spans="1:10" ht="13.5" customHeight="1">
      <c r="A35" s="331" t="s">
        <v>268</v>
      </c>
      <c r="B35" s="332">
        <v>635180</v>
      </c>
      <c r="C35" s="338">
        <f>B35/'- 3 -'!D35*100</f>
        <v>0.4455584706576753</v>
      </c>
      <c r="D35" s="332">
        <f>B35/'- 7 -'!F35</f>
        <v>37.79933349202571</v>
      </c>
      <c r="E35" s="332">
        <v>0</v>
      </c>
      <c r="F35" s="338">
        <f>E35/'- 3 -'!D35*100</f>
        <v>0</v>
      </c>
      <c r="G35" s="332">
        <f>E35/'- 7 -'!F35</f>
        <v>0</v>
      </c>
      <c r="H35" s="332">
        <v>2474412</v>
      </c>
      <c r="I35" s="338">
        <f>H35/'- 3 -'!D35*100</f>
        <v>1.7357209397288953</v>
      </c>
      <c r="J35" s="332">
        <f>H35/'- 7 -'!F35</f>
        <v>147.25136872173292</v>
      </c>
    </row>
    <row r="36" spans="1:10" ht="13.5" customHeight="1">
      <c r="A36" s="25" t="s">
        <v>269</v>
      </c>
      <c r="B36" s="26">
        <v>149356</v>
      </c>
      <c r="C36" s="78">
        <f>B36/'- 3 -'!D36*100</f>
        <v>0.8322607065188833</v>
      </c>
      <c r="D36" s="26">
        <f>B36/'- 7 -'!F36</f>
        <v>77.02733367715317</v>
      </c>
      <c r="E36" s="26">
        <v>0</v>
      </c>
      <c r="F36" s="78">
        <f>E36/'- 3 -'!D36*100</f>
        <v>0</v>
      </c>
      <c r="G36" s="26">
        <f>E36/'- 7 -'!F36</f>
        <v>0</v>
      </c>
      <c r="H36" s="26">
        <v>157107</v>
      </c>
      <c r="I36" s="78">
        <f>H36/'- 3 -'!D36*100</f>
        <v>0.8754518252970233</v>
      </c>
      <c r="J36" s="26">
        <f>H36/'- 7 -'!F36</f>
        <v>81.02475502836513</v>
      </c>
    </row>
    <row r="37" spans="1:10" ht="13.5" customHeight="1">
      <c r="A37" s="331" t="s">
        <v>270</v>
      </c>
      <c r="B37" s="332">
        <v>177467</v>
      </c>
      <c r="C37" s="338">
        <f>B37/'- 3 -'!D37*100</f>
        <v>0.5945732339692095</v>
      </c>
      <c r="D37" s="332">
        <f>B37/'- 7 -'!F37</f>
        <v>52.82384807715204</v>
      </c>
      <c r="E37" s="332">
        <v>0</v>
      </c>
      <c r="F37" s="338">
        <f>E37/'- 3 -'!D37*100</f>
        <v>0</v>
      </c>
      <c r="G37" s="332">
        <f>E37/'- 7 -'!F37</f>
        <v>0</v>
      </c>
      <c r="H37" s="332">
        <v>317622</v>
      </c>
      <c r="I37" s="338">
        <f>H37/'- 3 -'!D37*100</f>
        <v>1.064138908753561</v>
      </c>
      <c r="J37" s="332">
        <f>H37/'- 7 -'!F37</f>
        <v>94.54161209667818</v>
      </c>
    </row>
    <row r="38" spans="1:10" ht="13.5" customHeight="1">
      <c r="A38" s="25" t="s">
        <v>271</v>
      </c>
      <c r="B38" s="26">
        <v>337718</v>
      </c>
      <c r="C38" s="78">
        <f>B38/'- 3 -'!D38*100</f>
        <v>0.45517891803416693</v>
      </c>
      <c r="D38" s="26">
        <f>B38/'- 7 -'!F38</f>
        <v>38.5676925712328</v>
      </c>
      <c r="E38" s="26">
        <v>0</v>
      </c>
      <c r="F38" s="78">
        <f>E38/'- 3 -'!D38*100</f>
        <v>0</v>
      </c>
      <c r="G38" s="26">
        <f>E38/'- 7 -'!F38</f>
        <v>0</v>
      </c>
      <c r="H38" s="26">
        <v>1253732</v>
      </c>
      <c r="I38" s="78">
        <f>H38/'- 3 -'!D38*100</f>
        <v>1.6897896329624487</v>
      </c>
      <c r="J38" s="26">
        <f>H38/'- 7 -'!F38</f>
        <v>143.17729686518587</v>
      </c>
    </row>
    <row r="39" spans="1:10" ht="13.5" customHeight="1">
      <c r="A39" s="331" t="s">
        <v>272</v>
      </c>
      <c r="B39" s="332">
        <v>193098</v>
      </c>
      <c r="C39" s="338">
        <f>B39/'- 3 -'!D39*100</f>
        <v>1.1813730474564488</v>
      </c>
      <c r="D39" s="332">
        <f>B39/'- 7 -'!F39</f>
        <v>116.67552870090634</v>
      </c>
      <c r="E39" s="332">
        <v>6830</v>
      </c>
      <c r="F39" s="338">
        <f>E39/'- 3 -'!D39*100</f>
        <v>0.041785921729523584</v>
      </c>
      <c r="G39" s="332">
        <f>E39/'- 7 -'!F39</f>
        <v>4.126888217522659</v>
      </c>
      <c r="H39" s="332">
        <v>185693</v>
      </c>
      <c r="I39" s="338">
        <f>H39/'- 3 -'!D39*100</f>
        <v>1.1360692772650691</v>
      </c>
      <c r="J39" s="332">
        <f>H39/'- 7 -'!F39</f>
        <v>112.2012084592145</v>
      </c>
    </row>
    <row r="40" spans="1:10" ht="13.5" customHeight="1">
      <c r="A40" s="25" t="s">
        <v>273</v>
      </c>
      <c r="B40" s="26">
        <v>180876</v>
      </c>
      <c r="C40" s="78">
        <f>B40/'- 3 -'!D40*100</f>
        <v>0.2367068150613564</v>
      </c>
      <c r="D40" s="26">
        <f>B40/'- 7 -'!F40</f>
        <v>20.823015420746344</v>
      </c>
      <c r="E40" s="26">
        <v>193981</v>
      </c>
      <c r="F40" s="78">
        <f>E40/'- 3 -'!D40*100</f>
        <v>0.2538569223800669</v>
      </c>
      <c r="G40" s="26">
        <f>E40/'- 7 -'!F40</f>
        <v>22.33170434071848</v>
      </c>
      <c r="H40" s="26">
        <v>1468981</v>
      </c>
      <c r="I40" s="78">
        <f>H40/'- 3 -'!D40*100</f>
        <v>1.922409904551441</v>
      </c>
      <c r="J40" s="26">
        <f>H40/'- 7 -'!F40</f>
        <v>169.11372440668404</v>
      </c>
    </row>
    <row r="41" spans="1:10" ht="13.5" customHeight="1">
      <c r="A41" s="331" t="s">
        <v>274</v>
      </c>
      <c r="B41" s="332">
        <v>135782</v>
      </c>
      <c r="C41" s="338">
        <f>B41/'- 3 -'!D41*100</f>
        <v>0.2913063873530523</v>
      </c>
      <c r="D41" s="332">
        <f>B41/'- 7 -'!F41</f>
        <v>29.028754676643505</v>
      </c>
      <c r="E41" s="332">
        <v>132723</v>
      </c>
      <c r="F41" s="338">
        <f>E41/'- 3 -'!D41*100</f>
        <v>0.28474361585968067</v>
      </c>
      <c r="G41" s="332">
        <f>E41/'- 7 -'!F41</f>
        <v>28.374772848743987</v>
      </c>
      <c r="H41" s="332">
        <v>805858</v>
      </c>
      <c r="I41" s="338">
        <f>H41/'- 3 -'!D41*100</f>
        <v>1.7288858810413459</v>
      </c>
      <c r="J41" s="332">
        <f>H41/'- 7 -'!F41</f>
        <v>172.28391234633887</v>
      </c>
    </row>
    <row r="42" spans="1:10" ht="13.5" customHeight="1">
      <c r="A42" s="25" t="s">
        <v>275</v>
      </c>
      <c r="B42" s="26">
        <v>117141</v>
      </c>
      <c r="C42" s="78">
        <f>B42/'- 3 -'!D42*100</f>
        <v>0.7092171959423726</v>
      </c>
      <c r="D42" s="26">
        <f>B42/'- 7 -'!F42</f>
        <v>67.78993055555556</v>
      </c>
      <c r="E42" s="26">
        <v>0</v>
      </c>
      <c r="F42" s="78">
        <f>E42/'- 3 -'!D42*100</f>
        <v>0</v>
      </c>
      <c r="G42" s="26">
        <f>E42/'- 7 -'!F42</f>
        <v>0</v>
      </c>
      <c r="H42" s="26">
        <v>236435</v>
      </c>
      <c r="I42" s="78">
        <f>H42/'- 3 -'!D42*100</f>
        <v>1.4314694916607753</v>
      </c>
      <c r="J42" s="26">
        <f>H42/'- 7 -'!F42</f>
        <v>136.8258101851852</v>
      </c>
    </row>
    <row r="43" spans="1:10" ht="13.5" customHeight="1">
      <c r="A43" s="331" t="s">
        <v>276</v>
      </c>
      <c r="B43" s="332">
        <v>103135</v>
      </c>
      <c r="C43" s="338">
        <f>B43/'- 3 -'!D43*100</f>
        <v>1.0128875914272595</v>
      </c>
      <c r="D43" s="332">
        <f>B43/'- 7 -'!F43</f>
        <v>94.66268930702157</v>
      </c>
      <c r="E43" s="332">
        <v>2000</v>
      </c>
      <c r="F43" s="338">
        <f>E43/'- 3 -'!D43*100</f>
        <v>0.01964197588456411</v>
      </c>
      <c r="G43" s="332">
        <f>E43/'- 7 -'!F43</f>
        <v>1.835704451583295</v>
      </c>
      <c r="H43" s="332">
        <v>122049</v>
      </c>
      <c r="I43" s="338">
        <f>H43/'- 3 -'!D43*100</f>
        <v>1.1986417573675823</v>
      </c>
      <c r="J43" s="332">
        <f>H43/'- 7 -'!F43</f>
        <v>112.0229463056448</v>
      </c>
    </row>
    <row r="44" spans="1:10" ht="13.5" customHeight="1">
      <c r="A44" s="25" t="s">
        <v>277</v>
      </c>
      <c r="B44" s="26">
        <v>101411</v>
      </c>
      <c r="C44" s="78">
        <f>B44/'- 3 -'!D44*100</f>
        <v>1.3118107596138573</v>
      </c>
      <c r="D44" s="26">
        <f>B44/'- 7 -'!F44</f>
        <v>124.05015290519877</v>
      </c>
      <c r="E44" s="26">
        <v>0</v>
      </c>
      <c r="F44" s="78">
        <f>E44/'- 3 -'!D44*100</f>
        <v>0</v>
      </c>
      <c r="G44" s="26">
        <f>E44/'- 7 -'!F44</f>
        <v>0</v>
      </c>
      <c r="H44" s="26">
        <v>67837</v>
      </c>
      <c r="I44" s="78">
        <f>H44/'- 3 -'!D44*100</f>
        <v>0.8775113794354186</v>
      </c>
      <c r="J44" s="26">
        <f>H44/'- 7 -'!F44</f>
        <v>82.98103975535169</v>
      </c>
    </row>
    <row r="45" spans="1:10" ht="13.5" customHeight="1">
      <c r="A45" s="331" t="s">
        <v>278</v>
      </c>
      <c r="B45" s="332">
        <v>71031.14</v>
      </c>
      <c r="C45" s="338">
        <f>B45/'- 3 -'!D45*100</f>
        <v>0.609646422396827</v>
      </c>
      <c r="D45" s="332">
        <f>B45/'- 7 -'!F45</f>
        <v>48.124078590785906</v>
      </c>
      <c r="E45" s="332">
        <v>0</v>
      </c>
      <c r="F45" s="338">
        <f>E45/'- 3 -'!D45*100</f>
        <v>0</v>
      </c>
      <c r="G45" s="332">
        <f>E45/'- 7 -'!F45</f>
        <v>0</v>
      </c>
      <c r="H45" s="332">
        <v>115611.99</v>
      </c>
      <c r="I45" s="338">
        <f>H45/'- 3 -'!D45*100</f>
        <v>0.9922751639587615</v>
      </c>
      <c r="J45" s="332">
        <f>H45/'- 7 -'!F45</f>
        <v>78.32790650406504</v>
      </c>
    </row>
    <row r="46" spans="1:10" ht="13.5" customHeight="1">
      <c r="A46" s="25" t="s">
        <v>279</v>
      </c>
      <c r="B46" s="26">
        <v>635729</v>
      </c>
      <c r="C46" s="78">
        <f>B46/'- 3 -'!D46*100</f>
        <v>0.2189395522315609</v>
      </c>
      <c r="D46" s="26">
        <f>B46/'- 7 -'!F46</f>
        <v>21.03182585106031</v>
      </c>
      <c r="E46" s="26">
        <v>105390</v>
      </c>
      <c r="F46" s="78">
        <f>E46/'- 3 -'!D46*100</f>
        <v>0.036295401672228576</v>
      </c>
      <c r="G46" s="26">
        <f>E46/'- 7 -'!F46</f>
        <v>3.48661792437225</v>
      </c>
      <c r="H46" s="26">
        <v>8277420</v>
      </c>
      <c r="I46" s="78">
        <f>H46/'- 3 -'!D46*100</f>
        <v>2.8506716359212287</v>
      </c>
      <c r="J46" s="26">
        <f>H46/'- 7 -'!F46</f>
        <v>273.8419294008668</v>
      </c>
    </row>
    <row r="47" spans="1:10" ht="4.5" customHeight="1">
      <c r="A47" s="27"/>
      <c r="B47" s="28"/>
      <c r="C47"/>
      <c r="D47" s="28"/>
      <c r="E47" s="28"/>
      <c r="F47"/>
      <c r="G47" s="28"/>
      <c r="H47"/>
      <c r="I47"/>
      <c r="J47"/>
    </row>
    <row r="48" spans="1:10" ht="13.5" customHeight="1">
      <c r="A48" s="333" t="s">
        <v>280</v>
      </c>
      <c r="B48" s="334">
        <f>SUM(B11:B46)</f>
        <v>7150073.14</v>
      </c>
      <c r="C48" s="341">
        <f>B48/'- 3 -'!D48*100</f>
        <v>0.450651734869181</v>
      </c>
      <c r="D48" s="334">
        <f>B48/'- 7 -'!F48</f>
        <v>41.162754567238466</v>
      </c>
      <c r="E48" s="334">
        <f>SUM(E11:E46)</f>
        <v>521476</v>
      </c>
      <c r="F48" s="341">
        <f>E48/'- 3 -'!D48*100</f>
        <v>0.03286736505923924</v>
      </c>
      <c r="G48" s="334">
        <f>E48/'- 7 -'!F48</f>
        <v>3.00212154203296</v>
      </c>
      <c r="H48" s="334">
        <f>SUM(H11:H46)</f>
        <v>29824137.99</v>
      </c>
      <c r="I48" s="341">
        <f>H48/'- 3 -'!D48*100</f>
        <v>1.8797429429052455</v>
      </c>
      <c r="J48" s="334">
        <f>H48/'- 7 -'!F48</f>
        <v>171.6966593521899</v>
      </c>
    </row>
    <row r="49" spans="1:10" ht="4.5" customHeight="1">
      <c r="A49" s="27" t="s">
        <v>32</v>
      </c>
      <c r="B49" s="28"/>
      <c r="C49"/>
      <c r="D49" s="28"/>
      <c r="E49" s="28"/>
      <c r="F49"/>
      <c r="H49"/>
      <c r="I49"/>
      <c r="J49"/>
    </row>
    <row r="50" spans="1:10" ht="13.5" customHeight="1">
      <c r="A50" s="25" t="s">
        <v>281</v>
      </c>
      <c r="B50" s="26">
        <v>51398</v>
      </c>
      <c r="C50" s="78">
        <f>B50/'- 3 -'!D50*100</f>
        <v>1.9499059532110588</v>
      </c>
      <c r="D50" s="26">
        <f>B50/'- 7 -'!F50</f>
        <v>225.13359614542267</v>
      </c>
      <c r="E50" s="26">
        <v>0</v>
      </c>
      <c r="F50" s="78">
        <f>E50/'- 3 -'!D50*100</f>
        <v>0</v>
      </c>
      <c r="G50" s="26">
        <f>E50/'- 7 -'!F50</f>
        <v>0</v>
      </c>
      <c r="H50" s="26">
        <v>4572</v>
      </c>
      <c r="I50" s="78">
        <f>H50/'- 3 -'!D50*100</f>
        <v>0.17344974547805284</v>
      </c>
      <c r="J50" s="26">
        <f>H50/'- 7 -'!F50</f>
        <v>20.02628120893561</v>
      </c>
    </row>
    <row r="51" spans="1:10" ht="13.5" customHeight="1">
      <c r="A51" s="331" t="s">
        <v>282</v>
      </c>
      <c r="B51" s="332">
        <v>0</v>
      </c>
      <c r="C51" s="338">
        <f>B51/'- 3 -'!D51*100</f>
        <v>0</v>
      </c>
      <c r="D51" s="332">
        <f>B51/'- 7 -'!F51</f>
        <v>0</v>
      </c>
      <c r="E51" s="332">
        <v>0</v>
      </c>
      <c r="F51" s="338">
        <f>E51/'- 3 -'!D51*100</f>
        <v>0</v>
      </c>
      <c r="G51" s="332">
        <f>E51/'- 7 -'!F51</f>
        <v>0</v>
      </c>
      <c r="H51" s="332">
        <v>0</v>
      </c>
      <c r="I51" s="338">
        <f>H51/'- 3 -'!D51*100</f>
        <v>0</v>
      </c>
      <c r="J51" s="332">
        <f>H51/'- 7 -'!F51</f>
        <v>0</v>
      </c>
    </row>
    <row r="52" spans="1:10" ht="49.5" customHeight="1">
      <c r="A52" s="29"/>
      <c r="B52" s="29"/>
      <c r="C52" s="29"/>
      <c r="D52" s="29"/>
      <c r="E52" s="29"/>
      <c r="F52" s="29"/>
      <c r="G52" s="29"/>
      <c r="H52" s="29"/>
      <c r="I52" s="29"/>
      <c r="J52" s="29"/>
    </row>
    <row r="53" spans="1:10" ht="15" customHeight="1">
      <c r="A53" s="489" t="s">
        <v>532</v>
      </c>
      <c r="B53" s="3"/>
      <c r="C53" s="89"/>
      <c r="D53" s="89"/>
      <c r="E53" s="89"/>
      <c r="F53" s="89"/>
      <c r="G53" s="89"/>
      <c r="H53" s="89"/>
      <c r="I53" s="89"/>
      <c r="J53" s="89"/>
    </row>
    <row r="54" ht="12">
      <c r="A54" s="1" t="s">
        <v>421</v>
      </c>
    </row>
    <row r="55" ht="12">
      <c r="A55" s="1" t="s">
        <v>422</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5"/>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4"/>
      <c r="B2" s="7" t="s">
        <v>528</v>
      </c>
      <c r="C2" s="8"/>
      <c r="D2" s="8"/>
      <c r="E2" s="8"/>
      <c r="F2" s="8"/>
      <c r="G2" s="8"/>
      <c r="H2" s="81"/>
      <c r="I2" s="81"/>
      <c r="J2" s="155" t="s">
        <v>489</v>
      </c>
    </row>
    <row r="3" spans="1:10" ht="15.75" customHeight="1">
      <c r="A3" s="156"/>
      <c r="B3" s="9" t="str">
        <f>OPYEAR</f>
        <v>OPERATING FUND 2006/2007 ACTUAL</v>
      </c>
      <c r="C3" s="10"/>
      <c r="D3" s="10"/>
      <c r="E3" s="10"/>
      <c r="F3" s="10"/>
      <c r="G3" s="10"/>
      <c r="H3" s="83"/>
      <c r="I3" s="83"/>
      <c r="J3" s="73"/>
    </row>
    <row r="4" spans="2:10" ht="15.75" customHeight="1">
      <c r="B4" s="6"/>
      <c r="C4" s="6"/>
      <c r="D4" s="6"/>
      <c r="E4" s="6"/>
      <c r="F4" s="6"/>
      <c r="G4" s="6"/>
      <c r="H4" s="6"/>
      <c r="I4" s="6"/>
      <c r="J4" s="6"/>
    </row>
    <row r="5" spans="2:10" ht="15.75" customHeight="1">
      <c r="B5" s="482" t="s">
        <v>452</v>
      </c>
      <c r="C5" s="194"/>
      <c r="D5" s="195"/>
      <c r="E5" s="195"/>
      <c r="F5" s="195"/>
      <c r="G5" s="195"/>
      <c r="H5" s="195"/>
      <c r="I5" s="195"/>
      <c r="J5" s="196"/>
    </row>
    <row r="6" spans="2:10" ht="15.75" customHeight="1">
      <c r="B6" s="359" t="s">
        <v>138</v>
      </c>
      <c r="C6" s="362"/>
      <c r="D6" s="360"/>
      <c r="E6" s="359" t="s">
        <v>92</v>
      </c>
      <c r="F6" s="362"/>
      <c r="G6" s="360"/>
      <c r="H6" s="359" t="s">
        <v>199</v>
      </c>
      <c r="I6" s="362"/>
      <c r="J6" s="360"/>
    </row>
    <row r="7" spans="2:10" ht="15.75" customHeight="1">
      <c r="B7" s="345" t="s">
        <v>474</v>
      </c>
      <c r="C7" s="346"/>
      <c r="D7" s="347"/>
      <c r="E7" s="345" t="s">
        <v>583</v>
      </c>
      <c r="F7" s="346"/>
      <c r="G7" s="347"/>
      <c r="H7" s="345" t="s">
        <v>165</v>
      </c>
      <c r="I7" s="346"/>
      <c r="J7" s="347"/>
    </row>
    <row r="8" spans="1:10" ht="15.75" customHeight="1">
      <c r="A8" s="74"/>
      <c r="B8" s="157"/>
      <c r="C8" s="158"/>
      <c r="D8" s="159" t="s">
        <v>89</v>
      </c>
      <c r="E8" s="157"/>
      <c r="F8" s="159"/>
      <c r="G8" s="159" t="s">
        <v>89</v>
      </c>
      <c r="H8" s="157"/>
      <c r="I8" s="159"/>
      <c r="J8" s="159" t="s">
        <v>89</v>
      </c>
    </row>
    <row r="9" spans="1:10" ht="15.75" customHeight="1">
      <c r="A9" s="41" t="s">
        <v>108</v>
      </c>
      <c r="B9" s="86" t="s">
        <v>109</v>
      </c>
      <c r="C9" s="86" t="s">
        <v>110</v>
      </c>
      <c r="D9" s="86" t="s">
        <v>111</v>
      </c>
      <c r="E9" s="86" t="s">
        <v>109</v>
      </c>
      <c r="F9" s="86" t="s">
        <v>110</v>
      </c>
      <c r="G9" s="86" t="s">
        <v>111</v>
      </c>
      <c r="H9" s="86" t="s">
        <v>109</v>
      </c>
      <c r="I9" s="86" t="s">
        <v>110</v>
      </c>
      <c r="J9" s="86" t="s">
        <v>111</v>
      </c>
    </row>
    <row r="10" ht="4.5" customHeight="1">
      <c r="A10" s="4"/>
    </row>
    <row r="11" spans="1:10" ht="13.5" customHeight="1">
      <c r="A11" s="331" t="s">
        <v>245</v>
      </c>
      <c r="B11" s="332">
        <v>483801</v>
      </c>
      <c r="C11" s="338">
        <f>B11/'- 3 -'!D11*100</f>
        <v>4.007471203078024</v>
      </c>
      <c r="D11" s="332">
        <f>IF(AND(B11&gt;0,'- 7 -'!D11=0),"N/A ",IF(B11&gt;0,B11/'- 7 -'!D11,0))</f>
        <v>17278.60714285714</v>
      </c>
      <c r="E11" s="332">
        <v>459706</v>
      </c>
      <c r="F11" s="338">
        <f>E11/'- 3 -'!D11*100</f>
        <v>3.8078849710566667</v>
      </c>
      <c r="G11" s="332">
        <f>E11/'- 7 -'!F11</f>
        <v>316.0577518047439</v>
      </c>
      <c r="H11" s="332">
        <v>225753</v>
      </c>
      <c r="I11" s="338">
        <f>H11/'- 3 -'!D11*100</f>
        <v>1.8699809353607644</v>
      </c>
      <c r="J11" s="332">
        <f>H11/'- 7 -'!F11</f>
        <v>155.21003781368168</v>
      </c>
    </row>
    <row r="12" spans="1:10" ht="13.5" customHeight="1">
      <c r="A12" s="25" t="s">
        <v>246</v>
      </c>
      <c r="B12" s="26">
        <v>0</v>
      </c>
      <c r="C12" s="78">
        <f>B12/'- 3 -'!D12*100</f>
        <v>0</v>
      </c>
      <c r="D12" s="26">
        <f>IF(AND(B12&gt;0,'- 7 -'!D12=0),"N/A ",IF(B12&gt;0,B12/'- 7 -'!D12,0))</f>
        <v>0</v>
      </c>
      <c r="E12" s="26">
        <v>1627317.66</v>
      </c>
      <c r="F12" s="78">
        <f>E12/'- 3 -'!D12*100</f>
        <v>7.397883597077333</v>
      </c>
      <c r="G12" s="26">
        <f>E12/'- 7 -'!F12</f>
        <v>679.3709676746001</v>
      </c>
      <c r="H12" s="26">
        <v>868892</v>
      </c>
      <c r="I12" s="78">
        <f>H12/'- 3 -'!D12*100</f>
        <v>3.950035099128537</v>
      </c>
      <c r="J12" s="26">
        <f>H12/'- 7 -'!F12</f>
        <v>362.7441730367006</v>
      </c>
    </row>
    <row r="13" spans="1:10" ht="13.5" customHeight="1">
      <c r="A13" s="331" t="s">
        <v>247</v>
      </c>
      <c r="B13" s="332">
        <v>2410457</v>
      </c>
      <c r="C13" s="338">
        <f>B13/'- 3 -'!D13*100</f>
        <v>4.48931622387555</v>
      </c>
      <c r="D13" s="332">
        <f>IF(AND(B13&gt;0,'- 7 -'!D13=0),"N/A ",IF(B13&gt;0,B13/'- 7 -'!D13,0))</f>
        <v>11006.65296803653</v>
      </c>
      <c r="E13" s="332">
        <v>2615573</v>
      </c>
      <c r="F13" s="338">
        <f>E13/'- 3 -'!D13*100</f>
        <v>4.871331164020285</v>
      </c>
      <c r="G13" s="332">
        <f>E13/'- 7 -'!F13</f>
        <v>387.86579669311186</v>
      </c>
      <c r="H13" s="332">
        <v>2558343</v>
      </c>
      <c r="I13" s="338">
        <f>H13/'- 3 -'!D13*100</f>
        <v>4.764744086344807</v>
      </c>
      <c r="J13" s="332">
        <f>H13/'- 7 -'!F13</f>
        <v>379.37910580559054</v>
      </c>
    </row>
    <row r="14" spans="1:10" ht="13.5" customHeight="1">
      <c r="A14" s="25" t="s">
        <v>283</v>
      </c>
      <c r="B14" s="26">
        <v>794549</v>
      </c>
      <c r="C14" s="78">
        <f>B14/'- 3 -'!D14*100</f>
        <v>1.6175301359649235</v>
      </c>
      <c r="D14" s="26">
        <f>IF(AND(B14&gt;0,'- 7 -'!D14=0),"N/A ",IF(B14&gt;0,B14/'- 7 -'!D14,0))</f>
        <v>7789.696078431372</v>
      </c>
      <c r="E14" s="26">
        <v>2446087</v>
      </c>
      <c r="F14" s="78">
        <f>E14/'- 3 -'!D14*100</f>
        <v>4.979704760426395</v>
      </c>
      <c r="G14" s="26">
        <f>E14/'- 7 -'!F14</f>
        <v>522.5565050202948</v>
      </c>
      <c r="H14" s="26">
        <v>1969902</v>
      </c>
      <c r="I14" s="78">
        <f>H14/'- 3 -'!D14*100</f>
        <v>4.010294959653306</v>
      </c>
      <c r="J14" s="26">
        <f>H14/'- 7 -'!F14</f>
        <v>420.8293099765007</v>
      </c>
    </row>
    <row r="15" spans="1:10" ht="13.5" customHeight="1">
      <c r="A15" s="331" t="s">
        <v>248</v>
      </c>
      <c r="B15" s="332">
        <v>0</v>
      </c>
      <c r="C15" s="338">
        <f>B15/'- 3 -'!D15*100</f>
        <v>0</v>
      </c>
      <c r="D15" s="332">
        <f>IF(AND(B15&gt;0,'- 7 -'!D15=0),"N/A ",IF(B15&gt;0,B15/'- 7 -'!D15,0))</f>
        <v>0</v>
      </c>
      <c r="E15" s="332">
        <v>775274</v>
      </c>
      <c r="F15" s="338">
        <f>E15/'- 3 -'!D15*100</f>
        <v>5.482306011752032</v>
      </c>
      <c r="G15" s="332">
        <f>E15/'- 7 -'!F15</f>
        <v>477.0916923076923</v>
      </c>
      <c r="H15" s="332">
        <v>759775</v>
      </c>
      <c r="I15" s="338">
        <f>H15/'- 3 -'!D15*100</f>
        <v>5.372705714468562</v>
      </c>
      <c r="J15" s="332">
        <f>H15/'- 7 -'!F15</f>
        <v>467.55384615384617</v>
      </c>
    </row>
    <row r="16" spans="1:10" ht="13.5" customHeight="1">
      <c r="A16" s="25" t="s">
        <v>249</v>
      </c>
      <c r="B16" s="26">
        <v>66294</v>
      </c>
      <c r="C16" s="78">
        <f>B16/'- 3 -'!D16*100</f>
        <v>0.5963066780820235</v>
      </c>
      <c r="D16" s="26">
        <f>IF(AND(B16&gt;0,'- 7 -'!D16=0),"N/A ",IF(B16&gt;0,B16/'- 7 -'!D16,0))</f>
        <v>13258.8</v>
      </c>
      <c r="E16" s="26">
        <v>661501</v>
      </c>
      <c r="F16" s="78">
        <f>E16/'- 3 -'!D16*100</f>
        <v>5.950123146256624</v>
      </c>
      <c r="G16" s="26">
        <f>E16/'- 7 -'!F16</f>
        <v>594.0736416704086</v>
      </c>
      <c r="H16" s="26">
        <v>616103</v>
      </c>
      <c r="I16" s="78">
        <f>H16/'- 3 -'!D16*100</f>
        <v>5.541773513234515</v>
      </c>
      <c r="J16" s="26">
        <f>H16/'- 7 -'!F16</f>
        <v>553.3030983385721</v>
      </c>
    </row>
    <row r="17" spans="1:10" ht="13.5" customHeight="1">
      <c r="A17" s="331" t="s">
        <v>250</v>
      </c>
      <c r="B17" s="332">
        <v>0</v>
      </c>
      <c r="C17" s="338">
        <f>B17/'- 3 -'!D17*100</f>
        <v>0</v>
      </c>
      <c r="D17" s="332">
        <f>IF(AND(B17&gt;0,'- 7 -'!D17=0),"N/A ",IF(B17&gt;0,B17/'- 7 -'!D17,0))</f>
        <v>0</v>
      </c>
      <c r="E17" s="332">
        <v>360900</v>
      </c>
      <c r="F17" s="338">
        <f>E17/'- 3 -'!D17*100</f>
        <v>2.702271862626053</v>
      </c>
      <c r="G17" s="332">
        <f>E17/'- 7 -'!F17</f>
        <v>247.13858073604507</v>
      </c>
      <c r="H17" s="332">
        <v>742822</v>
      </c>
      <c r="I17" s="338">
        <f>H17/'- 3 -'!D17*100</f>
        <v>5.561947879023579</v>
      </c>
      <c r="J17" s="332">
        <f>H17/'- 7 -'!F17</f>
        <v>508.6726927667234</v>
      </c>
    </row>
    <row r="18" spans="1:10" ht="13.5" customHeight="1">
      <c r="A18" s="25" t="s">
        <v>251</v>
      </c>
      <c r="B18" s="26">
        <v>0</v>
      </c>
      <c r="C18" s="78">
        <f>B18/'- 3 -'!D18*100</f>
        <v>0</v>
      </c>
      <c r="D18" s="26">
        <f>IF(AND(B18&gt;0,'- 7 -'!D18=0),"N/A ",IF(B18&gt;0,B18/'- 7 -'!D18,0))</f>
        <v>0</v>
      </c>
      <c r="E18" s="26">
        <v>7418560</v>
      </c>
      <c r="F18" s="78">
        <f>E18/'- 3 -'!D18*100</f>
        <v>8.528217555444174</v>
      </c>
      <c r="G18" s="26">
        <f>E18/'- 7 -'!F18</f>
        <v>1297.2231936769952</v>
      </c>
      <c r="H18" s="26">
        <v>2622050</v>
      </c>
      <c r="I18" s="78">
        <f>H18/'- 3 -'!D18*100</f>
        <v>3.014252475042649</v>
      </c>
      <c r="J18" s="26">
        <f>H18/'- 7 -'!F18</f>
        <v>458.4965377351892</v>
      </c>
    </row>
    <row r="19" spans="1:10" ht="13.5" customHeight="1">
      <c r="A19" s="331" t="s">
        <v>252</v>
      </c>
      <c r="B19" s="332">
        <v>814894</v>
      </c>
      <c r="C19" s="338">
        <f>B19/'- 3 -'!D19*100</f>
        <v>3.290724550677915</v>
      </c>
      <c r="D19" s="332">
        <f>IF(AND(B19&gt;0,'- 7 -'!D19=0),"N/A ",IF(B19&gt;0,B19/'- 7 -'!D19,0))</f>
        <v>17715.08695652174</v>
      </c>
      <c r="E19" s="332">
        <v>1384224</v>
      </c>
      <c r="F19" s="338">
        <f>E19/'- 3 -'!D19*100</f>
        <v>5.58980665023621</v>
      </c>
      <c r="G19" s="332">
        <f>E19/'- 7 -'!F19</f>
        <v>402.33689681031024</v>
      </c>
      <c r="H19" s="332">
        <v>861448</v>
      </c>
      <c r="I19" s="338">
        <f>H19/'- 3 -'!D19*100</f>
        <v>3.478720033197432</v>
      </c>
      <c r="J19" s="332">
        <f>H19/'- 7 -'!F19</f>
        <v>250.3874481900676</v>
      </c>
    </row>
    <row r="20" spans="1:10" ht="13.5" customHeight="1">
      <c r="A20" s="25" t="s">
        <v>253</v>
      </c>
      <c r="B20" s="26">
        <v>333823</v>
      </c>
      <c r="C20" s="78">
        <f>B20/'- 3 -'!D20*100</f>
        <v>0.7236625781319641</v>
      </c>
      <c r="D20" s="26">
        <f>IF(AND(B20&gt;0,'- 7 -'!D20=0),"N/A ",IF(B20&gt;0,B20/'- 7 -'!D20,0))</f>
        <v>25678.69230769231</v>
      </c>
      <c r="E20" s="26">
        <v>2184292</v>
      </c>
      <c r="F20" s="78">
        <f>E20/'- 3 -'!D20*100</f>
        <v>4.735115256027967</v>
      </c>
      <c r="G20" s="26">
        <f>E20/'- 7 -'!F20</f>
        <v>321.69248895434464</v>
      </c>
      <c r="H20" s="26">
        <v>2609060</v>
      </c>
      <c r="I20" s="78">
        <f>H20/'- 3 -'!D20*100</f>
        <v>5.6559286990440505</v>
      </c>
      <c r="J20" s="26">
        <f>H20/'- 7 -'!F20</f>
        <v>384.25036818851254</v>
      </c>
    </row>
    <row r="21" spans="1:10" ht="13.5" customHeight="1">
      <c r="A21" s="331" t="s">
        <v>254</v>
      </c>
      <c r="B21" s="332">
        <v>851134</v>
      </c>
      <c r="C21" s="338">
        <f>B21/'- 3 -'!D21*100</f>
        <v>3.2165930418397375</v>
      </c>
      <c r="D21" s="332">
        <f>IF(AND(B21&gt;0,'- 7 -'!D21=0),"N/A ",IF(B21&gt;0,B21/'- 7 -'!D21,0))</f>
        <v>19793.81395348837</v>
      </c>
      <c r="E21" s="332">
        <v>812985</v>
      </c>
      <c r="F21" s="338">
        <f>E21/'- 3 -'!D21*100</f>
        <v>3.072420904487518</v>
      </c>
      <c r="G21" s="332">
        <f>E21/'- 7 -'!F21</f>
        <v>260.613880429556</v>
      </c>
      <c r="H21" s="332">
        <v>1512513</v>
      </c>
      <c r="I21" s="338">
        <f>H21/'- 3 -'!D21*100</f>
        <v>5.716066790296413</v>
      </c>
      <c r="J21" s="332">
        <f>H21/'- 7 -'!F21</f>
        <v>484.85750921622054</v>
      </c>
    </row>
    <row r="22" spans="1:10" ht="13.5" customHeight="1">
      <c r="A22" s="25" t="s">
        <v>255</v>
      </c>
      <c r="B22" s="26">
        <v>1129668</v>
      </c>
      <c r="C22" s="78">
        <f>B22/'- 3 -'!D22*100</f>
        <v>7.539906001132921</v>
      </c>
      <c r="D22" s="26">
        <f>IF(AND(B22&gt;0,'- 7 -'!D22=0),"N/A ",IF(B22&gt;0,B22/'- 7 -'!D22,0))</f>
        <v>11646.061855670103</v>
      </c>
      <c r="E22" s="26">
        <v>746763</v>
      </c>
      <c r="F22" s="78">
        <f>E22/'- 3 -'!D22*100</f>
        <v>4.984227954694674</v>
      </c>
      <c r="G22" s="26">
        <f>E22/'- 7 -'!F22</f>
        <v>459.15088539104767</v>
      </c>
      <c r="H22" s="26">
        <v>843005</v>
      </c>
      <c r="I22" s="78">
        <f>H22/'- 3 -'!D22*100</f>
        <v>5.6265898108869665</v>
      </c>
      <c r="J22" s="26">
        <f>H22/'- 7 -'!F22</f>
        <v>518.3257501229709</v>
      </c>
    </row>
    <row r="23" spans="1:10" ht="13.5" customHeight="1">
      <c r="A23" s="331" t="s">
        <v>256</v>
      </c>
      <c r="B23" s="332">
        <v>0</v>
      </c>
      <c r="C23" s="338">
        <f>B23/'- 3 -'!D23*100</f>
        <v>0</v>
      </c>
      <c r="D23" s="332">
        <f>IF(AND(B23&gt;0,'- 7 -'!D23=0),"N/A ",IF(B23&gt;0,B23/'- 7 -'!D23,0))</f>
        <v>0</v>
      </c>
      <c r="E23" s="332">
        <v>918803</v>
      </c>
      <c r="F23" s="338">
        <f>E23/'- 3 -'!D23*100</f>
        <v>7.336581338330837</v>
      </c>
      <c r="G23" s="332">
        <f>E23/'- 7 -'!F23</f>
        <v>705.6858678955454</v>
      </c>
      <c r="H23" s="332">
        <v>464060</v>
      </c>
      <c r="I23" s="338">
        <f>H23/'- 3 -'!D23*100</f>
        <v>3.7054884843277702</v>
      </c>
      <c r="J23" s="332">
        <f>H23/'- 7 -'!F23</f>
        <v>356.42089093702</v>
      </c>
    </row>
    <row r="24" spans="1:10" ht="13.5" customHeight="1">
      <c r="A24" s="25" t="s">
        <v>257</v>
      </c>
      <c r="B24" s="26">
        <v>660487</v>
      </c>
      <c r="C24" s="78">
        <f>B24/'- 3 -'!D24*100</f>
        <v>1.652097737674633</v>
      </c>
      <c r="D24" s="26">
        <f>IF(AND(B24&gt;0,'- 7 -'!D24=0),"N/A ",IF(B24&gt;0,B24/'- 7 -'!D24,0))</f>
        <v>25403.346153846152</v>
      </c>
      <c r="E24" s="26">
        <v>2670541</v>
      </c>
      <c r="F24" s="78">
        <f>E24/'- 3 -'!D24*100</f>
        <v>6.679911556877505</v>
      </c>
      <c r="G24" s="26">
        <f>E24/'- 7 -'!F24</f>
        <v>586.3521791634647</v>
      </c>
      <c r="H24" s="26">
        <v>1298694</v>
      </c>
      <c r="I24" s="78">
        <f>H24/'- 3 -'!D24*100</f>
        <v>3.248465782568953</v>
      </c>
      <c r="J24" s="26">
        <f>H24/'- 7 -'!F24</f>
        <v>285.14524097046876</v>
      </c>
    </row>
    <row r="25" spans="1:10" ht="13.5" customHeight="1">
      <c r="A25" s="331" t="s">
        <v>258</v>
      </c>
      <c r="B25" s="332">
        <v>4794549</v>
      </c>
      <c r="C25" s="338">
        <f>B25/'- 3 -'!D25*100</f>
        <v>3.849698978215463</v>
      </c>
      <c r="D25" s="332">
        <f>IF(AND(B25&gt;0,'- 7 -'!D25=0),"N/A ",IF(B25&gt;0,B25/'- 7 -'!D25,0))</f>
        <v>27397.422857142858</v>
      </c>
      <c r="E25" s="332">
        <v>8518009</v>
      </c>
      <c r="F25" s="338">
        <f>E25/'- 3 -'!D25*100</f>
        <v>6.839385840822593</v>
      </c>
      <c r="G25" s="332">
        <f>E25/'- 7 -'!F25</f>
        <v>590.1963623765806</v>
      </c>
      <c r="H25" s="332">
        <v>4809592</v>
      </c>
      <c r="I25" s="338">
        <f>H25/'- 3 -'!D25*100</f>
        <v>3.861777491070227</v>
      </c>
      <c r="J25" s="332">
        <f>H25/'- 7 -'!F25</f>
        <v>333.24732374848435</v>
      </c>
    </row>
    <row r="26" spans="1:10" ht="13.5" customHeight="1">
      <c r="A26" s="25" t="s">
        <v>259</v>
      </c>
      <c r="B26" s="26">
        <v>182201</v>
      </c>
      <c r="C26" s="78">
        <f>B26/'- 3 -'!D26*100</f>
        <v>0.6034910007299816</v>
      </c>
      <c r="D26" s="26">
        <f>IF(AND(B26&gt;0,'- 7 -'!D26=0),"N/A ",IF(B26&gt;0,B26/'- 7 -'!D26,0))</f>
        <v>9589.526315789473</v>
      </c>
      <c r="E26" s="26">
        <v>1328043</v>
      </c>
      <c r="F26" s="78">
        <f>E26/'- 3 -'!D26*100</f>
        <v>4.39877936500045</v>
      </c>
      <c r="G26" s="26">
        <f>E26/'- 7 -'!F26</f>
        <v>414.81899109792283</v>
      </c>
      <c r="H26" s="26">
        <v>1499581</v>
      </c>
      <c r="I26" s="78">
        <f>H26/'- 3 -'!D26*100</f>
        <v>4.966952093378558</v>
      </c>
      <c r="J26" s="26">
        <f>H26/'- 7 -'!F26</f>
        <v>468.3995002342652</v>
      </c>
    </row>
    <row r="27" spans="1:10" ht="13.5" customHeight="1">
      <c r="A27" s="331" t="s">
        <v>260</v>
      </c>
      <c r="B27" s="332">
        <v>1641616</v>
      </c>
      <c r="C27" s="338">
        <f>B27/'- 3 -'!D27*100</f>
        <v>5.180435236891205</v>
      </c>
      <c r="D27" s="332">
        <f>IF(AND(B27&gt;0,'- 7 -'!D27=0),"N/A ",IF(B27&gt;0,B27/'- 7 -'!D27,0))</f>
        <v>16751.183673469386</v>
      </c>
      <c r="E27" s="332">
        <v>1230998</v>
      </c>
      <c r="F27" s="338">
        <f>E27/'- 3 -'!D27*100</f>
        <v>3.8846511094815113</v>
      </c>
      <c r="G27" s="332">
        <f>E27/'- 7 -'!F27</f>
        <v>372.96866573348603</v>
      </c>
      <c r="H27" s="332">
        <v>1311182</v>
      </c>
      <c r="I27" s="338">
        <f>H27/'- 3 -'!D27*100</f>
        <v>4.1376871538639275</v>
      </c>
      <c r="J27" s="332">
        <f>H27/'- 7 -'!F27</f>
        <v>397.2628721360747</v>
      </c>
    </row>
    <row r="28" spans="1:10" ht="13.5" customHeight="1">
      <c r="A28" s="25" t="s">
        <v>261</v>
      </c>
      <c r="B28" s="26">
        <v>0</v>
      </c>
      <c r="C28" s="78">
        <f>B28/'- 3 -'!D28*100</f>
        <v>0</v>
      </c>
      <c r="D28" s="26">
        <f>IF(AND(B28&gt;0,'- 7 -'!D28=0),"N/A ",IF(B28&gt;0,B28/'- 7 -'!D28,0))</f>
        <v>0</v>
      </c>
      <c r="E28" s="26">
        <v>1101379</v>
      </c>
      <c r="F28" s="78">
        <f>E28/'- 3 -'!D28*100</f>
        <v>6.31378613456039</v>
      </c>
      <c r="G28" s="26">
        <f>E28/'- 7 -'!F28</f>
        <v>578.3034917301129</v>
      </c>
      <c r="H28" s="26">
        <v>680319</v>
      </c>
      <c r="I28" s="78">
        <f>H28/'- 3 -'!D28*100</f>
        <v>3.9000095964041344</v>
      </c>
      <c r="J28" s="26">
        <f>H28/'- 7 -'!F28</f>
        <v>357.2165922814387</v>
      </c>
    </row>
    <row r="29" spans="1:10" ht="13.5" customHeight="1">
      <c r="A29" s="331" t="s">
        <v>262</v>
      </c>
      <c r="B29" s="332">
        <v>1695510</v>
      </c>
      <c r="C29" s="338">
        <f>B29/'- 3 -'!D29*100</f>
        <v>1.4876801332672762</v>
      </c>
      <c r="D29" s="332">
        <f>IF(AND(B29&gt;0,'- 7 -'!D29=0),"N/A ",IF(B29&gt;0,B29/'- 7 -'!D29,0))</f>
        <v>26492.34375</v>
      </c>
      <c r="E29" s="332">
        <v>8041164</v>
      </c>
      <c r="F29" s="338">
        <f>E29/'- 3 -'!D29*100</f>
        <v>7.055505382536243</v>
      </c>
      <c r="G29" s="332">
        <f>E29/'- 7 -'!F29</f>
        <v>639.3801137041307</v>
      </c>
      <c r="H29" s="332">
        <v>7037660</v>
      </c>
      <c r="I29" s="338">
        <f>H29/'- 3 -'!D29*100</f>
        <v>6.175007500215144</v>
      </c>
      <c r="J29" s="332">
        <f>H29/'- 7 -'!F29</f>
        <v>559.588120701308</v>
      </c>
    </row>
    <row r="30" spans="1:10" ht="13.5" customHeight="1">
      <c r="A30" s="25" t="s">
        <v>263</v>
      </c>
      <c r="B30" s="26">
        <v>0</v>
      </c>
      <c r="C30" s="78">
        <f>B30/'- 3 -'!D30*100</f>
        <v>0</v>
      </c>
      <c r="D30" s="26">
        <f>IF(AND(B30&gt;0,'- 7 -'!D30=0),"N/A ",IF(B30&gt;0,B30/'- 7 -'!D30,0))</f>
        <v>0</v>
      </c>
      <c r="E30" s="26">
        <v>471504</v>
      </c>
      <c r="F30" s="78">
        <f>E30/'- 3 -'!D30*100</f>
        <v>4.199928811142517</v>
      </c>
      <c r="G30" s="26">
        <f>E30/'- 7 -'!F30</f>
        <v>393.2477064220183</v>
      </c>
      <c r="H30" s="26">
        <v>475364</v>
      </c>
      <c r="I30" s="78">
        <f>H30/'- 3 -'!D30*100</f>
        <v>4.234311817884793</v>
      </c>
      <c r="J30" s="26">
        <f>H30/'- 7 -'!F30</f>
        <v>396.46705587989993</v>
      </c>
    </row>
    <row r="31" spans="1:10" ht="13.5" customHeight="1">
      <c r="A31" s="331" t="s">
        <v>264</v>
      </c>
      <c r="B31" s="332">
        <v>963483</v>
      </c>
      <c r="C31" s="338">
        <f>B31/'- 3 -'!D31*100</f>
        <v>3.4803394110141785</v>
      </c>
      <c r="D31" s="332">
        <f>IF(AND(B31&gt;0,'- 7 -'!D31=0),"N/A ",IF(B31&gt;0,B31/'- 7 -'!D31,0))</f>
        <v>5264.934426229508</v>
      </c>
      <c r="E31" s="332">
        <v>2204316</v>
      </c>
      <c r="F31" s="338">
        <f>E31/'- 3 -'!D31*100</f>
        <v>7.962535767760438</v>
      </c>
      <c r="G31" s="332">
        <f>E31/'- 7 -'!F31</f>
        <v>660.8652375955629</v>
      </c>
      <c r="H31" s="332">
        <v>847450</v>
      </c>
      <c r="I31" s="338">
        <f>H31/'- 3 -'!D31*100</f>
        <v>3.0611994543380274</v>
      </c>
      <c r="J31" s="332">
        <f>H31/'- 7 -'!F31</f>
        <v>254.06985459451357</v>
      </c>
    </row>
    <row r="32" spans="1:10" ht="13.5" customHeight="1">
      <c r="A32" s="25" t="s">
        <v>265</v>
      </c>
      <c r="B32" s="26">
        <v>0</v>
      </c>
      <c r="C32" s="78">
        <f>B32/'- 3 -'!D32*100</f>
        <v>0</v>
      </c>
      <c r="D32" s="26">
        <f>IF(AND(B32&gt;0,'- 7 -'!D32=0),"N/A ",IF(B32&gt;0,B32/'- 7 -'!D32,0))</f>
        <v>0</v>
      </c>
      <c r="E32" s="26">
        <v>752356</v>
      </c>
      <c r="F32" s="78">
        <f>E32/'- 3 -'!D32*100</f>
        <v>3.723207753830702</v>
      </c>
      <c r="G32" s="26">
        <f>E32/'- 7 -'!F32</f>
        <v>347.34810710987995</v>
      </c>
      <c r="H32" s="26">
        <v>1243072</v>
      </c>
      <c r="I32" s="78">
        <f>H32/'- 3 -'!D32*100</f>
        <v>6.151629426720646</v>
      </c>
      <c r="J32" s="26">
        <f>H32/'- 7 -'!F32</f>
        <v>573.9021237303785</v>
      </c>
    </row>
    <row r="33" spans="1:10" ht="13.5" customHeight="1">
      <c r="A33" s="331" t="s">
        <v>266</v>
      </c>
      <c r="B33" s="332">
        <v>0</v>
      </c>
      <c r="C33" s="338">
        <f>B33/'- 3 -'!D33*100</f>
        <v>0</v>
      </c>
      <c r="D33" s="332">
        <f>IF(AND(B33&gt;0,'- 7 -'!D33=0),"N/A ",IF(B33&gt;0,B33/'- 7 -'!D33,0))</f>
        <v>0</v>
      </c>
      <c r="E33" s="332">
        <v>1319880</v>
      </c>
      <c r="F33" s="338">
        <f>E33/'- 3 -'!D33*100</f>
        <v>5.802361256995393</v>
      </c>
      <c r="G33" s="332">
        <f>E33/'- 7 -'!F33</f>
        <v>573.3124837112327</v>
      </c>
      <c r="H33" s="332">
        <v>993093</v>
      </c>
      <c r="I33" s="338">
        <f>H33/'- 3 -'!D33*100</f>
        <v>4.365763817766257</v>
      </c>
      <c r="J33" s="332">
        <f>H33/'- 7 -'!F33</f>
        <v>431.3669533489706</v>
      </c>
    </row>
    <row r="34" spans="1:10" ht="13.5" customHeight="1">
      <c r="A34" s="25" t="s">
        <v>267</v>
      </c>
      <c r="B34" s="26">
        <v>217426</v>
      </c>
      <c r="C34" s="78">
        <f>B34/'- 3 -'!D34*100</f>
        <v>1.1315271656344148</v>
      </c>
      <c r="D34" s="26">
        <f>IF(AND(B34&gt;0,'- 7 -'!D34=0),"N/A ",IF(B34&gt;0,B34/'- 7 -'!D34,0))</f>
        <v>22886.947368421053</v>
      </c>
      <c r="E34" s="26">
        <v>689751</v>
      </c>
      <c r="F34" s="78">
        <f>E34/'- 3 -'!D34*100</f>
        <v>3.589598272623804</v>
      </c>
      <c r="G34" s="26">
        <f>E34/'- 7 -'!F34</f>
        <v>337.5341326156105</v>
      </c>
      <c r="H34" s="26">
        <v>764935</v>
      </c>
      <c r="I34" s="78">
        <f>H34/'- 3 -'!D34*100</f>
        <v>3.9808704223255775</v>
      </c>
      <c r="J34" s="26">
        <f>H34/'- 7 -'!F34</f>
        <v>374.3259114264742</v>
      </c>
    </row>
    <row r="35" spans="1:10" ht="13.5" customHeight="1">
      <c r="A35" s="331" t="s">
        <v>268</v>
      </c>
      <c r="B35" s="332">
        <v>5169819</v>
      </c>
      <c r="C35" s="338">
        <f>B35/'- 3 -'!D35*100</f>
        <v>3.6264628093091598</v>
      </c>
      <c r="D35" s="332">
        <f>IF(AND(B35&gt;0,'- 7 -'!D35=0),"N/A ",IF(B35&gt;0,B35/'- 7 -'!D35,0))</f>
        <v>29883.34682080925</v>
      </c>
      <c r="E35" s="332">
        <v>6541058</v>
      </c>
      <c r="F35" s="338">
        <f>E35/'- 3 -'!D35*100</f>
        <v>4.5883431451921535</v>
      </c>
      <c r="G35" s="332">
        <f>E35/'- 7 -'!F35</f>
        <v>389.25601047369673</v>
      </c>
      <c r="H35" s="332">
        <v>8004314</v>
      </c>
      <c r="I35" s="338">
        <f>H35/'- 3 -'!D35*100</f>
        <v>5.6147704658582125</v>
      </c>
      <c r="J35" s="332">
        <f>H35/'- 7 -'!F35</f>
        <v>476.3338490835515</v>
      </c>
    </row>
    <row r="36" spans="1:10" ht="13.5" customHeight="1">
      <c r="A36" s="25" t="s">
        <v>269</v>
      </c>
      <c r="B36" s="26">
        <v>103458</v>
      </c>
      <c r="C36" s="78">
        <f>B36/'- 3 -'!D36*100</f>
        <v>0.5765019696231195</v>
      </c>
      <c r="D36" s="26">
        <f>IF(AND(B36&gt;0,'- 7 -'!D36=0),"N/A ",IF(B36&gt;0,B36/'- 7 -'!D36,0))</f>
        <v>14779.714285714286</v>
      </c>
      <c r="E36" s="26">
        <v>1092992</v>
      </c>
      <c r="F36" s="78">
        <f>E36/'- 3 -'!D36*100</f>
        <v>6.090510552903716</v>
      </c>
      <c r="G36" s="26">
        <f>E36/'- 7 -'!F36</f>
        <v>563.6884992264054</v>
      </c>
      <c r="H36" s="26">
        <v>609428</v>
      </c>
      <c r="I36" s="78">
        <f>H36/'- 3 -'!D36*100</f>
        <v>3.39593305827948</v>
      </c>
      <c r="J36" s="26">
        <f>H36/'- 7 -'!F36</f>
        <v>314.3001547189273</v>
      </c>
    </row>
    <row r="37" spans="1:10" ht="13.5" customHeight="1">
      <c r="A37" s="331" t="s">
        <v>270</v>
      </c>
      <c r="B37" s="332">
        <v>0</v>
      </c>
      <c r="C37" s="338">
        <f>B37/'- 3 -'!D37*100</f>
        <v>0</v>
      </c>
      <c r="D37" s="332">
        <f>IF(AND(B37&gt;0,'- 7 -'!D37=0),"N/A ",IF(B37&gt;0,B37/'- 7 -'!D37,0))</f>
        <v>0</v>
      </c>
      <c r="E37" s="332">
        <v>2503978</v>
      </c>
      <c r="F37" s="338">
        <f>E37/'- 3 -'!D37*100</f>
        <v>8.389155714852638</v>
      </c>
      <c r="G37" s="332">
        <f>E37/'- 7 -'!F37</f>
        <v>745.32027622336</v>
      </c>
      <c r="H37" s="332">
        <v>1386463</v>
      </c>
      <c r="I37" s="338">
        <f>H37/'- 3 -'!D37*100</f>
        <v>4.64511030044263</v>
      </c>
      <c r="J37" s="332">
        <f>H37/'- 7 -'!F37</f>
        <v>412.6869270151209</v>
      </c>
    </row>
    <row r="38" spans="1:10" ht="13.5" customHeight="1">
      <c r="A38" s="25" t="s">
        <v>271</v>
      </c>
      <c r="B38" s="26">
        <v>1056008</v>
      </c>
      <c r="C38" s="78">
        <f>B38/'- 3 -'!D38*100</f>
        <v>1.4232957049237072</v>
      </c>
      <c r="D38" s="26">
        <f>IF(AND(B38&gt;0,'- 7 -'!D38=0),"N/A ",IF(B38&gt;0,B38/'- 7 -'!D38,0))</f>
        <v>29333.555555555555</v>
      </c>
      <c r="E38" s="26">
        <v>5118235</v>
      </c>
      <c r="F38" s="78">
        <f>E38/'- 3 -'!D38*100</f>
        <v>6.898396501058884</v>
      </c>
      <c r="G38" s="26">
        <f>E38/'- 7 -'!F38</f>
        <v>584.5069377034204</v>
      </c>
      <c r="H38" s="26">
        <v>1506632</v>
      </c>
      <c r="I38" s="78">
        <f>H38/'- 3 -'!D38*100</f>
        <v>2.0306501981998384</v>
      </c>
      <c r="J38" s="26">
        <f>H38/'- 7 -'!F38</f>
        <v>172.05869925198425</v>
      </c>
    </row>
    <row r="39" spans="1:10" ht="13.5" customHeight="1">
      <c r="A39" s="331" t="s">
        <v>272</v>
      </c>
      <c r="B39" s="332">
        <v>0</v>
      </c>
      <c r="C39" s="338">
        <f>B39/'- 3 -'!D39*100</f>
        <v>0</v>
      </c>
      <c r="D39" s="332">
        <f>IF(AND(B39&gt;0,'- 7 -'!D39=0),"N/A ",IF(B39&gt;0,B39/'- 7 -'!D39,0))</f>
        <v>0</v>
      </c>
      <c r="E39" s="332">
        <v>1056307</v>
      </c>
      <c r="F39" s="338">
        <f>E39/'- 3 -'!D39*100</f>
        <v>6.462483400343758</v>
      </c>
      <c r="G39" s="332">
        <f>E39/'- 7 -'!F39</f>
        <v>638.2519637462235</v>
      </c>
      <c r="H39" s="332">
        <v>608339</v>
      </c>
      <c r="I39" s="338">
        <f>H39/'- 3 -'!D39*100</f>
        <v>3.7218163746730086</v>
      </c>
      <c r="J39" s="332">
        <f>H39/'- 7 -'!F39</f>
        <v>367.5764350453172</v>
      </c>
    </row>
    <row r="40" spans="1:10" ht="13.5" customHeight="1">
      <c r="A40" s="25" t="s">
        <v>273</v>
      </c>
      <c r="B40" s="26">
        <v>2979649</v>
      </c>
      <c r="C40" s="78">
        <f>B40/'- 3 -'!D40*100</f>
        <v>3.8993742939403546</v>
      </c>
      <c r="D40" s="26">
        <f>IF(AND(B40&gt;0,'- 7 -'!D40=0),"N/A ",IF(B40&gt;0,B40/'- 7 -'!D40,0))</f>
        <v>21822.535520726527</v>
      </c>
      <c r="E40" s="26">
        <v>3549511</v>
      </c>
      <c r="F40" s="78">
        <f>E40/'- 3 -'!D40*100</f>
        <v>4.645135030823604</v>
      </c>
      <c r="G40" s="26">
        <f>E40/'- 7 -'!F40</f>
        <v>408.6308979030317</v>
      </c>
      <c r="H40" s="26">
        <v>2310335</v>
      </c>
      <c r="I40" s="78">
        <f>H40/'- 3 -'!D40*100</f>
        <v>3.0234638071097266</v>
      </c>
      <c r="J40" s="26">
        <f>H40/'- 7 -'!F40</f>
        <v>265.97304966988435</v>
      </c>
    </row>
    <row r="41" spans="1:10" ht="13.5" customHeight="1">
      <c r="A41" s="331" t="s">
        <v>274</v>
      </c>
      <c r="B41" s="332">
        <v>373382</v>
      </c>
      <c r="C41" s="338">
        <f>B41/'- 3 -'!D41*100</f>
        <v>0.8010528753638729</v>
      </c>
      <c r="D41" s="332">
        <f>IF(AND(B41&gt;0,'- 7 -'!D41=0),"N/A ",IF(B41&gt;0,B41/'- 7 -'!D41,0))</f>
        <v>7778.791666666667</v>
      </c>
      <c r="E41" s="332">
        <v>3832118</v>
      </c>
      <c r="F41" s="338">
        <f>E41/'- 3 -'!D41*100</f>
        <v>8.221417054474115</v>
      </c>
      <c r="G41" s="332">
        <f>E41/'- 7 -'!F41</f>
        <v>819.2662747194014</v>
      </c>
      <c r="H41" s="332">
        <v>1658225</v>
      </c>
      <c r="I41" s="338">
        <f>H41/'- 3 -'!D41*100</f>
        <v>3.557552062633598</v>
      </c>
      <c r="J41" s="332">
        <f>H41/'- 7 -'!F41</f>
        <v>354.51095670764295</v>
      </c>
    </row>
    <row r="42" spans="1:10" ht="13.5" customHeight="1">
      <c r="A42" s="25" t="s">
        <v>275</v>
      </c>
      <c r="B42" s="26">
        <v>0</v>
      </c>
      <c r="C42" s="78">
        <f>B42/'- 3 -'!D42*100</f>
        <v>0</v>
      </c>
      <c r="D42" s="26">
        <f>IF(AND(B42&gt;0,'- 7 -'!D42=0),"N/A ",IF(B42&gt;0,B42/'- 7 -'!D42,0))</f>
        <v>0</v>
      </c>
      <c r="E42" s="26">
        <v>1386329</v>
      </c>
      <c r="F42" s="78">
        <f>E42/'- 3 -'!D42*100</f>
        <v>8.393375214771886</v>
      </c>
      <c r="G42" s="26">
        <f>E42/'- 7 -'!F42</f>
        <v>802.2737268518518</v>
      </c>
      <c r="H42" s="26">
        <v>697711</v>
      </c>
      <c r="I42" s="78">
        <f>H42/'- 3 -'!D42*100</f>
        <v>4.2242138875214374</v>
      </c>
      <c r="J42" s="26">
        <f>H42/'- 7 -'!F42</f>
        <v>403.76793981481484</v>
      </c>
    </row>
    <row r="43" spans="1:10" ht="13.5" customHeight="1">
      <c r="A43" s="331" t="s">
        <v>276</v>
      </c>
      <c r="B43" s="332">
        <v>0</v>
      </c>
      <c r="C43" s="338">
        <f>B43/'- 3 -'!D43*100</f>
        <v>0</v>
      </c>
      <c r="D43" s="332">
        <f>IF(AND(B43&gt;0,'- 7 -'!D43=0),"N/A ",IF(B43&gt;0,B43/'- 7 -'!D43,0))</f>
        <v>0</v>
      </c>
      <c r="E43" s="332">
        <v>425816</v>
      </c>
      <c r="F43" s="338">
        <f>E43/'- 3 -'!D43*100</f>
        <v>4.181933801630775</v>
      </c>
      <c r="G43" s="332">
        <f>E43/'- 7 -'!F43</f>
        <v>390.8361633776962</v>
      </c>
      <c r="H43" s="332">
        <v>867577</v>
      </c>
      <c r="I43" s="338">
        <f>H43/'- 3 -'!D43*100</f>
        <v>8.520463256001237</v>
      </c>
      <c r="J43" s="332">
        <f>H43/'- 7 -'!F43</f>
        <v>796.3074804956402</v>
      </c>
    </row>
    <row r="44" spans="1:10" ht="13.5" customHeight="1">
      <c r="A44" s="25" t="s">
        <v>277</v>
      </c>
      <c r="B44" s="26">
        <v>0</v>
      </c>
      <c r="C44" s="78">
        <f>B44/'- 3 -'!D44*100</f>
        <v>0</v>
      </c>
      <c r="D44" s="26">
        <f>IF(AND(B44&gt;0,'- 7 -'!D44=0),"N/A ",IF(B44&gt;0,B44/'- 7 -'!D44,0))</f>
        <v>0</v>
      </c>
      <c r="E44" s="26">
        <v>636295</v>
      </c>
      <c r="F44" s="78">
        <f>E44/'- 3 -'!D44*100</f>
        <v>8.230848993585502</v>
      </c>
      <c r="G44" s="26">
        <f>E44/'- 7 -'!F44</f>
        <v>778.34250764526</v>
      </c>
      <c r="H44" s="26">
        <v>363068</v>
      </c>
      <c r="I44" s="78">
        <f>H44/'- 3 -'!D44*100</f>
        <v>4.696497508864757</v>
      </c>
      <c r="J44" s="26">
        <f>H44/'- 7 -'!F44</f>
        <v>444.119877675841</v>
      </c>
    </row>
    <row r="45" spans="1:10" ht="13.5" customHeight="1">
      <c r="A45" s="331" t="s">
        <v>278</v>
      </c>
      <c r="B45" s="332">
        <v>86752.83</v>
      </c>
      <c r="C45" s="338">
        <f>B45/'- 3 -'!D45*100</f>
        <v>0.7445826216825482</v>
      </c>
      <c r="D45" s="332">
        <f>IF(AND(B45&gt;0,'- 7 -'!D45=0),"N/A ",IF(B45&gt;0,B45/'- 7 -'!D45,0))</f>
        <v>14458.805</v>
      </c>
      <c r="E45" s="332">
        <v>689977.93</v>
      </c>
      <c r="F45" s="338">
        <f>E45/'- 3 -'!D45*100</f>
        <v>5.9219460163143705</v>
      </c>
      <c r="G45" s="332">
        <f>E45/'- 7 -'!F45</f>
        <v>467.46472222222224</v>
      </c>
      <c r="H45" s="332">
        <v>222869.59</v>
      </c>
      <c r="I45" s="338">
        <f>H45/'- 3 -'!D45*100</f>
        <v>1.9128462277889335</v>
      </c>
      <c r="J45" s="332">
        <f>H45/'- 7 -'!F45</f>
        <v>150.9956571815718</v>
      </c>
    </row>
    <row r="46" spans="1:10" ht="13.5" customHeight="1">
      <c r="A46" s="25" t="s">
        <v>279</v>
      </c>
      <c r="B46" s="26">
        <v>20587062</v>
      </c>
      <c r="C46" s="78">
        <f>B46/'- 3 -'!D46*100</f>
        <v>7.090005546456718</v>
      </c>
      <c r="D46" s="26">
        <f>IF(AND(B46&gt;0,'- 7 -'!D46=0),"N/A ",IF(B46&gt;0,B46/'- 7 -'!D46,0))</f>
        <v>15971.3436772692</v>
      </c>
      <c r="E46" s="26">
        <v>10853765</v>
      </c>
      <c r="F46" s="78">
        <f>E46/'- 3 -'!D46*100</f>
        <v>3.7379425024288455</v>
      </c>
      <c r="G46" s="26">
        <f>E46/'- 7 -'!F46</f>
        <v>359.0751645879512</v>
      </c>
      <c r="H46" s="26">
        <v>17724303</v>
      </c>
      <c r="I46" s="78">
        <f>H46/'- 3 -'!D46*100</f>
        <v>6.104096183179486</v>
      </c>
      <c r="J46" s="26">
        <f>H46/'- 7 -'!F46</f>
        <v>586.3732093823403</v>
      </c>
    </row>
    <row r="47" spans="1:10" ht="4.5" customHeight="1">
      <c r="A47" s="27"/>
      <c r="B47" s="28"/>
      <c r="C47"/>
      <c r="D47" s="28"/>
      <c r="E47" s="28"/>
      <c r="F47"/>
      <c r="G47" s="28"/>
      <c r="H47"/>
      <c r="I47"/>
      <c r="J47"/>
    </row>
    <row r="48" spans="1:10" ht="13.5" customHeight="1">
      <c r="A48" s="333" t="s">
        <v>280</v>
      </c>
      <c r="B48" s="334">
        <f>SUM(B11:B46)</f>
        <v>47396022.83</v>
      </c>
      <c r="C48" s="341">
        <f>B48/'- 3 -'!D48*100</f>
        <v>2.987256143541884</v>
      </c>
      <c r="D48" s="334">
        <f>IF(AND(B48&gt;0,'- 7 -'!D48=0),"N/A ",IF(B48&gt;0,B48/'- 7 -'!D48,0))</f>
        <v>16789.00151255384</v>
      </c>
      <c r="E48" s="334">
        <f>SUM(E11:E46)</f>
        <v>88426308.59</v>
      </c>
      <c r="F48" s="341">
        <f>E48/'- 3 -'!D48*100</f>
        <v>5.573295348718777</v>
      </c>
      <c r="G48" s="334">
        <f>E48/'- 7 -'!F48</f>
        <v>509.0675810593262</v>
      </c>
      <c r="H48" s="334">
        <f>SUM(H11:H46)</f>
        <v>73573932.59</v>
      </c>
      <c r="I48" s="341">
        <f>H48/'- 3 -'!D48*100</f>
        <v>4.637186181683125</v>
      </c>
      <c r="J48" s="334">
        <f>H48/'- 7 -'!F48</f>
        <v>423.5629021479797</v>
      </c>
    </row>
    <row r="49" spans="1:10" ht="4.5" customHeight="1">
      <c r="A49" s="27" t="s">
        <v>32</v>
      </c>
      <c r="B49" s="28"/>
      <c r="C49"/>
      <c r="D49" s="28"/>
      <c r="E49" s="28"/>
      <c r="F49"/>
      <c r="H49"/>
      <c r="I49"/>
      <c r="J49"/>
    </row>
    <row r="50" spans="1:10" ht="13.5" customHeight="1">
      <c r="A50" s="25" t="s">
        <v>281</v>
      </c>
      <c r="B50" s="26">
        <v>0</v>
      </c>
      <c r="C50" s="78">
        <f>B50/'- 3 -'!D50*100</f>
        <v>0</v>
      </c>
      <c r="D50" s="26">
        <f>IF(AND(B50&gt;0,'- 7 -'!D50=0),"N/A ",IF(B50&gt;0,B50/'- 7 -'!D50,0))</f>
        <v>0</v>
      </c>
      <c r="E50" s="26">
        <v>282992</v>
      </c>
      <c r="F50" s="78">
        <f>E50/'- 3 -'!D50*100</f>
        <v>10.735977771724658</v>
      </c>
      <c r="G50" s="26">
        <f>E50/'- 7 -'!F50</f>
        <v>1239.5619798510731</v>
      </c>
      <c r="H50" s="26">
        <v>30259</v>
      </c>
      <c r="I50" s="78">
        <f>H50/'- 3 -'!D50*100</f>
        <v>1.1479474734077868</v>
      </c>
      <c r="J50" s="26">
        <f>H50/'- 7 -'!F50</f>
        <v>132.54051686377574</v>
      </c>
    </row>
    <row r="51" spans="1:10" ht="13.5" customHeight="1">
      <c r="A51" s="331" t="s">
        <v>282</v>
      </c>
      <c r="B51" s="332">
        <v>0</v>
      </c>
      <c r="C51" s="338">
        <f>B51/'- 3 -'!D51*100</f>
        <v>0</v>
      </c>
      <c r="D51" s="332">
        <f>IF(AND(B51&gt;0,'- 7 -'!D51=0),"N/A ",IF(B51&gt;0,B51/'- 7 -'!D51,0))</f>
        <v>0</v>
      </c>
      <c r="E51" s="332">
        <v>20913</v>
      </c>
      <c r="F51" s="338">
        <f>E51/'- 3 -'!D51*100</f>
        <v>0.20667595043216352</v>
      </c>
      <c r="G51" s="332">
        <f>E51/'- 7 -'!F51</f>
        <v>31.41505182514646</v>
      </c>
      <c r="H51" s="332">
        <v>117723</v>
      </c>
      <c r="I51" s="338">
        <f>H51/'- 3 -'!D51*100</f>
        <v>1.1634157181047955</v>
      </c>
      <c r="J51" s="332">
        <f>H51/'- 7 -'!F51</f>
        <v>176.84091933303287</v>
      </c>
    </row>
    <row r="52" spans="1:10" ht="49.5" customHeight="1">
      <c r="A52" s="29"/>
      <c r="B52" s="29"/>
      <c r="C52" s="29"/>
      <c r="D52" s="29"/>
      <c r="E52" s="29"/>
      <c r="F52" s="29"/>
      <c r="G52" s="29"/>
      <c r="H52" s="29"/>
      <c r="I52" s="29"/>
      <c r="J52" s="29"/>
    </row>
    <row r="53" ht="15" customHeight="1">
      <c r="A53" s="152" t="s">
        <v>580</v>
      </c>
    </row>
    <row r="54" ht="12">
      <c r="A54" s="152" t="s">
        <v>581</v>
      </c>
    </row>
    <row r="55" ht="12">
      <c r="A55" s="1" t="s">
        <v>582</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sheetPr codeName="Sheet26">
    <pageSetUpPr fitToPage="1"/>
  </sheetPr>
  <dimension ref="A1:E53"/>
  <sheetViews>
    <sheetView showGridLines="0" showZeros="0" workbookViewId="0" topLeftCell="A1">
      <selection activeCell="A1" sqref="A1"/>
    </sheetView>
  </sheetViews>
  <sheetFormatPr defaultColWidth="15.83203125" defaultRowHeight="12"/>
  <cols>
    <col min="1" max="1" width="36.83203125" style="1" customWidth="1"/>
    <col min="2" max="2" width="24.83203125" style="1" customWidth="1"/>
    <col min="3" max="4" width="15.83203125" style="1" customWidth="1"/>
    <col min="5" max="5" width="40.83203125" style="1" customWidth="1"/>
    <col min="6" max="16384" width="15.83203125" style="1" customWidth="1"/>
  </cols>
  <sheetData>
    <row r="1" spans="1:5" ht="6.75" customHeight="1">
      <c r="A1" s="5"/>
      <c r="B1" s="6"/>
      <c r="C1" s="6"/>
      <c r="D1" s="6"/>
      <c r="E1" s="6"/>
    </row>
    <row r="2" spans="1:5" ht="15.75" customHeight="1">
      <c r="A2" s="154"/>
      <c r="B2" s="7" t="s">
        <v>528</v>
      </c>
      <c r="C2" s="8"/>
      <c r="D2" s="8"/>
      <c r="E2" s="155" t="s">
        <v>475</v>
      </c>
    </row>
    <row r="3" spans="1:5" ht="15.75" customHeight="1">
      <c r="A3" s="156"/>
      <c r="B3" s="9" t="str">
        <f>OPYEAR</f>
        <v>OPERATING FUND 2006/2007 ACTUAL</v>
      </c>
      <c r="C3" s="10"/>
      <c r="D3" s="10"/>
      <c r="E3" s="73"/>
    </row>
    <row r="4" spans="2:5" ht="15.75" customHeight="1">
      <c r="B4" s="6"/>
      <c r="C4" s="6"/>
      <c r="D4" s="6"/>
      <c r="E4" s="6"/>
    </row>
    <row r="5" spans="2:5" ht="15.75" customHeight="1">
      <c r="B5" s="482" t="s">
        <v>452</v>
      </c>
      <c r="C5" s="176"/>
      <c r="D5" s="178"/>
      <c r="E5" s="49"/>
    </row>
    <row r="6" spans="2:5" ht="15.75" customHeight="1">
      <c r="B6" s="490" t="s">
        <v>47</v>
      </c>
      <c r="C6" s="491"/>
      <c r="D6" s="492"/>
      <c r="E6" s="77"/>
    </row>
    <row r="7" spans="2:5" ht="15.75" customHeight="1">
      <c r="B7" s="493" t="s">
        <v>476</v>
      </c>
      <c r="C7" s="494"/>
      <c r="D7" s="495"/>
      <c r="E7" s="77"/>
    </row>
    <row r="8" spans="1:5" ht="15.75" customHeight="1">
      <c r="A8" s="74"/>
      <c r="B8" s="157"/>
      <c r="C8" s="159"/>
      <c r="D8" s="159" t="s">
        <v>89</v>
      </c>
      <c r="E8" s="77"/>
    </row>
    <row r="9" spans="1:4" ht="15.75" customHeight="1">
      <c r="A9" s="41" t="s">
        <v>108</v>
      </c>
      <c r="B9" s="86" t="s">
        <v>109</v>
      </c>
      <c r="C9" s="86" t="s">
        <v>110</v>
      </c>
      <c r="D9" s="86" t="s">
        <v>111</v>
      </c>
    </row>
    <row r="10" ht="4.5" customHeight="1">
      <c r="A10" s="4"/>
    </row>
    <row r="11" spans="1:4" ht="13.5" customHeight="1">
      <c r="A11" s="331" t="s">
        <v>245</v>
      </c>
      <c r="B11" s="332">
        <v>201501</v>
      </c>
      <c r="C11" s="338">
        <v>1.6503387682309314</v>
      </c>
      <c r="D11" s="332">
        <v>136.19533626225075</v>
      </c>
    </row>
    <row r="12" spans="1:4" ht="13.5" customHeight="1">
      <c r="A12" s="25" t="s">
        <v>246</v>
      </c>
      <c r="B12" s="26">
        <v>254425</v>
      </c>
      <c r="C12" s="78">
        <v>1.1517629499146878</v>
      </c>
      <c r="D12" s="26">
        <v>108.2107009186798</v>
      </c>
    </row>
    <row r="13" spans="1:4" ht="13.5" customHeight="1">
      <c r="A13" s="331" t="s">
        <v>247</v>
      </c>
      <c r="B13" s="332">
        <v>1345939</v>
      </c>
      <c r="C13" s="338">
        <v>2.565268994843366</v>
      </c>
      <c r="D13" s="332">
        <v>195.58802586645353</v>
      </c>
    </row>
    <row r="14" spans="1:4" ht="13.5" customHeight="1">
      <c r="A14" s="25" t="s">
        <v>283</v>
      </c>
      <c r="B14" s="26">
        <v>882033</v>
      </c>
      <c r="C14" s="78">
        <v>1.8220654404817842</v>
      </c>
      <c r="D14" s="26">
        <v>200.21178072863466</v>
      </c>
    </row>
    <row r="15" spans="1:4" ht="13.5" customHeight="1">
      <c r="A15" s="331" t="s">
        <v>248</v>
      </c>
      <c r="B15" s="332">
        <v>223638</v>
      </c>
      <c r="C15" s="338">
        <v>1.5677803259615781</v>
      </c>
      <c r="D15" s="332">
        <v>142.0374722134011</v>
      </c>
    </row>
    <row r="16" spans="1:4" ht="13.5" customHeight="1">
      <c r="A16" s="25" t="s">
        <v>249</v>
      </c>
      <c r="B16" s="26">
        <v>210534</v>
      </c>
      <c r="C16" s="78">
        <v>1.9572681618400294</v>
      </c>
      <c r="D16" s="26">
        <v>175.81127348643005</v>
      </c>
    </row>
    <row r="17" spans="1:4" ht="13.5" customHeight="1">
      <c r="A17" s="331" t="s">
        <v>250</v>
      </c>
      <c r="B17" s="332">
        <v>122314</v>
      </c>
      <c r="C17" s="338">
        <v>0.9222316688416679</v>
      </c>
      <c r="D17" s="332">
        <v>85.11760612386917</v>
      </c>
    </row>
    <row r="18" spans="1:4" ht="13.5" customHeight="1">
      <c r="A18" s="25" t="s">
        <v>251</v>
      </c>
      <c r="B18" s="26">
        <v>1155940</v>
      </c>
      <c r="C18" s="78">
        <v>1.283200783246025</v>
      </c>
      <c r="D18" s="26">
        <v>189.5387541607228</v>
      </c>
    </row>
    <row r="19" spans="1:4" ht="13.5" customHeight="1">
      <c r="A19" s="331" t="s">
        <v>252</v>
      </c>
      <c r="B19" s="332">
        <v>350997</v>
      </c>
      <c r="C19" s="338">
        <v>1.4514058350238634</v>
      </c>
      <c r="D19" s="332">
        <v>104.79086430810568</v>
      </c>
    </row>
    <row r="20" spans="1:4" ht="13.5" customHeight="1">
      <c r="A20" s="25" t="s">
        <v>253</v>
      </c>
      <c r="B20" s="26">
        <v>510993</v>
      </c>
      <c r="C20" s="78">
        <v>1.1040952208961805</v>
      </c>
      <c r="D20" s="26">
        <v>76.23347754736685</v>
      </c>
    </row>
    <row r="21" spans="1:4" ht="13.5" customHeight="1">
      <c r="A21" s="331" t="s">
        <v>254</v>
      </c>
      <c r="B21" s="332">
        <v>495907</v>
      </c>
      <c r="C21" s="338">
        <v>1.8623988003902456</v>
      </c>
      <c r="D21" s="332">
        <v>159.40437158469945</v>
      </c>
    </row>
    <row r="22" spans="1:4" ht="13.5" customHeight="1">
      <c r="A22" s="25" t="s">
        <v>255</v>
      </c>
      <c r="B22" s="26">
        <v>324382</v>
      </c>
      <c r="C22" s="78">
        <v>2.3459331058095514</v>
      </c>
      <c r="D22" s="26">
        <v>194.94110576923077</v>
      </c>
    </row>
    <row r="23" spans="1:4" ht="13.5" customHeight="1">
      <c r="A23" s="331" t="s">
        <v>256</v>
      </c>
      <c r="B23" s="332">
        <v>264039</v>
      </c>
      <c r="C23" s="338">
        <v>2.2053747568494964</v>
      </c>
      <c r="D23" s="332">
        <v>201.40274599542334</v>
      </c>
    </row>
    <row r="24" spans="1:4" ht="13.5" customHeight="1">
      <c r="A24" s="25" t="s">
        <v>257</v>
      </c>
      <c r="B24" s="26">
        <v>549289</v>
      </c>
      <c r="C24" s="78">
        <v>1.3862580738278851</v>
      </c>
      <c r="D24" s="26">
        <v>119.52758132956153</v>
      </c>
    </row>
    <row r="25" spans="1:4" ht="13.5" customHeight="1">
      <c r="A25" s="331" t="s">
        <v>258</v>
      </c>
      <c r="B25" s="332">
        <v>2071351</v>
      </c>
      <c r="C25" s="338">
        <v>1.696015383945609</v>
      </c>
      <c r="D25" s="332">
        <v>144.50613924933725</v>
      </c>
    </row>
    <row r="26" spans="1:4" ht="13.5" customHeight="1">
      <c r="A26" s="25" t="s">
        <v>259</v>
      </c>
      <c r="B26" s="26">
        <v>706548</v>
      </c>
      <c r="C26" s="78">
        <v>2.420324411055866</v>
      </c>
      <c r="D26" s="26">
        <v>215.5095317980784</v>
      </c>
    </row>
    <row r="27" spans="1:4" ht="13.5" customHeight="1">
      <c r="A27" s="331" t="s">
        <v>260</v>
      </c>
      <c r="B27" s="332">
        <v>875676</v>
      </c>
      <c r="C27" s="338">
        <v>2.7860143907616193</v>
      </c>
      <c r="D27" s="332">
        <v>258.69229337579503</v>
      </c>
    </row>
    <row r="28" spans="1:4" ht="13.5" customHeight="1">
      <c r="A28" s="25" t="s">
        <v>261</v>
      </c>
      <c r="B28" s="26">
        <v>288981</v>
      </c>
      <c r="C28" s="78">
        <v>1.657909860111973</v>
      </c>
      <c r="D28" s="26">
        <v>150.90391644908615</v>
      </c>
    </row>
    <row r="29" spans="1:4" ht="13.5" customHeight="1">
      <c r="A29" s="331" t="s">
        <v>262</v>
      </c>
      <c r="B29" s="332">
        <v>2552818</v>
      </c>
      <c r="C29" s="338">
        <v>2.213627278903373</v>
      </c>
      <c r="D29" s="332">
        <v>198.79437760386247</v>
      </c>
    </row>
    <row r="30" spans="1:4" ht="13.5" customHeight="1">
      <c r="A30" s="25" t="s">
        <v>263</v>
      </c>
      <c r="B30" s="26">
        <v>124118</v>
      </c>
      <c r="C30" s="78">
        <v>1.1823340519027483</v>
      </c>
      <c r="D30" s="26">
        <v>102.70417873396772</v>
      </c>
    </row>
    <row r="31" spans="1:4" ht="13.5" customHeight="1">
      <c r="A31" s="331" t="s">
        <v>264</v>
      </c>
      <c r="B31" s="332">
        <v>453248</v>
      </c>
      <c r="C31" s="338">
        <v>1.7009835957682888</v>
      </c>
      <c r="D31" s="332">
        <v>135.54066985645932</v>
      </c>
    </row>
    <row r="32" spans="1:4" ht="13.5" customHeight="1">
      <c r="A32" s="25" t="s">
        <v>265</v>
      </c>
      <c r="B32" s="26">
        <v>200401</v>
      </c>
      <c r="C32" s="78">
        <v>0.9726752897492524</v>
      </c>
      <c r="D32" s="26">
        <v>91.92706422018348</v>
      </c>
    </row>
    <row r="33" spans="1:4" ht="13.5" customHeight="1">
      <c r="A33" s="331" t="s">
        <v>266</v>
      </c>
      <c r="B33" s="332">
        <v>200559</v>
      </c>
      <c r="C33" s="338">
        <v>0.904222373447686</v>
      </c>
      <c r="D33" s="332">
        <v>88.02238314680712</v>
      </c>
    </row>
    <row r="34" spans="1:4" ht="13.5" customHeight="1">
      <c r="A34" s="25" t="s">
        <v>267</v>
      </c>
      <c r="B34" s="26">
        <v>374794</v>
      </c>
      <c r="C34" s="78">
        <v>1.8887983895165779</v>
      </c>
      <c r="D34" s="26">
        <v>176.2243746473575</v>
      </c>
    </row>
    <row r="35" spans="1:4" ht="13.5" customHeight="1">
      <c r="A35" s="331" t="s">
        <v>268</v>
      </c>
      <c r="B35" s="332">
        <v>1991728</v>
      </c>
      <c r="C35" s="338">
        <v>1.4483932950419511</v>
      </c>
      <c r="D35" s="332">
        <v>116.1154317029091</v>
      </c>
    </row>
    <row r="36" spans="1:4" ht="13.5" customHeight="1">
      <c r="A36" s="25" t="s">
        <v>269</v>
      </c>
      <c r="B36" s="26">
        <v>275325</v>
      </c>
      <c r="C36" s="78">
        <v>1.5649545223903172</v>
      </c>
      <c r="D36" s="26">
        <v>142.4340403517848</v>
      </c>
    </row>
    <row r="37" spans="1:4" ht="13.5" customHeight="1">
      <c r="A37" s="331" t="s">
        <v>270</v>
      </c>
      <c r="B37" s="332">
        <v>454991</v>
      </c>
      <c r="C37" s="338">
        <v>1.5542100043641713</v>
      </c>
      <c r="D37" s="332">
        <v>134.15627303553</v>
      </c>
    </row>
    <row r="38" spans="1:4" ht="13.5" customHeight="1">
      <c r="A38" s="25" t="s">
        <v>271</v>
      </c>
      <c r="B38" s="26">
        <v>1561457</v>
      </c>
      <c r="C38" s="78">
        <v>2.1063378787958094</v>
      </c>
      <c r="D38" s="26">
        <v>178.89179125852093</v>
      </c>
    </row>
    <row r="39" spans="1:4" ht="13.5" customHeight="1">
      <c r="A39" s="331" t="s">
        <v>272</v>
      </c>
      <c r="B39" s="332">
        <v>135075</v>
      </c>
      <c r="C39" s="338">
        <v>0.8578874165905741</v>
      </c>
      <c r="D39" s="332">
        <v>81.00449775112443</v>
      </c>
    </row>
    <row r="40" spans="1:4" ht="13.5" customHeight="1">
      <c r="A40" s="25" t="s">
        <v>273</v>
      </c>
      <c r="B40" s="26">
        <v>1462872</v>
      </c>
      <c r="C40" s="78">
        <v>1.9437942122323217</v>
      </c>
      <c r="D40" s="26">
        <v>166.36022471399005</v>
      </c>
    </row>
    <row r="41" spans="1:4" ht="13.5" customHeight="1">
      <c r="A41" s="331" t="s">
        <v>274</v>
      </c>
      <c r="B41" s="332">
        <v>947294</v>
      </c>
      <c r="C41" s="338">
        <v>2.0562842402364736</v>
      </c>
      <c r="D41" s="332">
        <v>203.04233201157433</v>
      </c>
    </row>
    <row r="42" spans="1:4" ht="13.5" customHeight="1">
      <c r="A42" s="25" t="s">
        <v>275</v>
      </c>
      <c r="B42" s="26">
        <v>207568</v>
      </c>
      <c r="C42" s="78">
        <v>1.2768800543655823</v>
      </c>
      <c r="D42" s="26">
        <v>123.25890736342043</v>
      </c>
    </row>
    <row r="43" spans="1:4" ht="13.5" customHeight="1">
      <c r="A43" s="331" t="s">
        <v>276</v>
      </c>
      <c r="B43" s="332">
        <v>167463</v>
      </c>
      <c r="C43" s="338">
        <v>1.7381770579685054</v>
      </c>
      <c r="D43" s="332">
        <v>153.21408966148215</v>
      </c>
    </row>
    <row r="44" spans="1:4" ht="13.5" customHeight="1">
      <c r="A44" s="25" t="s">
        <v>277</v>
      </c>
      <c r="B44" s="26">
        <v>58096</v>
      </c>
      <c r="C44" s="78">
        <v>0.7729923169119478</v>
      </c>
      <c r="D44" s="26">
        <v>73.39987365761213</v>
      </c>
    </row>
    <row r="45" spans="1:4" ht="13.5" customHeight="1">
      <c r="A45" s="331" t="s">
        <v>278</v>
      </c>
      <c r="B45" s="332">
        <v>143654.52</v>
      </c>
      <c r="C45" s="338">
        <v>1.2370342396170413</v>
      </c>
      <c r="D45" s="332">
        <v>99.00380427291525</v>
      </c>
    </row>
    <row r="46" spans="1:4" ht="13.5" customHeight="1">
      <c r="A46" s="25" t="s">
        <v>279</v>
      </c>
      <c r="B46" s="26">
        <v>4114687</v>
      </c>
      <c r="C46" s="78">
        <v>1.4513230062406168</v>
      </c>
      <c r="D46" s="26">
        <v>133.48538523925384</v>
      </c>
    </row>
    <row r="47" spans="1:4" ht="4.5" customHeight="1">
      <c r="A47" s="27"/>
      <c r="B47" s="28"/>
      <c r="C47"/>
      <c r="D47" s="28"/>
    </row>
    <row r="48" spans="1:5" ht="13.5" customHeight="1">
      <c r="A48" s="333" t="s">
        <v>280</v>
      </c>
      <c r="B48" s="334">
        <f>SUM(B11:B46)</f>
        <v>26260635.52</v>
      </c>
      <c r="C48" s="341">
        <v>1.6775118424266506</v>
      </c>
      <c r="D48" s="334">
        <v>149.86542695689633</v>
      </c>
      <c r="E48" s="4"/>
    </row>
    <row r="49" spans="1:4" ht="4.5" customHeight="1">
      <c r="A49" s="27" t="s">
        <v>32</v>
      </c>
      <c r="B49" s="28"/>
      <c r="C49"/>
      <c r="D49" s="28"/>
    </row>
    <row r="50" spans="1:4" ht="13.5" customHeight="1">
      <c r="A50" s="25" t="s">
        <v>281</v>
      </c>
      <c r="B50" s="26">
        <v>99881</v>
      </c>
      <c r="C50" s="78">
        <v>3.93762312340903</v>
      </c>
      <c r="D50" s="26">
        <v>437.4989049496277</v>
      </c>
    </row>
    <row r="51" spans="1:4" ht="13.5" customHeight="1">
      <c r="A51" s="331" t="s">
        <v>282</v>
      </c>
      <c r="B51" s="332">
        <v>562231</v>
      </c>
      <c r="C51" s="338">
        <v>5.059198446510385</v>
      </c>
      <c r="D51" s="332">
        <v>860.9969372128637</v>
      </c>
    </row>
    <row r="52" spans="1:5" ht="49.5" customHeight="1">
      <c r="A52" s="29"/>
      <c r="B52" s="29"/>
      <c r="C52" s="29"/>
      <c r="D52" s="29"/>
      <c r="E52" s="29"/>
    </row>
    <row r="53" ht="15" customHeight="1">
      <c r="A53" s="2" t="s">
        <v>477</v>
      </c>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58"/>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ustomWidth="1"/>
  </cols>
  <sheetData>
    <row r="1" spans="1:6" ht="6.75" customHeight="1">
      <c r="A1" s="5"/>
      <c r="B1" s="6"/>
      <c r="C1" s="6"/>
      <c r="D1" s="6"/>
      <c r="E1" s="6"/>
      <c r="F1" s="6"/>
    </row>
    <row r="2" spans="1:6" ht="15.75" customHeight="1">
      <c r="A2" s="7" t="s">
        <v>506</v>
      </c>
      <c r="B2" s="8"/>
      <c r="C2" s="8"/>
      <c r="D2" s="8"/>
      <c r="E2" s="8"/>
      <c r="F2" s="8"/>
    </row>
    <row r="3" spans="1:6" ht="15.75" customHeight="1">
      <c r="A3" s="9" t="s">
        <v>630</v>
      </c>
      <c r="B3" s="10"/>
      <c r="C3" s="11"/>
      <c r="D3" s="10"/>
      <c r="E3" s="10"/>
      <c r="F3" s="10"/>
    </row>
    <row r="4" spans="2:6" ht="15.75" customHeight="1">
      <c r="B4" s="6"/>
      <c r="C4" s="6"/>
      <c r="D4" s="6"/>
      <c r="E4" s="6"/>
      <c r="F4" s="6"/>
    </row>
    <row r="5" spans="2:6" ht="15.75" customHeight="1">
      <c r="B5" s="6"/>
      <c r="C5" s="6"/>
      <c r="D5" s="6"/>
      <c r="E5" s="6"/>
      <c r="F5" s="6"/>
    </row>
    <row r="6" spans="2:6" ht="15.75" customHeight="1">
      <c r="B6" s="12"/>
      <c r="C6" s="13" t="s">
        <v>57</v>
      </c>
      <c r="D6" s="14"/>
      <c r="E6" s="15" t="s">
        <v>57</v>
      </c>
      <c r="F6" s="15" t="s">
        <v>58</v>
      </c>
    </row>
    <row r="7" spans="2:6" ht="15.75" customHeight="1">
      <c r="B7" s="12"/>
      <c r="C7" s="16" t="s">
        <v>134</v>
      </c>
      <c r="D7" s="17"/>
      <c r="E7" s="18" t="s">
        <v>428</v>
      </c>
      <c r="F7" s="508" t="s">
        <v>286</v>
      </c>
    </row>
    <row r="8" spans="1:6" ht="15.75" customHeight="1">
      <c r="A8" s="19"/>
      <c r="B8" s="20" t="s">
        <v>83</v>
      </c>
      <c r="C8" s="16" t="s">
        <v>147</v>
      </c>
      <c r="D8" s="18" t="s">
        <v>521</v>
      </c>
      <c r="E8" s="18" t="s">
        <v>105</v>
      </c>
      <c r="F8" s="18" t="s">
        <v>106</v>
      </c>
    </row>
    <row r="9" spans="1:6" ht="14.25">
      <c r="A9" s="21" t="s">
        <v>108</v>
      </c>
      <c r="B9" s="22" t="s">
        <v>365</v>
      </c>
      <c r="C9" s="22" t="s">
        <v>366</v>
      </c>
      <c r="D9" s="507" t="s">
        <v>520</v>
      </c>
      <c r="E9" s="23" t="s">
        <v>367</v>
      </c>
      <c r="F9" s="23" t="s">
        <v>368</v>
      </c>
    </row>
    <row r="10" ht="4.5" customHeight="1">
      <c r="A10" s="24"/>
    </row>
    <row r="11" spans="1:6" ht="13.5" customHeight="1">
      <c r="A11" s="331" t="s">
        <v>245</v>
      </c>
      <c r="B11" s="332">
        <v>12123571.02</v>
      </c>
      <c r="C11" s="332">
        <v>-51095</v>
      </c>
      <c r="D11" s="332">
        <f>B11+C11</f>
        <v>12072476.02</v>
      </c>
      <c r="E11" s="332">
        <f>-'- 15 -'!H11-'- 16 -'!B11</f>
        <v>-12514</v>
      </c>
      <c r="F11" s="332">
        <f>D11+E11</f>
        <v>12059962.02</v>
      </c>
    </row>
    <row r="12" spans="1:6" ht="13.5" customHeight="1">
      <c r="A12" s="25" t="s">
        <v>246</v>
      </c>
      <c r="B12" s="26">
        <v>22209271.36</v>
      </c>
      <c r="C12" s="26">
        <v>-212201</v>
      </c>
      <c r="D12" s="26">
        <f aca="true" t="shared" si="0" ref="D12:D46">B12+C12</f>
        <v>21997070.36</v>
      </c>
      <c r="E12" s="26">
        <f>-'- 15 -'!H12-'- 16 -'!B12</f>
        <v>-472853</v>
      </c>
      <c r="F12" s="26">
        <f aca="true" t="shared" si="1" ref="F12:F46">D12+E12</f>
        <v>21524217.36</v>
      </c>
    </row>
    <row r="13" spans="1:6" ht="13.5" customHeight="1">
      <c r="A13" s="331" t="s">
        <v>247</v>
      </c>
      <c r="B13" s="332">
        <v>53829558</v>
      </c>
      <c r="C13" s="332">
        <v>-136370</v>
      </c>
      <c r="D13" s="332">
        <f t="shared" si="0"/>
        <v>53693188</v>
      </c>
      <c r="E13" s="332">
        <f>-'- 15 -'!H13-'- 16 -'!B13</f>
        <v>-152802</v>
      </c>
      <c r="F13" s="332">
        <f t="shared" si="1"/>
        <v>53540386</v>
      </c>
    </row>
    <row r="14" spans="1:6" ht="13.5" customHeight="1">
      <c r="A14" s="25" t="s">
        <v>283</v>
      </c>
      <c r="B14" s="26">
        <v>49304328</v>
      </c>
      <c r="C14" s="26">
        <v>-183203</v>
      </c>
      <c r="D14" s="26">
        <f t="shared" si="0"/>
        <v>49121125</v>
      </c>
      <c r="E14" s="26">
        <f>-'- 15 -'!H14-'- 16 -'!B14</f>
        <v>-611837</v>
      </c>
      <c r="F14" s="26">
        <f t="shared" si="1"/>
        <v>48509288</v>
      </c>
    </row>
    <row r="15" spans="1:6" ht="13.5" customHeight="1">
      <c r="A15" s="331" t="s">
        <v>248</v>
      </c>
      <c r="B15" s="332">
        <v>14193364</v>
      </c>
      <c r="C15" s="332">
        <v>-51979</v>
      </c>
      <c r="D15" s="332">
        <f t="shared" si="0"/>
        <v>14141385</v>
      </c>
      <c r="E15" s="332">
        <f>-'- 15 -'!H15-'- 16 -'!B15</f>
        <v>-193919</v>
      </c>
      <c r="F15" s="332">
        <f t="shared" si="1"/>
        <v>13947466</v>
      </c>
    </row>
    <row r="16" spans="1:6" ht="13.5" customHeight="1">
      <c r="A16" s="25" t="s">
        <v>249</v>
      </c>
      <c r="B16" s="26">
        <v>11117433.769688739</v>
      </c>
      <c r="C16" s="26">
        <v>0</v>
      </c>
      <c r="D16" s="26">
        <f t="shared" si="0"/>
        <v>11117433.769688739</v>
      </c>
      <c r="E16" s="26">
        <f>-'- 15 -'!H16-'- 16 -'!B16</f>
        <v>-93549.7696887384</v>
      </c>
      <c r="F16" s="26">
        <f t="shared" si="1"/>
        <v>11023884</v>
      </c>
    </row>
    <row r="17" spans="1:6" ht="13.5" customHeight="1">
      <c r="A17" s="331" t="s">
        <v>250</v>
      </c>
      <c r="B17" s="332">
        <v>13495331</v>
      </c>
      <c r="C17" s="332">
        <v>-139902</v>
      </c>
      <c r="D17" s="332">
        <f t="shared" si="0"/>
        <v>13355429</v>
      </c>
      <c r="E17" s="332">
        <f>-'- 15 -'!H17-'- 16 -'!B17</f>
        <v>-122903</v>
      </c>
      <c r="F17" s="332">
        <f t="shared" si="1"/>
        <v>13232526</v>
      </c>
    </row>
    <row r="18" spans="1:6" ht="13.5" customHeight="1">
      <c r="A18" s="25" t="s">
        <v>251</v>
      </c>
      <c r="B18" s="26">
        <v>91200271</v>
      </c>
      <c r="C18" s="26">
        <v>-4211871</v>
      </c>
      <c r="D18" s="26">
        <f t="shared" si="0"/>
        <v>86988400</v>
      </c>
      <c r="E18" s="26">
        <f>-'- 15 -'!H18-'- 16 -'!B18</f>
        <v>-3242746</v>
      </c>
      <c r="F18" s="26">
        <f t="shared" si="1"/>
        <v>83745654</v>
      </c>
    </row>
    <row r="19" spans="1:6" ht="13.5" customHeight="1">
      <c r="A19" s="331" t="s">
        <v>252</v>
      </c>
      <c r="B19" s="332">
        <v>24962171</v>
      </c>
      <c r="C19" s="332">
        <v>-198810</v>
      </c>
      <c r="D19" s="332">
        <f t="shared" si="0"/>
        <v>24763361</v>
      </c>
      <c r="E19" s="332">
        <f>-'- 15 -'!H19-'- 16 -'!B19</f>
        <v>-25087</v>
      </c>
      <c r="F19" s="332">
        <f t="shared" si="1"/>
        <v>24738274</v>
      </c>
    </row>
    <row r="20" spans="1:6" ht="13.5" customHeight="1">
      <c r="A20" s="25" t="s">
        <v>253</v>
      </c>
      <c r="B20" s="26">
        <v>46474125</v>
      </c>
      <c r="C20" s="26">
        <v>-344477</v>
      </c>
      <c r="D20" s="26">
        <f t="shared" si="0"/>
        <v>46129648</v>
      </c>
      <c r="E20" s="26">
        <f>-'- 15 -'!H20-'- 16 -'!B20</f>
        <v>-146528</v>
      </c>
      <c r="F20" s="26">
        <f t="shared" si="1"/>
        <v>45983120</v>
      </c>
    </row>
    <row r="21" spans="1:6" ht="13.5" customHeight="1">
      <c r="A21" s="331" t="s">
        <v>254</v>
      </c>
      <c r="B21" s="332">
        <v>26906972</v>
      </c>
      <c r="C21" s="332">
        <v>-446242</v>
      </c>
      <c r="D21" s="332">
        <f t="shared" si="0"/>
        <v>26460730</v>
      </c>
      <c r="E21" s="332">
        <f>-'- 15 -'!H21-'- 16 -'!B21</f>
        <v>-96858</v>
      </c>
      <c r="F21" s="332">
        <f t="shared" si="1"/>
        <v>26363872</v>
      </c>
    </row>
    <row r="22" spans="1:6" ht="13.5" customHeight="1">
      <c r="A22" s="25" t="s">
        <v>255</v>
      </c>
      <c r="B22" s="26">
        <v>14998274</v>
      </c>
      <c r="C22" s="26">
        <v>-15753</v>
      </c>
      <c r="D22" s="26">
        <f t="shared" si="0"/>
        <v>14982521</v>
      </c>
      <c r="E22" s="26">
        <f>-'- 15 -'!H22-'- 16 -'!B22</f>
        <v>-537700</v>
      </c>
      <c r="F22" s="26">
        <f t="shared" si="1"/>
        <v>14444821</v>
      </c>
    </row>
    <row r="23" spans="1:6" ht="13.5" customHeight="1">
      <c r="A23" s="331" t="s">
        <v>256</v>
      </c>
      <c r="B23" s="332">
        <v>12559543</v>
      </c>
      <c r="C23" s="332">
        <v>-35958</v>
      </c>
      <c r="D23" s="332">
        <f t="shared" si="0"/>
        <v>12523585</v>
      </c>
      <c r="E23" s="332">
        <f>-'- 15 -'!H23-'- 16 -'!B23</f>
        <v>-449514</v>
      </c>
      <c r="F23" s="332">
        <f t="shared" si="1"/>
        <v>12074071</v>
      </c>
    </row>
    <row r="24" spans="1:6" ht="13.5" customHeight="1">
      <c r="A24" s="25" t="s">
        <v>257</v>
      </c>
      <c r="B24" s="26">
        <v>40173347</v>
      </c>
      <c r="C24" s="26">
        <v>-194659</v>
      </c>
      <c r="D24" s="26">
        <f t="shared" si="0"/>
        <v>39978688</v>
      </c>
      <c r="E24" s="26">
        <f>-'- 15 -'!H24-'- 16 -'!B24</f>
        <v>-643429</v>
      </c>
      <c r="F24" s="26">
        <f t="shared" si="1"/>
        <v>39335259</v>
      </c>
    </row>
    <row r="25" spans="1:6" ht="13.5" customHeight="1">
      <c r="A25" s="331" t="s">
        <v>258</v>
      </c>
      <c r="B25" s="332">
        <v>125960401</v>
      </c>
      <c r="C25" s="332">
        <v>-1416923</v>
      </c>
      <c r="D25" s="332">
        <f t="shared" si="0"/>
        <v>124543478</v>
      </c>
      <c r="E25" s="332">
        <f>-'- 15 -'!H25-'- 16 -'!B25</f>
        <v>-781257</v>
      </c>
      <c r="F25" s="332">
        <f t="shared" si="1"/>
        <v>123762221</v>
      </c>
    </row>
    <row r="26" spans="1:6" ht="13.5" customHeight="1">
      <c r="A26" s="25" t="s">
        <v>259</v>
      </c>
      <c r="B26" s="26">
        <v>30230123</v>
      </c>
      <c r="C26" s="26">
        <v>-38952</v>
      </c>
      <c r="D26" s="26">
        <f t="shared" si="0"/>
        <v>30191171</v>
      </c>
      <c r="E26" s="26">
        <f>-'- 15 -'!H26-'- 16 -'!B26</f>
        <v>-170224</v>
      </c>
      <c r="F26" s="26">
        <f t="shared" si="1"/>
        <v>30020947</v>
      </c>
    </row>
    <row r="27" spans="1:6" ht="13.5" customHeight="1">
      <c r="A27" s="331" t="s">
        <v>260</v>
      </c>
      <c r="B27" s="332">
        <v>31688866</v>
      </c>
      <c r="C27" s="332">
        <v>-100</v>
      </c>
      <c r="D27" s="332">
        <f t="shared" si="0"/>
        <v>31688766</v>
      </c>
      <c r="E27" s="332">
        <f>-'- 15 -'!H27-'- 16 -'!B27</f>
        <v>-163585</v>
      </c>
      <c r="F27" s="332">
        <f t="shared" si="1"/>
        <v>31525181</v>
      </c>
    </row>
    <row r="28" spans="1:6" ht="13.5" customHeight="1">
      <c r="A28" s="25" t="s">
        <v>261</v>
      </c>
      <c r="B28" s="26">
        <v>17536858</v>
      </c>
      <c r="C28" s="26">
        <v>-92824</v>
      </c>
      <c r="D28" s="26">
        <f t="shared" si="0"/>
        <v>17444034</v>
      </c>
      <c r="E28" s="26">
        <f>-'- 15 -'!H28-'- 16 -'!B28</f>
        <v>-15225</v>
      </c>
      <c r="F28" s="26">
        <f t="shared" si="1"/>
        <v>17428809</v>
      </c>
    </row>
    <row r="29" spans="1:6" ht="13.5" customHeight="1">
      <c r="A29" s="331" t="s">
        <v>262</v>
      </c>
      <c r="B29" s="332">
        <v>115812923</v>
      </c>
      <c r="C29" s="332">
        <v>-1842859</v>
      </c>
      <c r="D29" s="332">
        <f t="shared" si="0"/>
        <v>113970064</v>
      </c>
      <c r="E29" s="332">
        <f>-'- 15 -'!H29-'- 16 -'!B29</f>
        <v>-567894</v>
      </c>
      <c r="F29" s="332">
        <f t="shared" si="1"/>
        <v>113402170</v>
      </c>
    </row>
    <row r="30" spans="1:6" ht="13.5" customHeight="1">
      <c r="A30" s="25" t="s">
        <v>263</v>
      </c>
      <c r="B30" s="26">
        <v>11261272</v>
      </c>
      <c r="C30" s="26">
        <v>-34796</v>
      </c>
      <c r="D30" s="26">
        <f t="shared" si="0"/>
        <v>11226476</v>
      </c>
      <c r="E30" s="26">
        <f>-'- 15 -'!H30-'- 16 -'!B30</f>
        <v>-12226</v>
      </c>
      <c r="F30" s="26">
        <f t="shared" si="1"/>
        <v>11214250</v>
      </c>
    </row>
    <row r="31" spans="1:6" ht="13.5" customHeight="1">
      <c r="A31" s="331" t="s">
        <v>264</v>
      </c>
      <c r="B31" s="332">
        <v>28135215.07</v>
      </c>
      <c r="C31" s="332">
        <v>-451622</v>
      </c>
      <c r="D31" s="332">
        <f t="shared" si="0"/>
        <v>27683593.07</v>
      </c>
      <c r="E31" s="332">
        <f>-'- 15 -'!H31-'- 16 -'!B31</f>
        <v>-169647</v>
      </c>
      <c r="F31" s="332">
        <f t="shared" si="1"/>
        <v>27513946.07</v>
      </c>
    </row>
    <row r="32" spans="1:6" ht="13.5" customHeight="1">
      <c r="A32" s="25" t="s">
        <v>265</v>
      </c>
      <c r="B32" s="26">
        <v>20415604</v>
      </c>
      <c r="C32" s="26">
        <v>-208405</v>
      </c>
      <c r="D32" s="26">
        <f t="shared" si="0"/>
        <v>20207199</v>
      </c>
      <c r="E32" s="26">
        <f>-'- 15 -'!H32-'- 16 -'!B32</f>
        <v>-255449</v>
      </c>
      <c r="F32" s="26">
        <f t="shared" si="1"/>
        <v>19951750</v>
      </c>
    </row>
    <row r="33" spans="1:6" ht="13.5" customHeight="1">
      <c r="A33" s="331" t="s">
        <v>266</v>
      </c>
      <c r="B33" s="332">
        <v>22893601</v>
      </c>
      <c r="C33" s="332">
        <v>-146310</v>
      </c>
      <c r="D33" s="332">
        <f t="shared" si="0"/>
        <v>22747291</v>
      </c>
      <c r="E33" s="332">
        <f>-'- 15 -'!H33-'- 16 -'!B33</f>
        <v>-18115</v>
      </c>
      <c r="F33" s="332">
        <f t="shared" si="1"/>
        <v>22729176</v>
      </c>
    </row>
    <row r="34" spans="1:6" ht="13.5" customHeight="1">
      <c r="A34" s="25" t="s">
        <v>267</v>
      </c>
      <c r="B34" s="26">
        <v>19528772</v>
      </c>
      <c r="C34" s="26">
        <v>-313502</v>
      </c>
      <c r="D34" s="26">
        <f t="shared" si="0"/>
        <v>19215270</v>
      </c>
      <c r="E34" s="26">
        <f>-'- 15 -'!H34-'- 16 -'!B34</f>
        <v>-20014</v>
      </c>
      <c r="F34" s="26">
        <f t="shared" si="1"/>
        <v>19195256</v>
      </c>
    </row>
    <row r="35" spans="1:6" ht="13.5" customHeight="1">
      <c r="A35" s="331" t="s">
        <v>268</v>
      </c>
      <c r="B35" s="332">
        <v>143313795.54000002</v>
      </c>
      <c r="C35" s="332">
        <v>-755626</v>
      </c>
      <c r="D35" s="332">
        <f t="shared" si="0"/>
        <v>142558169.54000002</v>
      </c>
      <c r="E35" s="332">
        <f>-'- 15 -'!H35-'- 16 -'!B35</f>
        <v>-1744843</v>
      </c>
      <c r="F35" s="332">
        <f t="shared" si="1"/>
        <v>140813326.54000002</v>
      </c>
    </row>
    <row r="36" spans="1:6" ht="13.5" customHeight="1">
      <c r="A36" s="25" t="s">
        <v>269</v>
      </c>
      <c r="B36" s="26">
        <v>18090210</v>
      </c>
      <c r="C36" s="26">
        <v>-144391</v>
      </c>
      <c r="D36" s="26">
        <f t="shared" si="0"/>
        <v>17945819</v>
      </c>
      <c r="E36" s="26">
        <f>-'- 15 -'!H36-'- 16 -'!B36</f>
        <v>-145744</v>
      </c>
      <c r="F36" s="26">
        <f t="shared" si="1"/>
        <v>17800075</v>
      </c>
    </row>
    <row r="37" spans="1:6" ht="13.5" customHeight="1">
      <c r="A37" s="331" t="s">
        <v>270</v>
      </c>
      <c r="B37" s="332">
        <v>30459097</v>
      </c>
      <c r="C37" s="332">
        <v>-611302</v>
      </c>
      <c r="D37" s="332">
        <f t="shared" si="0"/>
        <v>29847795</v>
      </c>
      <c r="E37" s="332">
        <f>-'- 15 -'!H37-'- 16 -'!B37</f>
        <v>-281035</v>
      </c>
      <c r="F37" s="332">
        <f t="shared" si="1"/>
        <v>29566760</v>
      </c>
    </row>
    <row r="38" spans="1:6" ht="13.5" customHeight="1">
      <c r="A38" s="25" t="s">
        <v>271</v>
      </c>
      <c r="B38" s="26">
        <v>75227995</v>
      </c>
      <c r="C38" s="26">
        <v>-1033434</v>
      </c>
      <c r="D38" s="26">
        <f t="shared" si="0"/>
        <v>74194561</v>
      </c>
      <c r="E38" s="26">
        <f>-'- 15 -'!H38-'- 16 -'!B38</f>
        <v>-1120496</v>
      </c>
      <c r="F38" s="26">
        <f t="shared" si="1"/>
        <v>73074065</v>
      </c>
    </row>
    <row r="39" spans="1:6" ht="13.5" customHeight="1">
      <c r="A39" s="331" t="s">
        <v>272</v>
      </c>
      <c r="B39" s="332">
        <v>16430487</v>
      </c>
      <c r="C39" s="332">
        <v>-85269</v>
      </c>
      <c r="D39" s="332">
        <f t="shared" si="0"/>
        <v>16345218</v>
      </c>
      <c r="E39" s="332">
        <f>-'- 15 -'!H39-'- 16 -'!B39</f>
        <v>-50078</v>
      </c>
      <c r="F39" s="332">
        <f t="shared" si="1"/>
        <v>16295140</v>
      </c>
    </row>
    <row r="40" spans="1:6" ht="13.5" customHeight="1">
      <c r="A40" s="25" t="s">
        <v>273</v>
      </c>
      <c r="B40" s="26">
        <v>76996983</v>
      </c>
      <c r="C40" s="26">
        <v>-583467</v>
      </c>
      <c r="D40" s="26">
        <f t="shared" si="0"/>
        <v>76413516</v>
      </c>
      <c r="E40" s="26">
        <f>-'- 15 -'!H40-'- 16 -'!B40</f>
        <v>-644154</v>
      </c>
      <c r="F40" s="26">
        <f t="shared" si="1"/>
        <v>75769362</v>
      </c>
    </row>
    <row r="41" spans="1:6" ht="13.5" customHeight="1">
      <c r="A41" s="331" t="s">
        <v>274</v>
      </c>
      <c r="B41" s="332">
        <v>47159212</v>
      </c>
      <c r="C41" s="332">
        <v>-547807</v>
      </c>
      <c r="D41" s="332">
        <f t="shared" si="0"/>
        <v>46611405</v>
      </c>
      <c r="E41" s="332">
        <f>-'- 15 -'!H41-'- 16 -'!B41</f>
        <v>-1064719</v>
      </c>
      <c r="F41" s="332">
        <f t="shared" si="1"/>
        <v>45546686</v>
      </c>
    </row>
    <row r="42" spans="1:6" ht="13.5" customHeight="1">
      <c r="A42" s="25" t="s">
        <v>275</v>
      </c>
      <c r="B42" s="26">
        <v>16516943</v>
      </c>
      <c r="C42" s="26">
        <v>0</v>
      </c>
      <c r="D42" s="26">
        <f t="shared" si="0"/>
        <v>16516943</v>
      </c>
      <c r="E42" s="26">
        <f>-'- 15 -'!H42-'- 16 -'!B42</f>
        <v>-65688</v>
      </c>
      <c r="F42" s="26">
        <f t="shared" si="1"/>
        <v>16451255</v>
      </c>
    </row>
    <row r="43" spans="1:6" ht="13.5" customHeight="1">
      <c r="A43" s="331" t="s">
        <v>276</v>
      </c>
      <c r="B43" s="332">
        <v>10214847</v>
      </c>
      <c r="C43" s="332">
        <v>-32572</v>
      </c>
      <c r="D43" s="332">
        <f t="shared" si="0"/>
        <v>10182275</v>
      </c>
      <c r="E43" s="332">
        <f>-'- 15 -'!H43-'- 16 -'!B43</f>
        <v>-172637</v>
      </c>
      <c r="F43" s="332">
        <f t="shared" si="1"/>
        <v>10009638</v>
      </c>
    </row>
    <row r="44" spans="1:6" ht="13.5" customHeight="1">
      <c r="A44" s="25" t="s">
        <v>277</v>
      </c>
      <c r="B44" s="26">
        <v>7893304</v>
      </c>
      <c r="C44" s="26">
        <v>-162692</v>
      </c>
      <c r="D44" s="26">
        <f t="shared" si="0"/>
        <v>7730612</v>
      </c>
      <c r="E44" s="26">
        <f>-'- 15 -'!H44-'- 16 -'!B44</f>
        <v>-6742</v>
      </c>
      <c r="F44" s="26">
        <f t="shared" si="1"/>
        <v>7723870</v>
      </c>
    </row>
    <row r="45" spans="1:6" ht="13.5" customHeight="1">
      <c r="A45" s="331" t="s">
        <v>278</v>
      </c>
      <c r="B45" s="332">
        <v>11781385.309999999</v>
      </c>
      <c r="C45" s="332">
        <v>-130182.68</v>
      </c>
      <c r="D45" s="332">
        <f t="shared" si="0"/>
        <v>11651202.629999999</v>
      </c>
      <c r="E45" s="332">
        <f>-'- 15 -'!H45-'- 16 -'!B45</f>
        <v>-469418.63</v>
      </c>
      <c r="F45" s="332">
        <f t="shared" si="1"/>
        <v>11181783.999999998</v>
      </c>
    </row>
    <row r="46" spans="1:6" ht="13.5" customHeight="1">
      <c r="A46" s="25" t="s">
        <v>279</v>
      </c>
      <c r="B46" s="26">
        <v>292420846</v>
      </c>
      <c r="C46" s="26">
        <v>-2053485</v>
      </c>
      <c r="D46" s="26">
        <f t="shared" si="0"/>
        <v>290367361</v>
      </c>
      <c r="E46" s="26">
        <f>-'- 15 -'!H46-'- 16 -'!B46</f>
        <v>-6857609</v>
      </c>
      <c r="F46" s="26">
        <f t="shared" si="1"/>
        <v>283509752</v>
      </c>
    </row>
    <row r="47" spans="1:7" ht="4.5" customHeight="1">
      <c r="A47"/>
      <c r="B47"/>
      <c r="C47"/>
      <c r="D47"/>
      <c r="E47"/>
      <c r="F47"/>
      <c r="G47"/>
    </row>
    <row r="48" spans="1:6" ht="13.5" customHeight="1">
      <c r="A48" s="333" t="s">
        <v>280</v>
      </c>
      <c r="B48" s="334">
        <f>SUM(B11:B46)</f>
        <v>1603516300.0696888</v>
      </c>
      <c r="C48" s="334">
        <f>SUM(C11:C46)</f>
        <v>-16909040.68</v>
      </c>
      <c r="D48" s="334">
        <f>SUM(D11:D46)</f>
        <v>1586607259.389689</v>
      </c>
      <c r="E48" s="334">
        <f>SUM(E11:E46)</f>
        <v>-21599039.39968874</v>
      </c>
      <c r="F48" s="334">
        <f>SUM(F11:F46)</f>
        <v>1565008219.99</v>
      </c>
    </row>
    <row r="49" spans="1:6" ht="4.5" customHeight="1">
      <c r="A49" s="27" t="s">
        <v>32</v>
      </c>
      <c r="B49" s="28"/>
      <c r="C49" s="28"/>
      <c r="D49" s="28"/>
      <c r="E49" s="28"/>
      <c r="F49" s="28"/>
    </row>
    <row r="50" spans="1:6" ht="13.5" customHeight="1">
      <c r="A50" s="25" t="s">
        <v>281</v>
      </c>
      <c r="B50" s="26">
        <v>2639668</v>
      </c>
      <c r="C50" s="26">
        <v>-3746</v>
      </c>
      <c r="D50" s="26">
        <f>B50+C50</f>
        <v>2635922</v>
      </c>
      <c r="E50" s="26">
        <f>-'- 15 -'!H50-'- 16 -'!B50</f>
        <v>-5000</v>
      </c>
      <c r="F50" s="26">
        <f>D50+E50</f>
        <v>2630922</v>
      </c>
    </row>
    <row r="51" spans="1:6" ht="13.5" customHeight="1">
      <c r="A51" s="331" t="s">
        <v>282</v>
      </c>
      <c r="B51" s="332">
        <v>10488188</v>
      </c>
      <c r="C51" s="332">
        <v>-369449</v>
      </c>
      <c r="D51" s="332">
        <f>B51+C51</f>
        <v>10118739</v>
      </c>
      <c r="E51" s="332">
        <f>-'- 15 -'!H51-'- 16 -'!B51</f>
        <v>-2991199</v>
      </c>
      <c r="F51" s="332">
        <f>D51+E51</f>
        <v>7127540</v>
      </c>
    </row>
    <row r="52" spans="1:6" ht="49.5" customHeight="1">
      <c r="A52" s="29"/>
      <c r="B52" s="29"/>
      <c r="C52" s="29"/>
      <c r="D52" s="29"/>
      <c r="E52" s="29"/>
      <c r="F52" s="29"/>
    </row>
    <row r="53" spans="1:6" ht="14.25" customHeight="1">
      <c r="A53" s="522" t="s">
        <v>522</v>
      </c>
      <c r="B53" s="31"/>
      <c r="C53" s="31"/>
      <c r="D53" s="31"/>
      <c r="E53" s="31"/>
      <c r="F53" s="31"/>
    </row>
    <row r="54" spans="1:6" ht="12" customHeight="1">
      <c r="A54" s="126" t="s">
        <v>369</v>
      </c>
      <c r="B54" s="31"/>
      <c r="C54" s="31"/>
      <c r="D54" s="31"/>
      <c r="E54" s="31"/>
      <c r="F54" s="31"/>
    </row>
    <row r="55" spans="1:6" ht="12" customHeight="1">
      <c r="A55" s="32" t="s">
        <v>364</v>
      </c>
      <c r="B55" s="31"/>
      <c r="C55" s="31"/>
      <c r="D55" s="31"/>
      <c r="E55" s="31"/>
      <c r="F55" s="31"/>
    </row>
    <row r="56" spans="1:6" ht="12" customHeight="1">
      <c r="A56" s="126" t="s">
        <v>370</v>
      </c>
      <c r="B56" s="31"/>
      <c r="C56" s="31"/>
      <c r="D56" s="31"/>
      <c r="E56" s="31"/>
      <c r="F56" s="31"/>
    </row>
    <row r="57" spans="1:6" ht="12" customHeight="1">
      <c r="A57" s="522" t="s">
        <v>523</v>
      </c>
      <c r="B57" s="31"/>
      <c r="C57" s="31"/>
      <c r="D57" s="31"/>
      <c r="E57" s="31"/>
      <c r="F57" s="31"/>
    </row>
    <row r="58" spans="1:6" ht="12" customHeight="1">
      <c r="A58" s="126" t="s">
        <v>371</v>
      </c>
      <c r="B58" s="31"/>
      <c r="C58" s="31"/>
      <c r="D58" s="31"/>
      <c r="E58" s="31"/>
      <c r="F58" s="31"/>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1"/>
  <sheetViews>
    <sheetView showGridLines="0" showZeros="0" workbookViewId="0" topLeftCell="A1">
      <selection activeCell="A1" sqref="A1"/>
    </sheetView>
  </sheetViews>
  <sheetFormatPr defaultColWidth="15.83203125" defaultRowHeight="12"/>
  <cols>
    <col min="1" max="1" width="32.83203125" style="1" customWidth="1"/>
    <col min="2" max="2" width="23.83203125" style="1" customWidth="1"/>
    <col min="3" max="3" width="12.83203125" style="1" customWidth="1"/>
    <col min="4" max="4" width="22.83203125" style="1" customWidth="1"/>
    <col min="5" max="5" width="12.83203125" style="1" customWidth="1"/>
    <col min="6" max="6" width="27.83203125" style="1" customWidth="1"/>
    <col min="7" max="16384" width="15.83203125" style="1" customWidth="1"/>
  </cols>
  <sheetData>
    <row r="1" spans="1:5" ht="6.75" customHeight="1">
      <c r="A1" s="5"/>
      <c r="B1" s="6"/>
      <c r="C1" s="6"/>
      <c r="D1" s="6"/>
      <c r="E1" s="6"/>
    </row>
    <row r="2" spans="1:6" ht="15.75" customHeight="1">
      <c r="A2" s="154"/>
      <c r="B2" s="7" t="s">
        <v>528</v>
      </c>
      <c r="C2" s="8"/>
      <c r="D2" s="8"/>
      <c r="E2" s="155"/>
      <c r="F2" s="496" t="s">
        <v>488</v>
      </c>
    </row>
    <row r="3" spans="1:6" ht="15.75" customHeight="1">
      <c r="A3" s="156"/>
      <c r="B3" s="9" t="str">
        <f>OPYEAR</f>
        <v>OPERATING FUND 2006/2007 ACTUAL</v>
      </c>
      <c r="C3" s="10"/>
      <c r="D3" s="10"/>
      <c r="E3" s="73"/>
      <c r="F3" s="73"/>
    </row>
    <row r="4" spans="2:5" ht="15.75" customHeight="1">
      <c r="B4" s="6"/>
      <c r="C4" s="6"/>
      <c r="D4" s="6"/>
      <c r="E4" s="6"/>
    </row>
    <row r="5" spans="2:5" ht="15.75" customHeight="1">
      <c r="B5" s="175" t="s">
        <v>288</v>
      </c>
      <c r="C5" s="195"/>
      <c r="D5" s="45"/>
      <c r="E5" s="206"/>
    </row>
    <row r="6" spans="2:5" ht="15.75" customHeight="1">
      <c r="B6" s="359" t="s">
        <v>59</v>
      </c>
      <c r="C6" s="362"/>
      <c r="D6" s="393"/>
      <c r="E6" s="394"/>
    </row>
    <row r="7" spans="2:5" ht="15.75" customHeight="1">
      <c r="B7" s="345" t="s">
        <v>229</v>
      </c>
      <c r="C7" s="346"/>
      <c r="D7" s="345" t="s">
        <v>186</v>
      </c>
      <c r="E7" s="347"/>
    </row>
    <row r="8" spans="1:5" ht="15.75" customHeight="1">
      <c r="A8" s="74"/>
      <c r="B8" s="159"/>
      <c r="C8" s="157"/>
      <c r="D8" s="159"/>
      <c r="E8" s="157"/>
    </row>
    <row r="9" spans="1:5" ht="15.75" customHeight="1">
      <c r="A9" s="41" t="s">
        <v>108</v>
      </c>
      <c r="B9" s="86" t="s">
        <v>109</v>
      </c>
      <c r="C9" s="86" t="s">
        <v>110</v>
      </c>
      <c r="D9" s="86" t="s">
        <v>109</v>
      </c>
      <c r="E9" s="86" t="s">
        <v>110</v>
      </c>
    </row>
    <row r="10" ht="4.5" customHeight="1">
      <c r="A10" s="4"/>
    </row>
    <row r="11" spans="1:5" ht="13.5" customHeight="1">
      <c r="A11" s="331" t="s">
        <v>245</v>
      </c>
      <c r="B11" s="332">
        <v>0</v>
      </c>
      <c r="C11" s="338">
        <f>B11/'- 3 -'!D11*100</f>
        <v>0</v>
      </c>
      <c r="D11" s="332">
        <v>0</v>
      </c>
      <c r="E11" s="338">
        <f>D11/'- 3 -'!D11*100</f>
        <v>0</v>
      </c>
    </row>
    <row r="12" spans="1:5" ht="13.5" customHeight="1">
      <c r="A12" s="25" t="s">
        <v>246</v>
      </c>
      <c r="B12" s="26">
        <v>118444</v>
      </c>
      <c r="C12" s="78">
        <f>B12/'- 3 -'!D12*100</f>
        <v>0.5384535215897722</v>
      </c>
      <c r="D12" s="26">
        <v>332834</v>
      </c>
      <c r="E12" s="78">
        <f>D12/'- 3 -'!D12*100</f>
        <v>1.5130833086083741</v>
      </c>
    </row>
    <row r="13" spans="1:5" ht="13.5" customHeight="1">
      <c r="A13" s="331" t="s">
        <v>247</v>
      </c>
      <c r="B13" s="332">
        <v>0</v>
      </c>
      <c r="C13" s="338">
        <f>B13/'- 3 -'!D13*100</f>
        <v>0</v>
      </c>
      <c r="D13" s="332">
        <v>0</v>
      </c>
      <c r="E13" s="338">
        <f>D13/'- 3 -'!D13*100</f>
        <v>0</v>
      </c>
    </row>
    <row r="14" spans="1:5" ht="13.5" customHeight="1">
      <c r="A14" s="25" t="s">
        <v>283</v>
      </c>
      <c r="B14" s="26">
        <v>0</v>
      </c>
      <c r="C14" s="78">
        <f>B14/'- 3 -'!D14*100</f>
        <v>0</v>
      </c>
      <c r="D14" s="26">
        <v>0</v>
      </c>
      <c r="E14" s="78">
        <f>D14/'- 3 -'!D14*100</f>
        <v>0</v>
      </c>
    </row>
    <row r="15" spans="1:5" ht="13.5" customHeight="1">
      <c r="A15" s="331" t="s">
        <v>248</v>
      </c>
      <c r="B15" s="332">
        <v>0</v>
      </c>
      <c r="C15" s="338">
        <f>B15/'- 3 -'!D15*100</f>
        <v>0</v>
      </c>
      <c r="D15" s="332">
        <v>0</v>
      </c>
      <c r="E15" s="338">
        <f>D15/'- 3 -'!D15*100</f>
        <v>0</v>
      </c>
    </row>
    <row r="16" spans="1:5" ht="13.5" customHeight="1">
      <c r="A16" s="25" t="s">
        <v>249</v>
      </c>
      <c r="B16" s="26">
        <v>16768.769688738394</v>
      </c>
      <c r="C16" s="78">
        <f>B16/'- 3 -'!D16*100</f>
        <v>0.15083309724279903</v>
      </c>
      <c r="D16" s="26">
        <v>66031</v>
      </c>
      <c r="E16" s="78">
        <f>D16/'- 3 -'!D16*100</f>
        <v>0.5939410242319682</v>
      </c>
    </row>
    <row r="17" spans="1:5" ht="13.5" customHeight="1">
      <c r="A17" s="331" t="s">
        <v>250</v>
      </c>
      <c r="B17" s="332">
        <v>0</v>
      </c>
      <c r="C17" s="338">
        <f>B17/'- 3 -'!D17*100</f>
        <v>0</v>
      </c>
      <c r="D17" s="332">
        <v>0</v>
      </c>
      <c r="E17" s="338">
        <f>D17/'- 3 -'!D17*100</f>
        <v>0</v>
      </c>
    </row>
    <row r="18" spans="1:5" ht="13.5" customHeight="1">
      <c r="A18" s="25" t="s">
        <v>251</v>
      </c>
      <c r="B18" s="26">
        <v>225864</v>
      </c>
      <c r="C18" s="78">
        <f>B18/'- 3 -'!D18*100</f>
        <v>0.2596484128918339</v>
      </c>
      <c r="D18" s="26">
        <v>1419639</v>
      </c>
      <c r="E18" s="78">
        <f>D18/'- 3 -'!D18*100</f>
        <v>1.6319865637257382</v>
      </c>
    </row>
    <row r="19" spans="1:5" ht="13.5" customHeight="1">
      <c r="A19" s="331" t="s">
        <v>252</v>
      </c>
      <c r="B19" s="332">
        <v>0</v>
      </c>
      <c r="C19" s="338">
        <f>B19/'- 3 -'!D19*100</f>
        <v>0</v>
      </c>
      <c r="D19" s="332">
        <v>0</v>
      </c>
      <c r="E19" s="338">
        <f>D19/'- 3 -'!D19*100</f>
        <v>0</v>
      </c>
    </row>
    <row r="20" spans="1:5" ht="13.5" customHeight="1">
      <c r="A20" s="25" t="s">
        <v>253</v>
      </c>
      <c r="B20" s="26">
        <v>0</v>
      </c>
      <c r="C20" s="78">
        <f>B20/'- 3 -'!D20*100</f>
        <v>0</v>
      </c>
      <c r="D20" s="26">
        <v>0</v>
      </c>
      <c r="E20" s="78">
        <f>D20/'- 3 -'!D20*100</f>
        <v>0</v>
      </c>
    </row>
    <row r="21" spans="1:5" ht="13.5" customHeight="1">
      <c r="A21" s="331" t="s">
        <v>254</v>
      </c>
      <c r="B21" s="332">
        <v>0</v>
      </c>
      <c r="C21" s="338">
        <f>B21/'- 3 -'!D21*100</f>
        <v>0</v>
      </c>
      <c r="D21" s="332">
        <v>0</v>
      </c>
      <c r="E21" s="338">
        <f>D21/'- 3 -'!D21*100</f>
        <v>0</v>
      </c>
    </row>
    <row r="22" spans="1:5" ht="13.5" customHeight="1">
      <c r="A22" s="25" t="s">
        <v>255</v>
      </c>
      <c r="B22" s="26">
        <v>139738</v>
      </c>
      <c r="C22" s="78">
        <f>B22/'- 3 -'!D22*100</f>
        <v>0.9326734799837758</v>
      </c>
      <c r="D22" s="26">
        <v>338589</v>
      </c>
      <c r="E22" s="78">
        <f>D22/'- 3 -'!D22*100</f>
        <v>2.259893378424098</v>
      </c>
    </row>
    <row r="23" spans="1:5" ht="13.5" customHeight="1">
      <c r="A23" s="331" t="s">
        <v>256</v>
      </c>
      <c r="B23" s="332">
        <v>28820</v>
      </c>
      <c r="C23" s="338">
        <f>B23/'- 3 -'!D23*100</f>
        <v>0.23012579864312016</v>
      </c>
      <c r="D23" s="332">
        <v>179031</v>
      </c>
      <c r="E23" s="338">
        <f>D23/'- 3 -'!D23*100</f>
        <v>1.4295507236945333</v>
      </c>
    </row>
    <row r="24" spans="1:5" ht="13.5" customHeight="1">
      <c r="A24" s="25" t="s">
        <v>257</v>
      </c>
      <c r="B24" s="26">
        <v>118345</v>
      </c>
      <c r="C24" s="78">
        <f>B24/'- 3 -'!D24*100</f>
        <v>0.29602021957298846</v>
      </c>
      <c r="D24" s="26">
        <v>182535</v>
      </c>
      <c r="E24" s="78">
        <f>D24/'- 3 -'!D24*100</f>
        <v>0.4565807662322486</v>
      </c>
    </row>
    <row r="25" spans="1:5" ht="13.5" customHeight="1">
      <c r="A25" s="331" t="s">
        <v>258</v>
      </c>
      <c r="B25" s="332">
        <v>0</v>
      </c>
      <c r="C25" s="338">
        <f>B25/'- 3 -'!D25*100</f>
        <v>0</v>
      </c>
      <c r="D25" s="332">
        <v>0</v>
      </c>
      <c r="E25" s="338">
        <f>D25/'- 3 -'!D25*100</f>
        <v>0</v>
      </c>
    </row>
    <row r="26" spans="1:5" ht="13.5" customHeight="1">
      <c r="A26" s="25" t="s">
        <v>259</v>
      </c>
      <c r="B26" s="26">
        <v>42036</v>
      </c>
      <c r="C26" s="78">
        <f>B26/'- 3 -'!D26*100</f>
        <v>0.1392327578151904</v>
      </c>
      <c r="D26" s="26">
        <v>69133</v>
      </c>
      <c r="E26" s="78">
        <f>D26/'- 3 -'!D26*100</f>
        <v>0.22898416229035967</v>
      </c>
    </row>
    <row r="27" spans="1:5" ht="13.5" customHeight="1">
      <c r="A27" s="331" t="s">
        <v>260</v>
      </c>
      <c r="B27" s="332">
        <v>0</v>
      </c>
      <c r="C27" s="338">
        <f>B27/'- 3 -'!D27*100</f>
        <v>0</v>
      </c>
      <c r="D27" s="332">
        <v>0</v>
      </c>
      <c r="E27" s="338">
        <f>D27/'- 3 -'!D27*100</f>
        <v>0</v>
      </c>
    </row>
    <row r="28" spans="1:5" ht="13.5" customHeight="1">
      <c r="A28" s="25" t="s">
        <v>261</v>
      </c>
      <c r="B28" s="26">
        <v>0</v>
      </c>
      <c r="C28" s="78">
        <f>B28/'- 3 -'!D28*100</f>
        <v>0</v>
      </c>
      <c r="D28" s="26">
        <v>0</v>
      </c>
      <c r="E28" s="78">
        <f>D28/'- 3 -'!D28*100</f>
        <v>0</v>
      </c>
    </row>
    <row r="29" spans="1:5" ht="13.5" customHeight="1">
      <c r="A29" s="331" t="s">
        <v>262</v>
      </c>
      <c r="B29" s="332">
        <v>0</v>
      </c>
      <c r="C29" s="338">
        <f>B29/'- 3 -'!D29*100</f>
        <v>0</v>
      </c>
      <c r="D29" s="332">
        <v>0</v>
      </c>
      <c r="E29" s="338">
        <f>D29/'- 3 -'!D29*100</f>
        <v>0</v>
      </c>
    </row>
    <row r="30" spans="1:5" ht="13.5" customHeight="1">
      <c r="A30" s="25" t="s">
        <v>263</v>
      </c>
      <c r="B30" s="26">
        <v>0</v>
      </c>
      <c r="C30" s="78">
        <f>B30/'- 3 -'!D30*100</f>
        <v>0</v>
      </c>
      <c r="D30" s="26">
        <v>0</v>
      </c>
      <c r="E30" s="78">
        <f>D30/'- 3 -'!D30*100</f>
        <v>0</v>
      </c>
    </row>
    <row r="31" spans="1:5" ht="13.5" customHeight="1">
      <c r="A31" s="331" t="s">
        <v>264</v>
      </c>
      <c r="B31" s="332">
        <v>44716</v>
      </c>
      <c r="C31" s="338">
        <f>B31/'- 3 -'!D31*100</f>
        <v>0.16152527559169183</v>
      </c>
      <c r="D31" s="332">
        <v>92275</v>
      </c>
      <c r="E31" s="338">
        <f>D31/'- 3 -'!D31*100</f>
        <v>0.33332017186741575</v>
      </c>
    </row>
    <row r="32" spans="1:5" ht="13.5" customHeight="1">
      <c r="A32" s="25" t="s">
        <v>265</v>
      </c>
      <c r="B32" s="26">
        <v>52357</v>
      </c>
      <c r="C32" s="78">
        <f>B32/'- 3 -'!D32*100</f>
        <v>0.25910072939846834</v>
      </c>
      <c r="D32" s="26">
        <v>178019</v>
      </c>
      <c r="E32" s="78">
        <f>D32/'- 3 -'!D32*100</f>
        <v>0.8809682133580216</v>
      </c>
    </row>
    <row r="33" spans="1:5" ht="13.5" customHeight="1">
      <c r="A33" s="331" t="s">
        <v>266</v>
      </c>
      <c r="B33" s="332">
        <v>0</v>
      </c>
      <c r="C33" s="338">
        <f>B33/'- 3 -'!D33*100</f>
        <v>0</v>
      </c>
      <c r="D33" s="332">
        <v>0</v>
      </c>
      <c r="E33" s="338">
        <f>D33/'- 3 -'!D33*100</f>
        <v>0</v>
      </c>
    </row>
    <row r="34" spans="1:5" ht="13.5" customHeight="1">
      <c r="A34" s="25" t="s">
        <v>267</v>
      </c>
      <c r="B34" s="26">
        <v>0</v>
      </c>
      <c r="C34" s="78">
        <f>B34/'- 3 -'!D34*100</f>
        <v>0</v>
      </c>
      <c r="D34" s="26">
        <v>0</v>
      </c>
      <c r="E34" s="78">
        <f>D34/'- 3 -'!D34*100</f>
        <v>0</v>
      </c>
    </row>
    <row r="35" spans="1:5" ht="13.5" customHeight="1">
      <c r="A35" s="331" t="s">
        <v>268</v>
      </c>
      <c r="B35" s="332">
        <v>142588</v>
      </c>
      <c r="C35" s="338">
        <f>B35/'- 3 -'!D35*100</f>
        <v>0.10002092511435595</v>
      </c>
      <c r="D35" s="332">
        <v>732715</v>
      </c>
      <c r="E35" s="338">
        <f>D35/'- 3 -'!D35*100</f>
        <v>0.5139761560942387</v>
      </c>
    </row>
    <row r="36" spans="1:5" ht="13.5" customHeight="1">
      <c r="A36" s="25" t="s">
        <v>269</v>
      </c>
      <c r="B36" s="26">
        <v>9905</v>
      </c>
      <c r="C36" s="78">
        <f>B36/'- 3 -'!D36*100</f>
        <v>0.05519391452683212</v>
      </c>
      <c r="D36" s="26">
        <v>118765</v>
      </c>
      <c r="E36" s="78">
        <f>D36/'- 3 -'!D36*100</f>
        <v>0.6617976031074424</v>
      </c>
    </row>
    <row r="37" spans="1:5" ht="13.5" customHeight="1">
      <c r="A37" s="331" t="s">
        <v>270</v>
      </c>
      <c r="B37" s="332">
        <v>100525</v>
      </c>
      <c r="C37" s="338">
        <f>B37/'- 3 -'!D37*100</f>
        <v>0.33679204778778465</v>
      </c>
      <c r="D37" s="332">
        <v>159554</v>
      </c>
      <c r="E37" s="338">
        <f>D37/'- 3 -'!D37*100</f>
        <v>0.5345587504872639</v>
      </c>
    </row>
    <row r="38" spans="1:5" ht="13.5" customHeight="1">
      <c r="A38" s="25" t="s">
        <v>271</v>
      </c>
      <c r="B38" s="26">
        <v>63066</v>
      </c>
      <c r="C38" s="78">
        <f>B38/'- 3 -'!D38*100</f>
        <v>0.0850008398863631</v>
      </c>
      <c r="D38" s="26">
        <v>220363</v>
      </c>
      <c r="E38" s="78">
        <f>D38/'- 3 -'!D38*100</f>
        <v>0.2970069463717159</v>
      </c>
    </row>
    <row r="39" spans="1:5" ht="13.5" customHeight="1">
      <c r="A39" s="331" t="s">
        <v>272</v>
      </c>
      <c r="B39" s="332">
        <v>0</v>
      </c>
      <c r="C39" s="338">
        <f>B39/'- 3 -'!D39*100</f>
        <v>0</v>
      </c>
      <c r="D39" s="332">
        <v>0</v>
      </c>
      <c r="E39" s="338">
        <f>D39/'- 3 -'!D39*100</f>
        <v>0</v>
      </c>
    </row>
    <row r="40" spans="1:5" ht="13.5" customHeight="1">
      <c r="A40" s="25" t="s">
        <v>273</v>
      </c>
      <c r="B40" s="26">
        <v>0</v>
      </c>
      <c r="C40" s="78">
        <f>B40/'- 3 -'!D40*100</f>
        <v>0</v>
      </c>
      <c r="D40" s="26">
        <v>0</v>
      </c>
      <c r="E40" s="78">
        <f>D40/'- 3 -'!D40*100</f>
        <v>0</v>
      </c>
    </row>
    <row r="41" spans="1:5" ht="13.5" customHeight="1">
      <c r="A41" s="331" t="s">
        <v>274</v>
      </c>
      <c r="B41" s="332">
        <v>336705</v>
      </c>
      <c r="C41" s="338">
        <f>B41/'- 3 -'!D41*100</f>
        <v>0.7223661247713945</v>
      </c>
      <c r="D41" s="332">
        <v>602886</v>
      </c>
      <c r="E41" s="338">
        <f>D41/'- 3 -'!D41*100</f>
        <v>1.2934302237832136</v>
      </c>
    </row>
    <row r="42" spans="1:5" ht="13.5" customHeight="1">
      <c r="A42" s="25" t="s">
        <v>275</v>
      </c>
      <c r="B42" s="26">
        <v>0</v>
      </c>
      <c r="C42" s="78">
        <f>B42/'- 3 -'!D42*100</f>
        <v>0</v>
      </c>
      <c r="D42" s="26">
        <v>0</v>
      </c>
      <c r="E42" s="78">
        <f>D42/'- 3 -'!D42*100</f>
        <v>0</v>
      </c>
    </row>
    <row r="43" spans="1:5" ht="13.5" customHeight="1">
      <c r="A43" s="331" t="s">
        <v>276</v>
      </c>
      <c r="B43" s="332">
        <v>8829</v>
      </c>
      <c r="C43" s="338">
        <f>B43/'- 3 -'!D43*100</f>
        <v>0.08670950254240825</v>
      </c>
      <c r="D43" s="332">
        <v>158776</v>
      </c>
      <c r="E43" s="338">
        <f>D43/'- 3 -'!D43*100</f>
        <v>1.5593371815237753</v>
      </c>
    </row>
    <row r="44" spans="1:5" ht="13.5" customHeight="1">
      <c r="A44" s="25" t="s">
        <v>277</v>
      </c>
      <c r="B44" s="26">
        <v>0</v>
      </c>
      <c r="C44" s="78">
        <f>B44/'- 3 -'!D44*100</f>
        <v>0</v>
      </c>
      <c r="D44" s="26">
        <v>0</v>
      </c>
      <c r="E44" s="78">
        <f>D44/'- 3 -'!D44*100</f>
        <v>0</v>
      </c>
    </row>
    <row r="45" spans="1:5" ht="13.5" customHeight="1">
      <c r="A45" s="331" t="s">
        <v>278</v>
      </c>
      <c r="B45" s="332">
        <v>139510.32</v>
      </c>
      <c r="C45" s="338">
        <f>B45/'- 3 -'!D45*100</f>
        <v>1.1973898697872016</v>
      </c>
      <c r="D45" s="332">
        <v>185731.31</v>
      </c>
      <c r="E45" s="338">
        <f>D45/'- 3 -'!D45*100</f>
        <v>1.594095613115262</v>
      </c>
    </row>
    <row r="46" spans="1:5" ht="13.5" customHeight="1">
      <c r="A46" s="25" t="s">
        <v>279</v>
      </c>
      <c r="B46" s="26">
        <v>58219</v>
      </c>
      <c r="C46" s="78">
        <f>B46/'- 3 -'!D46*100</f>
        <v>0.020050118511770337</v>
      </c>
      <c r="D46" s="26">
        <v>207984</v>
      </c>
      <c r="E46" s="78">
        <f>D46/'- 3 -'!D46*100</f>
        <v>0.07162788520160157</v>
      </c>
    </row>
    <row r="47" spans="1:6" ht="4.5" customHeight="1">
      <c r="A47"/>
      <c r="B47"/>
      <c r="C47"/>
      <c r="D47"/>
      <c r="E47"/>
      <c r="F47"/>
    </row>
    <row r="48" spans="1:5" ht="13.5" customHeight="1">
      <c r="A48" s="333" t="s">
        <v>280</v>
      </c>
      <c r="B48" s="334">
        <f>SUM(B11:B46)</f>
        <v>1646436.0896887386</v>
      </c>
      <c r="C48" s="341">
        <f>B48/'- 3 -'!D48*100</f>
        <v>0.10377086578578139</v>
      </c>
      <c r="D48" s="334">
        <f>SUM(D11:D46)</f>
        <v>5244860.31</v>
      </c>
      <c r="E48" s="341">
        <f>D48/'- 3 -'!D48*100</f>
        <v>0.33057079998597194</v>
      </c>
    </row>
    <row r="49" spans="1:5" ht="4.5" customHeight="1">
      <c r="A49" s="27" t="s">
        <v>32</v>
      </c>
      <c r="B49"/>
      <c r="C49"/>
      <c r="D49"/>
      <c r="E49"/>
    </row>
    <row r="50" spans="1:5" ht="13.5" customHeight="1">
      <c r="A50" s="25" t="s">
        <v>281</v>
      </c>
      <c r="B50" s="26">
        <v>0</v>
      </c>
      <c r="C50" s="78">
        <f>B50/'- 3 -'!D50*100</f>
        <v>0</v>
      </c>
      <c r="D50" s="26">
        <v>0</v>
      </c>
      <c r="E50" s="78">
        <f>D50/'- 3 -'!D50*100</f>
        <v>0</v>
      </c>
    </row>
    <row r="51" spans="1:5" ht="13.5" customHeight="1">
      <c r="A51" s="331" t="s">
        <v>282</v>
      </c>
      <c r="B51" s="332">
        <v>667600</v>
      </c>
      <c r="C51" s="338">
        <f>B51/'- 3 -'!D51*100</f>
        <v>6.597660044398814</v>
      </c>
      <c r="D51" s="332">
        <v>1275890</v>
      </c>
      <c r="E51" s="338">
        <f>D51/'- 3 -'!D51*100</f>
        <v>12.609179859269027</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J51"/>
  <sheetViews>
    <sheetView showGridLines="0" showZeros="0" workbookViewId="0" topLeftCell="A1">
      <selection activeCell="A1" sqref="A1"/>
    </sheetView>
  </sheetViews>
  <sheetFormatPr defaultColWidth="15.83203125" defaultRowHeight="12"/>
  <cols>
    <col min="1" max="1" width="32.83203125" style="1" customWidth="1"/>
    <col min="2" max="2" width="13.83203125" style="1" customWidth="1"/>
    <col min="3" max="3" width="8.83203125" style="1" customWidth="1"/>
    <col min="4" max="4" width="14.83203125" style="1" customWidth="1"/>
    <col min="5" max="5" width="8.83203125" style="1" customWidth="1"/>
    <col min="6" max="6" width="18.83203125" style="1" customWidth="1"/>
    <col min="7" max="7" width="8.83203125" style="1" customWidth="1"/>
    <col min="8" max="8" width="16.83203125" style="1" customWidth="1"/>
    <col min="9" max="9" width="8.83203125" style="1" customWidth="1"/>
    <col min="10" max="16384" width="15.83203125" style="1" customWidth="1"/>
  </cols>
  <sheetData>
    <row r="1" spans="1:9" ht="6.75" customHeight="1">
      <c r="A1" s="5"/>
      <c r="B1" s="6"/>
      <c r="C1" s="6"/>
      <c r="D1" s="6"/>
      <c r="E1" s="6"/>
      <c r="F1" s="6"/>
      <c r="G1" s="6"/>
      <c r="H1" s="6"/>
      <c r="I1" s="6"/>
    </row>
    <row r="2" spans="1:9" ht="15.75" customHeight="1">
      <c r="A2" s="154"/>
      <c r="B2" s="7" t="s">
        <v>528</v>
      </c>
      <c r="C2" s="8"/>
      <c r="D2" s="8"/>
      <c r="E2" s="8"/>
      <c r="F2" s="8"/>
      <c r="G2" s="81"/>
      <c r="H2" s="81"/>
      <c r="I2" s="496" t="s">
        <v>487</v>
      </c>
    </row>
    <row r="3" spans="1:9" ht="15.75" customHeight="1">
      <c r="A3" s="156"/>
      <c r="B3" s="9" t="str">
        <f>OPYEAR</f>
        <v>OPERATING FUND 2006/2007 ACTUAL</v>
      </c>
      <c r="C3" s="10"/>
      <c r="D3" s="10"/>
      <c r="E3" s="10"/>
      <c r="F3" s="10"/>
      <c r="G3" s="83"/>
      <c r="H3" s="83"/>
      <c r="I3" s="73"/>
    </row>
    <row r="4" spans="2:9" ht="15.75" customHeight="1">
      <c r="B4" s="6"/>
      <c r="C4" s="6"/>
      <c r="D4" s="6"/>
      <c r="E4" s="6"/>
      <c r="F4" s="6"/>
      <c r="G4" s="6"/>
      <c r="H4" s="6"/>
      <c r="I4" s="6"/>
    </row>
    <row r="5" spans="2:9" ht="15.75" customHeight="1">
      <c r="B5" s="186" t="s">
        <v>42</v>
      </c>
      <c r="C5" s="187"/>
      <c r="D5" s="188"/>
      <c r="E5" s="188"/>
      <c r="F5" s="188"/>
      <c r="G5" s="188"/>
      <c r="H5" s="188"/>
      <c r="I5" s="189"/>
    </row>
    <row r="6" spans="2:9" ht="15.75" customHeight="1">
      <c r="B6" s="359"/>
      <c r="C6" s="360"/>
      <c r="D6" s="359" t="s">
        <v>66</v>
      </c>
      <c r="E6" s="360"/>
      <c r="F6" s="393"/>
      <c r="G6" s="394"/>
      <c r="H6" s="359"/>
      <c r="I6" s="360"/>
    </row>
    <row r="7" spans="2:9" ht="15.75" customHeight="1">
      <c r="B7" s="395" t="s">
        <v>241</v>
      </c>
      <c r="C7" s="396"/>
      <c r="D7" s="395" t="s">
        <v>90</v>
      </c>
      <c r="E7" s="396"/>
      <c r="F7" s="395" t="s">
        <v>67</v>
      </c>
      <c r="G7" s="396"/>
      <c r="H7" s="395" t="s">
        <v>203</v>
      </c>
      <c r="I7" s="396"/>
    </row>
    <row r="8" spans="1:9" ht="15.75" customHeight="1">
      <c r="A8" s="74"/>
      <c r="B8" s="345" t="s">
        <v>105</v>
      </c>
      <c r="C8" s="347"/>
      <c r="D8" s="345" t="s">
        <v>403</v>
      </c>
      <c r="E8" s="347"/>
      <c r="F8" s="345" t="s">
        <v>91</v>
      </c>
      <c r="G8" s="347"/>
      <c r="H8" s="345" t="s">
        <v>105</v>
      </c>
      <c r="I8" s="347"/>
    </row>
    <row r="9" spans="1:9" ht="15.75" customHeight="1">
      <c r="A9" s="41" t="s">
        <v>108</v>
      </c>
      <c r="B9" s="190" t="s">
        <v>109</v>
      </c>
      <c r="C9" s="190" t="s">
        <v>110</v>
      </c>
      <c r="D9" s="190" t="s">
        <v>109</v>
      </c>
      <c r="E9" s="190" t="s">
        <v>110</v>
      </c>
      <c r="F9" s="190" t="s">
        <v>109</v>
      </c>
      <c r="G9" s="190" t="s">
        <v>110</v>
      </c>
      <c r="H9" s="190" t="s">
        <v>109</v>
      </c>
      <c r="I9" s="190" t="s">
        <v>110</v>
      </c>
    </row>
    <row r="10" ht="4.5" customHeight="1">
      <c r="A10" s="4"/>
    </row>
    <row r="11" spans="1:9" ht="13.5" customHeight="1">
      <c r="A11" s="331" t="s">
        <v>245</v>
      </c>
      <c r="B11" s="332">
        <v>0</v>
      </c>
      <c r="C11" s="338">
        <f>B11/'- 3 -'!D11*100</f>
        <v>0</v>
      </c>
      <c r="D11" s="332">
        <v>0</v>
      </c>
      <c r="E11" s="338">
        <f>D11/'- 3 -'!D11*100</f>
        <v>0</v>
      </c>
      <c r="F11" s="332">
        <v>0</v>
      </c>
      <c r="G11" s="338">
        <f>F11/'- 3 -'!D11*100</f>
        <v>0</v>
      </c>
      <c r="H11" s="332">
        <v>12514</v>
      </c>
      <c r="I11" s="338">
        <f>H11/'- 3 -'!D11*100</f>
        <v>0.10365727775535477</v>
      </c>
    </row>
    <row r="12" spans="1:9" ht="13.5" customHeight="1">
      <c r="A12" s="25" t="s">
        <v>246</v>
      </c>
      <c r="B12" s="26">
        <v>0</v>
      </c>
      <c r="C12" s="78">
        <f>B12/'- 3 -'!D12*100</f>
        <v>0</v>
      </c>
      <c r="D12" s="26">
        <v>0</v>
      </c>
      <c r="E12" s="78">
        <f>D12/'- 3 -'!D12*100</f>
        <v>0</v>
      </c>
      <c r="F12" s="26">
        <v>0</v>
      </c>
      <c r="G12" s="78">
        <f>F12/'- 3 -'!D12*100</f>
        <v>0</v>
      </c>
      <c r="H12" s="26">
        <v>21575</v>
      </c>
      <c r="I12" s="78">
        <f>H12/'- 3 -'!D12*100</f>
        <v>0.09808124285146853</v>
      </c>
    </row>
    <row r="13" spans="1:9" ht="13.5" customHeight="1">
      <c r="A13" s="331" t="s">
        <v>247</v>
      </c>
      <c r="B13" s="332">
        <v>0</v>
      </c>
      <c r="C13" s="338">
        <f>B13/'- 3 -'!D13*100</f>
        <v>0</v>
      </c>
      <c r="D13" s="332">
        <v>0</v>
      </c>
      <c r="E13" s="338">
        <f>D13/'- 3 -'!D13*100</f>
        <v>0</v>
      </c>
      <c r="F13" s="332">
        <v>90187</v>
      </c>
      <c r="G13" s="338">
        <f>F13/'- 3 -'!D13*100</f>
        <v>0.16796730341286495</v>
      </c>
      <c r="H13" s="332">
        <v>62615</v>
      </c>
      <c r="I13" s="338">
        <f>H13/'- 3 -'!D13*100</f>
        <v>0.11661628286999833</v>
      </c>
    </row>
    <row r="14" spans="1:9" ht="13.5" customHeight="1">
      <c r="A14" s="25" t="s">
        <v>283</v>
      </c>
      <c r="B14" s="26">
        <v>0</v>
      </c>
      <c r="C14" s="78">
        <f>B14/'- 3 -'!D14*100</f>
        <v>0</v>
      </c>
      <c r="D14" s="26">
        <v>0</v>
      </c>
      <c r="E14" s="78">
        <f>D14/'- 3 -'!D14*100</f>
        <v>0</v>
      </c>
      <c r="F14" s="26">
        <v>0</v>
      </c>
      <c r="G14" s="78">
        <f>F14/'- 3 -'!D14*100</f>
        <v>0</v>
      </c>
      <c r="H14" s="26">
        <v>611837</v>
      </c>
      <c r="I14" s="78">
        <f>H14/'- 3 -'!D14*100</f>
        <v>1.245567971010436</v>
      </c>
    </row>
    <row r="15" spans="1:9" ht="13.5" customHeight="1">
      <c r="A15" s="331" t="s">
        <v>248</v>
      </c>
      <c r="B15" s="332">
        <v>179579</v>
      </c>
      <c r="C15" s="338">
        <f>B15/'- 3 -'!D15*100</f>
        <v>1.2698826882939682</v>
      </c>
      <c r="D15" s="332">
        <v>0</v>
      </c>
      <c r="E15" s="338">
        <f>D15/'- 3 -'!D15*100</f>
        <v>0</v>
      </c>
      <c r="F15" s="332">
        <v>0</v>
      </c>
      <c r="G15" s="338">
        <f>F15/'- 3 -'!D15*100</f>
        <v>0</v>
      </c>
      <c r="H15" s="332">
        <v>14340</v>
      </c>
      <c r="I15" s="338">
        <f>H15/'- 3 -'!D15*100</f>
        <v>0.10140449467997653</v>
      </c>
    </row>
    <row r="16" spans="1:9" ht="13.5" customHeight="1">
      <c r="A16" s="25" t="s">
        <v>249</v>
      </c>
      <c r="B16" s="26">
        <v>0</v>
      </c>
      <c r="C16" s="78">
        <f>B16/'- 3 -'!D16*100</f>
        <v>0</v>
      </c>
      <c r="D16" s="26">
        <v>0</v>
      </c>
      <c r="E16" s="78">
        <f>D16/'- 3 -'!D16*100</f>
        <v>0</v>
      </c>
      <c r="F16" s="26">
        <v>0</v>
      </c>
      <c r="G16" s="78">
        <f>F16/'- 3 -'!D16*100</f>
        <v>0</v>
      </c>
      <c r="H16" s="26">
        <v>10750</v>
      </c>
      <c r="I16" s="78">
        <f>H16/'- 3 -'!D16*100</f>
        <v>0.09669497676081927</v>
      </c>
    </row>
    <row r="17" spans="1:9" ht="13.5" customHeight="1">
      <c r="A17" s="331" t="s">
        <v>250</v>
      </c>
      <c r="B17" s="332">
        <v>0</v>
      </c>
      <c r="C17" s="338">
        <f>B17/'- 3 -'!D17*100</f>
        <v>0</v>
      </c>
      <c r="D17" s="332">
        <v>0</v>
      </c>
      <c r="E17" s="338">
        <f>D17/'- 3 -'!D17*100</f>
        <v>0</v>
      </c>
      <c r="F17" s="332">
        <v>0</v>
      </c>
      <c r="G17" s="338">
        <f>F17/'- 3 -'!D17*100</f>
        <v>0</v>
      </c>
      <c r="H17" s="332">
        <v>122903</v>
      </c>
      <c r="I17" s="338">
        <f>H17/'- 3 -'!D17*100</f>
        <v>0.9202474888676359</v>
      </c>
    </row>
    <row r="18" spans="1:9" ht="13.5" customHeight="1">
      <c r="A18" s="25" t="s">
        <v>251</v>
      </c>
      <c r="B18" s="26">
        <v>3306</v>
      </c>
      <c r="C18" s="78">
        <f>B18/'- 3 -'!D18*100</f>
        <v>0.003800506734231231</v>
      </c>
      <c r="D18" s="26">
        <v>0</v>
      </c>
      <c r="E18" s="78">
        <f>D18/'- 3 -'!D18*100</f>
        <v>0</v>
      </c>
      <c r="F18" s="26">
        <v>564699</v>
      </c>
      <c r="G18" s="78">
        <f>F18/'- 3 -'!D18*100</f>
        <v>0.6491658657936</v>
      </c>
      <c r="H18" s="26">
        <v>1029238</v>
      </c>
      <c r="I18" s="78">
        <f>H18/'- 3 -'!D18*100</f>
        <v>1.183189942567055</v>
      </c>
    </row>
    <row r="19" spans="1:9" ht="13.5" customHeight="1">
      <c r="A19" s="331" t="s">
        <v>252</v>
      </c>
      <c r="B19" s="332">
        <v>0</v>
      </c>
      <c r="C19" s="338">
        <f>B19/'- 3 -'!D19*100</f>
        <v>0</v>
      </c>
      <c r="D19" s="332">
        <v>0</v>
      </c>
      <c r="E19" s="338">
        <f>D19/'- 3 -'!D19*100</f>
        <v>0</v>
      </c>
      <c r="F19" s="332">
        <v>0</v>
      </c>
      <c r="G19" s="338">
        <f>F19/'- 3 -'!D19*100</f>
        <v>0</v>
      </c>
      <c r="H19" s="332">
        <v>25087</v>
      </c>
      <c r="I19" s="338">
        <f>H19/'- 3 -'!D19*100</f>
        <v>0.10130692679398406</v>
      </c>
    </row>
    <row r="20" spans="1:9" ht="13.5" customHeight="1">
      <c r="A20" s="25" t="s">
        <v>253</v>
      </c>
      <c r="B20" s="26">
        <v>0</v>
      </c>
      <c r="C20" s="78">
        <f>B20/'- 3 -'!D20*100</f>
        <v>0</v>
      </c>
      <c r="D20" s="26">
        <v>0</v>
      </c>
      <c r="E20" s="78">
        <f>D20/'- 3 -'!D20*100</f>
        <v>0</v>
      </c>
      <c r="F20" s="26">
        <v>0</v>
      </c>
      <c r="G20" s="78">
        <f>F20/'- 3 -'!D20*100</f>
        <v>0</v>
      </c>
      <c r="H20" s="26">
        <v>146528</v>
      </c>
      <c r="I20" s="78">
        <f>H20/'- 3 -'!D20*100</f>
        <v>0.3176438718977435</v>
      </c>
    </row>
    <row r="21" spans="1:9" ht="13.5" customHeight="1">
      <c r="A21" s="331" t="s">
        <v>254</v>
      </c>
      <c r="B21" s="332">
        <v>76238</v>
      </c>
      <c r="C21" s="338">
        <f>B21/'- 3 -'!D21*100</f>
        <v>0.28811752359061904</v>
      </c>
      <c r="D21" s="332">
        <v>0</v>
      </c>
      <c r="E21" s="338">
        <f>D21/'- 3 -'!D21*100</f>
        <v>0</v>
      </c>
      <c r="F21" s="332">
        <v>0</v>
      </c>
      <c r="G21" s="338">
        <f>F21/'- 3 -'!D21*100</f>
        <v>0</v>
      </c>
      <c r="H21" s="332">
        <v>20620</v>
      </c>
      <c r="I21" s="338">
        <f>H21/'- 3 -'!D21*100</f>
        <v>0.07792679944959946</v>
      </c>
    </row>
    <row r="22" spans="1:9" ht="13.5" customHeight="1">
      <c r="A22" s="25" t="s">
        <v>255</v>
      </c>
      <c r="B22" s="26">
        <v>0</v>
      </c>
      <c r="C22" s="78">
        <f>B22/'- 3 -'!D22*100</f>
        <v>0</v>
      </c>
      <c r="D22" s="26">
        <v>0</v>
      </c>
      <c r="E22" s="78">
        <f>D22/'- 3 -'!D22*100</f>
        <v>0</v>
      </c>
      <c r="F22" s="26">
        <v>59373</v>
      </c>
      <c r="G22" s="78">
        <f>F22/'- 3 -'!D22*100</f>
        <v>0.3962817739417819</v>
      </c>
      <c r="H22" s="26">
        <v>0</v>
      </c>
      <c r="I22" s="78">
        <f>H22/'- 3 -'!D22*100</f>
        <v>0</v>
      </c>
    </row>
    <row r="23" spans="1:9" ht="13.5" customHeight="1">
      <c r="A23" s="331" t="s">
        <v>256</v>
      </c>
      <c r="B23" s="332">
        <v>127520</v>
      </c>
      <c r="C23" s="338">
        <f>B23/'- 3 -'!D23*100</f>
        <v>1.0182387870565817</v>
      </c>
      <c r="D23" s="332">
        <v>0</v>
      </c>
      <c r="E23" s="338">
        <f>D23/'- 3 -'!D23*100</f>
        <v>0</v>
      </c>
      <c r="F23" s="332">
        <v>87509</v>
      </c>
      <c r="G23" s="338">
        <f>F23/'- 3 -'!D23*100</f>
        <v>0.6987535917231368</v>
      </c>
      <c r="H23" s="332">
        <v>26634</v>
      </c>
      <c r="I23" s="338">
        <f>H23/'- 3 -'!D23*100</f>
        <v>0.21267073286123742</v>
      </c>
    </row>
    <row r="24" spans="1:9" ht="13.5" customHeight="1">
      <c r="A24" s="25" t="s">
        <v>257</v>
      </c>
      <c r="B24" s="26">
        <v>192451</v>
      </c>
      <c r="C24" s="78">
        <f>B24/'- 3 -'!D24*100</f>
        <v>0.48138398138528204</v>
      </c>
      <c r="D24" s="26">
        <v>0</v>
      </c>
      <c r="E24" s="78">
        <f>D24/'- 3 -'!D24*100</f>
        <v>0</v>
      </c>
      <c r="F24" s="26">
        <v>150098</v>
      </c>
      <c r="G24" s="78">
        <f>F24/'- 3 -'!D24*100</f>
        <v>0.37544503711577526</v>
      </c>
      <c r="H24" s="26">
        <v>0</v>
      </c>
      <c r="I24" s="78">
        <f>H24/'- 3 -'!D24*100</f>
        <v>0</v>
      </c>
    </row>
    <row r="25" spans="1:9" ht="13.5" customHeight="1">
      <c r="A25" s="331" t="s">
        <v>258</v>
      </c>
      <c r="B25" s="332">
        <v>298234</v>
      </c>
      <c r="C25" s="338">
        <f>B25/'- 3 -'!D25*100</f>
        <v>0.23946175647993387</v>
      </c>
      <c r="D25" s="332">
        <v>8504</v>
      </c>
      <c r="E25" s="338">
        <f>D25/'- 3 -'!D25*100</f>
        <v>0.006828137560121775</v>
      </c>
      <c r="F25" s="332">
        <v>115134</v>
      </c>
      <c r="G25" s="338">
        <f>F25/'- 3 -'!D25*100</f>
        <v>0.09244482477035047</v>
      </c>
      <c r="H25" s="332">
        <v>359385</v>
      </c>
      <c r="I25" s="338">
        <f>H25/'- 3 -'!D25*100</f>
        <v>0.2885618787681519</v>
      </c>
    </row>
    <row r="26" spans="1:9" ht="13.5" customHeight="1">
      <c r="A26" s="25" t="s">
        <v>259</v>
      </c>
      <c r="B26" s="26">
        <v>0</v>
      </c>
      <c r="C26" s="78">
        <f>B26/'- 3 -'!D26*100</f>
        <v>0</v>
      </c>
      <c r="D26" s="26">
        <v>0</v>
      </c>
      <c r="E26" s="78">
        <f>D26/'- 3 -'!D26*100</f>
        <v>0</v>
      </c>
      <c r="F26" s="26">
        <v>0</v>
      </c>
      <c r="G26" s="78">
        <f>F26/'- 3 -'!D26*100</f>
        <v>0</v>
      </c>
      <c r="H26" s="26">
        <v>59055</v>
      </c>
      <c r="I26" s="78">
        <f>H26/'- 3 -'!D26*100</f>
        <v>0.1956035425058538</v>
      </c>
    </row>
    <row r="27" spans="1:9" ht="13.5" customHeight="1">
      <c r="A27" s="331" t="s">
        <v>260</v>
      </c>
      <c r="B27" s="332">
        <v>0</v>
      </c>
      <c r="C27" s="338">
        <f>B27/'- 3 -'!D27*100</f>
        <v>0</v>
      </c>
      <c r="D27" s="332">
        <v>0</v>
      </c>
      <c r="E27" s="338">
        <f>D27/'- 3 -'!D27*100</f>
        <v>0</v>
      </c>
      <c r="F27" s="332">
        <v>110492</v>
      </c>
      <c r="G27" s="338">
        <f>F27/'- 3 -'!D27*100</f>
        <v>0.3486787715242683</v>
      </c>
      <c r="H27" s="332">
        <v>53093</v>
      </c>
      <c r="I27" s="338">
        <f>H27/'- 3 -'!D27*100</f>
        <v>0.16754517989119552</v>
      </c>
    </row>
    <row r="28" spans="1:9" ht="13.5" customHeight="1">
      <c r="A28" s="25" t="s">
        <v>261</v>
      </c>
      <c r="B28" s="26">
        <v>0</v>
      </c>
      <c r="C28" s="78">
        <f>B28/'- 3 -'!D28*100</f>
        <v>0</v>
      </c>
      <c r="D28" s="26">
        <v>0</v>
      </c>
      <c r="E28" s="78">
        <f>D28/'- 3 -'!D28*100</f>
        <v>0</v>
      </c>
      <c r="F28" s="26">
        <v>0</v>
      </c>
      <c r="G28" s="78">
        <f>F28/'- 3 -'!D28*100</f>
        <v>0</v>
      </c>
      <c r="H28" s="26">
        <v>15225</v>
      </c>
      <c r="I28" s="78">
        <f>H28/'- 3 -'!D28*100</f>
        <v>0.08727912362473038</v>
      </c>
    </row>
    <row r="29" spans="1:9" ht="13.5" customHeight="1">
      <c r="A29" s="331" t="s">
        <v>262</v>
      </c>
      <c r="B29" s="332">
        <v>0</v>
      </c>
      <c r="C29" s="338">
        <f>B29/'- 3 -'!D29*100</f>
        <v>0</v>
      </c>
      <c r="D29" s="332">
        <v>0</v>
      </c>
      <c r="E29" s="338">
        <f>D29/'- 3 -'!D29*100</f>
        <v>0</v>
      </c>
      <c r="F29" s="332">
        <v>508230</v>
      </c>
      <c r="G29" s="338">
        <f>F29/'- 3 -'!D29*100</f>
        <v>0.44593288988589147</v>
      </c>
      <c r="H29" s="332">
        <v>59664</v>
      </c>
      <c r="I29" s="338">
        <f>H29/'- 3 -'!D29*100</f>
        <v>0.0523505891862972</v>
      </c>
    </row>
    <row r="30" spans="1:9" ht="13.5" customHeight="1">
      <c r="A30" s="25" t="s">
        <v>263</v>
      </c>
      <c r="B30" s="26">
        <v>0</v>
      </c>
      <c r="C30" s="78">
        <f>B30/'- 3 -'!D30*100</f>
        <v>0</v>
      </c>
      <c r="D30" s="26">
        <v>0</v>
      </c>
      <c r="E30" s="78">
        <f>D30/'- 3 -'!D30*100</f>
        <v>0</v>
      </c>
      <c r="F30" s="26">
        <v>0</v>
      </c>
      <c r="G30" s="78">
        <f>F30/'- 3 -'!D30*100</f>
        <v>0</v>
      </c>
      <c r="H30" s="26">
        <v>12226</v>
      </c>
      <c r="I30" s="78">
        <f>H30/'- 3 -'!D30*100</f>
        <v>0.10890327472307428</v>
      </c>
    </row>
    <row r="31" spans="1:9" ht="13.5" customHeight="1">
      <c r="A31" s="331" t="s">
        <v>264</v>
      </c>
      <c r="B31" s="332">
        <v>0</v>
      </c>
      <c r="C31" s="338">
        <f>B31/'- 3 -'!D31*100</f>
        <v>0</v>
      </c>
      <c r="D31" s="332">
        <v>0</v>
      </c>
      <c r="E31" s="338">
        <f>D31/'- 3 -'!D31*100</f>
        <v>0</v>
      </c>
      <c r="F31" s="332">
        <v>0</v>
      </c>
      <c r="G31" s="338">
        <f>F31/'- 3 -'!D31*100</f>
        <v>0</v>
      </c>
      <c r="H31" s="332">
        <v>32656</v>
      </c>
      <c r="I31" s="338">
        <f>H31/'- 3 -'!D31*100</f>
        <v>0.11796156632351482</v>
      </c>
    </row>
    <row r="32" spans="1:9" ht="13.5" customHeight="1">
      <c r="A32" s="25" t="s">
        <v>265</v>
      </c>
      <c r="B32" s="26">
        <v>0</v>
      </c>
      <c r="C32" s="78">
        <f>B32/'- 3 -'!D32*100</f>
        <v>0</v>
      </c>
      <c r="D32" s="26">
        <v>0</v>
      </c>
      <c r="E32" s="78">
        <f>D32/'- 3 -'!D32*100</f>
        <v>0</v>
      </c>
      <c r="F32" s="26">
        <v>0</v>
      </c>
      <c r="G32" s="78">
        <f>F32/'- 3 -'!D32*100</f>
        <v>0</v>
      </c>
      <c r="H32" s="26">
        <v>25073</v>
      </c>
      <c r="I32" s="78">
        <f>H32/'- 3 -'!D32*100</f>
        <v>0.12407954214733077</v>
      </c>
    </row>
    <row r="33" spans="1:9" ht="13.5" customHeight="1">
      <c r="A33" s="331" t="s">
        <v>266</v>
      </c>
      <c r="B33" s="332">
        <v>0</v>
      </c>
      <c r="C33" s="338">
        <f>B33/'- 3 -'!D33*100</f>
        <v>0</v>
      </c>
      <c r="D33" s="332">
        <v>0</v>
      </c>
      <c r="E33" s="338">
        <f>D33/'- 3 -'!D33*100</f>
        <v>0</v>
      </c>
      <c r="F33" s="332">
        <v>0</v>
      </c>
      <c r="G33" s="338">
        <f>F33/'- 3 -'!D33*100</f>
        <v>0</v>
      </c>
      <c r="H33" s="332">
        <v>18115</v>
      </c>
      <c r="I33" s="338">
        <f>H33/'- 3 -'!D33*100</f>
        <v>0.07963585641912262</v>
      </c>
    </row>
    <row r="34" spans="1:9" ht="13.5" customHeight="1">
      <c r="A34" s="25" t="s">
        <v>267</v>
      </c>
      <c r="B34" s="26">
        <v>0</v>
      </c>
      <c r="C34" s="78">
        <f>B34/'- 3 -'!D34*100</f>
        <v>0</v>
      </c>
      <c r="D34" s="26">
        <v>0</v>
      </c>
      <c r="E34" s="78">
        <f>D34/'- 3 -'!D34*100</f>
        <v>0</v>
      </c>
      <c r="F34" s="26">
        <v>0</v>
      </c>
      <c r="G34" s="78">
        <f>F34/'- 3 -'!D34*100</f>
        <v>0</v>
      </c>
      <c r="H34" s="26">
        <v>20014</v>
      </c>
      <c r="I34" s="78">
        <f>H34/'- 3 -'!D34*100</f>
        <v>0.1041567461711441</v>
      </c>
    </row>
    <row r="35" spans="1:9" ht="13.5" customHeight="1">
      <c r="A35" s="331" t="s">
        <v>268</v>
      </c>
      <c r="B35" s="332">
        <v>355642</v>
      </c>
      <c r="C35" s="338">
        <f>B35/'- 3 -'!D35*100</f>
        <v>0.2494714972474526</v>
      </c>
      <c r="D35" s="332">
        <v>264</v>
      </c>
      <c r="E35" s="338">
        <f>D35/'- 3 -'!D35*100</f>
        <v>0.00018518756297998407</v>
      </c>
      <c r="F35" s="332">
        <v>303366</v>
      </c>
      <c r="G35" s="338">
        <f>F35/'- 3 -'!D35*100</f>
        <v>0.2128015539052494</v>
      </c>
      <c r="H35" s="332">
        <v>210268</v>
      </c>
      <c r="I35" s="338">
        <f>H35/'- 3 -'!D35*100</f>
        <v>0.14749628216922459</v>
      </c>
    </row>
    <row r="36" spans="1:9" ht="13.5" customHeight="1">
      <c r="A36" s="25" t="s">
        <v>269</v>
      </c>
      <c r="B36" s="26">
        <v>0</v>
      </c>
      <c r="C36" s="78">
        <f>B36/'- 3 -'!D36*100</f>
        <v>0</v>
      </c>
      <c r="D36" s="26">
        <v>0</v>
      </c>
      <c r="E36" s="78">
        <f>D36/'- 3 -'!D36*100</f>
        <v>0</v>
      </c>
      <c r="F36" s="26">
        <v>0</v>
      </c>
      <c r="G36" s="78">
        <f>F36/'- 3 -'!D36*100</f>
        <v>0</v>
      </c>
      <c r="H36" s="26">
        <v>17074</v>
      </c>
      <c r="I36" s="78">
        <f>H36/'- 3 -'!D36*100</f>
        <v>0.095141938074824</v>
      </c>
    </row>
    <row r="37" spans="1:9" ht="13.5" customHeight="1">
      <c r="A37" s="331" t="s">
        <v>270</v>
      </c>
      <c r="B37" s="332">
        <v>0</v>
      </c>
      <c r="C37" s="338">
        <f>B37/'- 3 -'!D37*100</f>
        <v>0</v>
      </c>
      <c r="D37" s="332">
        <v>0</v>
      </c>
      <c r="E37" s="338">
        <f>D37/'- 3 -'!D37*100</f>
        <v>0</v>
      </c>
      <c r="F37" s="332">
        <v>0</v>
      </c>
      <c r="G37" s="338">
        <f>F37/'- 3 -'!D37*100</f>
        <v>0</v>
      </c>
      <c r="H37" s="332">
        <v>20956</v>
      </c>
      <c r="I37" s="338">
        <f>H37/'- 3 -'!D37*100</f>
        <v>0.07020954144183851</v>
      </c>
    </row>
    <row r="38" spans="1:9" ht="13.5" customHeight="1">
      <c r="A38" s="25" t="s">
        <v>271</v>
      </c>
      <c r="B38" s="26">
        <v>94414</v>
      </c>
      <c r="C38" s="78">
        <f>B38/'- 3 -'!D38*100</f>
        <v>0.12725191540657543</v>
      </c>
      <c r="D38" s="26">
        <v>0</v>
      </c>
      <c r="E38" s="78">
        <f>D38/'- 3 -'!D38*100</f>
        <v>0</v>
      </c>
      <c r="F38" s="26">
        <v>138596</v>
      </c>
      <c r="G38" s="78">
        <f>F38/'- 3 -'!D38*100</f>
        <v>0.18680075484239336</v>
      </c>
      <c r="H38" s="26">
        <v>604057</v>
      </c>
      <c r="I38" s="78">
        <f>H38/'- 3 -'!D38*100</f>
        <v>0.8141526708406563</v>
      </c>
    </row>
    <row r="39" spans="1:9" ht="13.5" customHeight="1">
      <c r="A39" s="331" t="s">
        <v>272</v>
      </c>
      <c r="B39" s="332">
        <v>0</v>
      </c>
      <c r="C39" s="338">
        <f>B39/'- 3 -'!D39*100</f>
        <v>0</v>
      </c>
      <c r="D39" s="332">
        <v>0</v>
      </c>
      <c r="E39" s="338">
        <f>D39/'- 3 -'!D39*100</f>
        <v>0</v>
      </c>
      <c r="F39" s="332">
        <v>0</v>
      </c>
      <c r="G39" s="338">
        <f>F39/'- 3 -'!D39*100</f>
        <v>0</v>
      </c>
      <c r="H39" s="332">
        <v>50078</v>
      </c>
      <c r="I39" s="338">
        <f>H39/'- 3 -'!D39*100</f>
        <v>0.3063770700396899</v>
      </c>
    </row>
    <row r="40" spans="1:9" ht="13.5" customHeight="1">
      <c r="A40" s="25" t="s">
        <v>273</v>
      </c>
      <c r="B40" s="26">
        <v>424495</v>
      </c>
      <c r="C40" s="78">
        <f>B40/'- 3 -'!D40*100</f>
        <v>0.5555234495426176</v>
      </c>
      <c r="D40" s="26">
        <v>0</v>
      </c>
      <c r="E40" s="78">
        <f>D40/'- 3 -'!D40*100</f>
        <v>0</v>
      </c>
      <c r="F40" s="26">
        <v>128651</v>
      </c>
      <c r="G40" s="78">
        <f>F40/'- 3 -'!D40*100</f>
        <v>0.16836157624261133</v>
      </c>
      <c r="H40" s="26">
        <v>91008</v>
      </c>
      <c r="I40" s="78">
        <f>H40/'- 3 -'!D40*100</f>
        <v>0.11909934886388422</v>
      </c>
    </row>
    <row r="41" spans="1:9" ht="13.5" customHeight="1">
      <c r="A41" s="331" t="s">
        <v>274</v>
      </c>
      <c r="B41" s="332">
        <v>0</v>
      </c>
      <c r="C41" s="338">
        <f>B41/'- 3 -'!D41*100</f>
        <v>0</v>
      </c>
      <c r="D41" s="332">
        <v>0</v>
      </c>
      <c r="E41" s="338">
        <f>D41/'- 3 -'!D41*100</f>
        <v>0</v>
      </c>
      <c r="F41" s="332">
        <v>0</v>
      </c>
      <c r="G41" s="338">
        <f>F41/'- 3 -'!D41*100</f>
        <v>0</v>
      </c>
      <c r="H41" s="332">
        <v>125128</v>
      </c>
      <c r="I41" s="338">
        <f>H41/'- 3 -'!D41*100</f>
        <v>0.2684493205042843</v>
      </c>
    </row>
    <row r="42" spans="1:9" ht="13.5" customHeight="1">
      <c r="A42" s="25" t="s">
        <v>275</v>
      </c>
      <c r="B42" s="26">
        <v>0</v>
      </c>
      <c r="C42" s="78">
        <f>B42/'- 3 -'!D42*100</f>
        <v>0</v>
      </c>
      <c r="D42" s="26">
        <v>0</v>
      </c>
      <c r="E42" s="78">
        <f>D42/'- 3 -'!D42*100</f>
        <v>0</v>
      </c>
      <c r="F42" s="26">
        <v>0</v>
      </c>
      <c r="G42" s="78">
        <f>F42/'- 3 -'!D42*100</f>
        <v>0</v>
      </c>
      <c r="H42" s="26">
        <v>65688</v>
      </c>
      <c r="I42" s="78">
        <f>H42/'- 3 -'!D42*100</f>
        <v>0.39770071253500117</v>
      </c>
    </row>
    <row r="43" spans="1:9" ht="13.5" customHeight="1">
      <c r="A43" s="331" t="s">
        <v>276</v>
      </c>
      <c r="B43" s="332">
        <v>0</v>
      </c>
      <c r="C43" s="338">
        <f>B43/'- 3 -'!D43*100</f>
        <v>0</v>
      </c>
      <c r="D43" s="332">
        <v>0</v>
      </c>
      <c r="E43" s="338">
        <f>D43/'- 3 -'!D43*100</f>
        <v>0</v>
      </c>
      <c r="F43" s="332">
        <v>0</v>
      </c>
      <c r="G43" s="338">
        <f>F43/'- 3 -'!D43*100</f>
        <v>0</v>
      </c>
      <c r="H43" s="332">
        <v>5032</v>
      </c>
      <c r="I43" s="338">
        <f>H43/'- 3 -'!D43*100</f>
        <v>0.04941921132556329</v>
      </c>
    </row>
    <row r="44" spans="1:9" ht="13.5" customHeight="1">
      <c r="A44" s="25" t="s">
        <v>277</v>
      </c>
      <c r="B44" s="26">
        <v>0</v>
      </c>
      <c r="C44" s="78">
        <f>B44/'- 3 -'!D44*100</f>
        <v>0</v>
      </c>
      <c r="D44" s="26">
        <v>0</v>
      </c>
      <c r="E44" s="78">
        <f>D44/'- 3 -'!D44*100</f>
        <v>0</v>
      </c>
      <c r="F44" s="26">
        <v>0</v>
      </c>
      <c r="G44" s="78">
        <f>F44/'- 3 -'!D44*100</f>
        <v>0</v>
      </c>
      <c r="H44" s="26">
        <v>6742</v>
      </c>
      <c r="I44" s="78">
        <f>H44/'- 3 -'!D44*100</f>
        <v>0.08721172398769982</v>
      </c>
    </row>
    <row r="45" spans="1:9" ht="13.5" customHeight="1">
      <c r="A45" s="331" t="s">
        <v>278</v>
      </c>
      <c r="B45" s="332">
        <v>0</v>
      </c>
      <c r="C45" s="338">
        <f>B45/'- 3 -'!D45*100</f>
        <v>0</v>
      </c>
      <c r="D45" s="332">
        <v>0</v>
      </c>
      <c r="E45" s="338">
        <f>D45/'- 3 -'!D45*100</f>
        <v>0</v>
      </c>
      <c r="F45" s="332">
        <v>122445.34</v>
      </c>
      <c r="G45" s="338">
        <f>F45/'- 3 -'!D45*100</f>
        <v>1.0509244743947947</v>
      </c>
      <c r="H45" s="332">
        <v>21731.66</v>
      </c>
      <c r="I45" s="338">
        <f>H45/'- 3 -'!D45*100</f>
        <v>0.18651859975419552</v>
      </c>
    </row>
    <row r="46" spans="1:9" ht="13.5" customHeight="1">
      <c r="A46" s="25" t="s">
        <v>279</v>
      </c>
      <c r="B46" s="26">
        <v>0</v>
      </c>
      <c r="C46" s="78">
        <f>B46/'- 3 -'!D46*100</f>
        <v>0</v>
      </c>
      <c r="D46" s="26">
        <v>2422336</v>
      </c>
      <c r="E46" s="78">
        <f>D46/'- 3 -'!D46*100</f>
        <v>0.8342315030372853</v>
      </c>
      <c r="F46" s="26">
        <v>145256</v>
      </c>
      <c r="G46" s="78">
        <f>F46/'- 3 -'!D46*100</f>
        <v>0.05002490620838063</v>
      </c>
      <c r="H46" s="26">
        <v>4023814</v>
      </c>
      <c r="I46" s="78">
        <f>H46/'- 3 -'!D46*100</f>
        <v>1.3857666323592066</v>
      </c>
    </row>
    <row r="47" spans="1:10" ht="4.5" customHeight="1">
      <c r="A47"/>
      <c r="B47"/>
      <c r="C47"/>
      <c r="D47"/>
      <c r="E47"/>
      <c r="F47"/>
      <c r="G47"/>
      <c r="H47"/>
      <c r="I47"/>
      <c r="J47"/>
    </row>
    <row r="48" spans="1:9" ht="13.5" customHeight="1">
      <c r="A48" s="333" t="s">
        <v>280</v>
      </c>
      <c r="B48" s="334">
        <f>SUM(B11:B46)</f>
        <v>1751879</v>
      </c>
      <c r="C48" s="341">
        <f>B48/'- 3 -'!D48*100</f>
        <v>0.11041667618953699</v>
      </c>
      <c r="D48" s="334">
        <f>SUM(D11:D46)</f>
        <v>2431104</v>
      </c>
      <c r="E48" s="341">
        <f>D48/'- 3 -'!D48*100</f>
        <v>0.15322657737839662</v>
      </c>
      <c r="F48" s="334">
        <f>SUM(F11:F46)</f>
        <v>2524036.34</v>
      </c>
      <c r="G48" s="341">
        <f>F48/'- 3 -'!D48*100</f>
        <v>0.15908387693693687</v>
      </c>
      <c r="H48" s="334">
        <f>SUM(H11:H46)</f>
        <v>8000723.66</v>
      </c>
      <c r="I48" s="341">
        <f>H48/'- 3 -'!D48*100</f>
        <v>0.5042661700084237</v>
      </c>
    </row>
    <row r="49" spans="1:9" ht="4.5" customHeight="1">
      <c r="A49" s="27" t="s">
        <v>32</v>
      </c>
      <c r="B49"/>
      <c r="C49"/>
      <c r="D49"/>
      <c r="E49"/>
      <c r="F49"/>
      <c r="G49"/>
      <c r="H49"/>
      <c r="I49"/>
    </row>
    <row r="50" spans="1:9" ht="13.5" customHeight="1">
      <c r="A50" s="25" t="s">
        <v>281</v>
      </c>
      <c r="B50" s="26">
        <v>0</v>
      </c>
      <c r="C50" s="78">
        <f>B50/'- 3 -'!D50*100</f>
        <v>0</v>
      </c>
      <c r="D50" s="26">
        <v>0</v>
      </c>
      <c r="E50" s="78">
        <f>D50/'- 3 -'!D50*100</f>
        <v>0</v>
      </c>
      <c r="F50" s="26">
        <v>0</v>
      </c>
      <c r="G50" s="78">
        <f>F50/'- 3 -'!D50*100</f>
        <v>0</v>
      </c>
      <c r="H50" s="26">
        <v>5000</v>
      </c>
      <c r="I50" s="78">
        <f>H50/'- 3 -'!D50*100</f>
        <v>0.1896869482480893</v>
      </c>
    </row>
    <row r="51" spans="1:9" ht="13.5" customHeight="1">
      <c r="A51" s="331" t="s">
        <v>282</v>
      </c>
      <c r="B51" s="332">
        <v>233825</v>
      </c>
      <c r="C51" s="338">
        <f>B51/'- 3 -'!D51*100</f>
        <v>2.3108116535074186</v>
      </c>
      <c r="D51" s="332">
        <v>72364</v>
      </c>
      <c r="E51" s="338">
        <f>D51/'- 3 -'!D51*100</f>
        <v>0.7151483994201253</v>
      </c>
      <c r="F51" s="332">
        <v>741520</v>
      </c>
      <c r="G51" s="338">
        <f>F51/'- 3 -'!D51*100</f>
        <v>7.3281858539883284</v>
      </c>
      <c r="H51" s="332">
        <v>0</v>
      </c>
      <c r="I51" s="338">
        <f>H51/'- 3 -'!D51*100</f>
        <v>0</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1"/>
  <sheetViews>
    <sheetView showGridLines="0" showZeros="0" workbookViewId="0" topLeftCell="A1">
      <selection activeCell="A1" sqref="A1"/>
    </sheetView>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4"/>
      <c r="B2" s="7" t="s">
        <v>528</v>
      </c>
      <c r="C2" s="8"/>
      <c r="D2" s="8"/>
      <c r="E2" s="8"/>
      <c r="F2" s="8"/>
      <c r="G2" s="81"/>
      <c r="H2" s="81"/>
      <c r="I2" s="174"/>
      <c r="J2" s="496" t="s">
        <v>486</v>
      </c>
    </row>
    <row r="3" spans="1:10" ht="15.75" customHeight="1">
      <c r="A3" s="156"/>
      <c r="B3" s="9" t="str">
        <f>OPYEAR</f>
        <v>OPERATING FUND 2006/2007 ACTUAL</v>
      </c>
      <c r="C3" s="10"/>
      <c r="D3" s="10"/>
      <c r="E3" s="10"/>
      <c r="F3" s="10"/>
      <c r="G3" s="83"/>
      <c r="H3" s="83"/>
      <c r="I3" s="83"/>
      <c r="J3" s="73"/>
    </row>
    <row r="4" spans="2:10" ht="15.75" customHeight="1">
      <c r="B4" s="6"/>
      <c r="C4" s="6"/>
      <c r="D4" s="6"/>
      <c r="E4" s="6"/>
      <c r="F4" s="6"/>
      <c r="G4" s="6"/>
      <c r="H4" s="6"/>
      <c r="I4" s="6"/>
      <c r="J4" s="6"/>
    </row>
    <row r="5" spans="2:10" ht="15.75" customHeight="1">
      <c r="B5" s="186" t="s">
        <v>202</v>
      </c>
      <c r="C5" s="187"/>
      <c r="D5" s="188"/>
      <c r="E5" s="188"/>
      <c r="F5" s="188"/>
      <c r="G5" s="188"/>
      <c r="H5" s="188"/>
      <c r="I5" s="188"/>
      <c r="J5" s="189"/>
    </row>
    <row r="6" spans="2:10" ht="15.75" customHeight="1">
      <c r="B6" s="359"/>
      <c r="C6" s="362"/>
      <c r="D6" s="360"/>
      <c r="E6" s="359" t="s">
        <v>43</v>
      </c>
      <c r="F6" s="362"/>
      <c r="G6" s="360"/>
      <c r="H6" s="359" t="s">
        <v>41</v>
      </c>
      <c r="I6" s="362"/>
      <c r="J6" s="360"/>
    </row>
    <row r="7" spans="2:10" ht="15.75" customHeight="1">
      <c r="B7" s="345" t="s">
        <v>68</v>
      </c>
      <c r="C7" s="346"/>
      <c r="D7" s="347"/>
      <c r="E7" s="345" t="s">
        <v>69</v>
      </c>
      <c r="F7" s="346"/>
      <c r="G7" s="347"/>
      <c r="H7" s="345" t="s">
        <v>70</v>
      </c>
      <c r="I7" s="346"/>
      <c r="J7" s="347"/>
    </row>
    <row r="8" spans="1:10" ht="15.75" customHeight="1">
      <c r="A8" s="74"/>
      <c r="B8" s="157"/>
      <c r="C8" s="158"/>
      <c r="D8" s="159" t="s">
        <v>89</v>
      </c>
      <c r="E8" s="157"/>
      <c r="F8" s="159"/>
      <c r="G8" s="159" t="s">
        <v>89</v>
      </c>
      <c r="H8" s="157"/>
      <c r="I8" s="159"/>
      <c r="J8" s="159" t="s">
        <v>89</v>
      </c>
    </row>
    <row r="9" spans="1:10" ht="15.75" customHeight="1">
      <c r="A9" s="41" t="s">
        <v>108</v>
      </c>
      <c r="B9" s="86" t="s">
        <v>109</v>
      </c>
      <c r="C9" s="86" t="s">
        <v>110</v>
      </c>
      <c r="D9" s="86" t="s">
        <v>111</v>
      </c>
      <c r="E9" s="86" t="s">
        <v>109</v>
      </c>
      <c r="F9" s="86" t="s">
        <v>110</v>
      </c>
      <c r="G9" s="86" t="s">
        <v>111</v>
      </c>
      <c r="H9" s="86" t="s">
        <v>109</v>
      </c>
      <c r="I9" s="86" t="s">
        <v>110</v>
      </c>
      <c r="J9" s="86" t="s">
        <v>111</v>
      </c>
    </row>
    <row r="10" ht="4.5" customHeight="1">
      <c r="A10" s="4"/>
    </row>
    <row r="11" spans="1:10" ht="13.5" customHeight="1">
      <c r="A11" s="331" t="s">
        <v>245</v>
      </c>
      <c r="B11" s="332">
        <v>102814</v>
      </c>
      <c r="C11" s="338">
        <f>B11/'- 3 -'!D11*100</f>
        <v>0.851639711933758</v>
      </c>
      <c r="D11" s="332">
        <f>B11/'- 7 -'!F11</f>
        <v>70.68683396356136</v>
      </c>
      <c r="E11" s="332">
        <v>113071</v>
      </c>
      <c r="F11" s="338">
        <f>E11/'- 3 -'!D11*100</f>
        <v>0.9366015704871121</v>
      </c>
      <c r="G11" s="332">
        <f>E11/'- 7 -'!F11</f>
        <v>77.73874183568236</v>
      </c>
      <c r="H11" s="332">
        <v>255064</v>
      </c>
      <c r="I11" s="338">
        <f>H11/'- 3 -'!D11*100</f>
        <v>2.112772885839205</v>
      </c>
      <c r="J11" s="332">
        <f>H11/'- 7 -'!F11</f>
        <v>175.36198006187692</v>
      </c>
    </row>
    <row r="12" spans="1:10" ht="13.5" customHeight="1">
      <c r="A12" s="25" t="s">
        <v>246</v>
      </c>
      <c r="B12" s="26">
        <v>139197</v>
      </c>
      <c r="C12" s="78">
        <f>B12/'- 3 -'!D12*100</f>
        <v>0.6327979031840493</v>
      </c>
      <c r="D12" s="26">
        <f>B12/'- 7 -'!F12</f>
        <v>58.11182592795147</v>
      </c>
      <c r="E12" s="26">
        <v>123487</v>
      </c>
      <c r="F12" s="78">
        <f>E12/'- 3 -'!D12*100</f>
        <v>0.5613793017844401</v>
      </c>
      <c r="G12" s="26">
        <f>E12/'- 7 -'!F12</f>
        <v>51.553230661328506</v>
      </c>
      <c r="H12" s="26">
        <v>427705</v>
      </c>
      <c r="I12" s="78">
        <f>H12/'- 3 -'!D12*100</f>
        <v>1.9443725596193437</v>
      </c>
      <c r="J12" s="26">
        <f>H12/'- 7 -'!F12</f>
        <v>178.55786050356318</v>
      </c>
    </row>
    <row r="13" spans="1:10" ht="13.5" customHeight="1">
      <c r="A13" s="331" t="s">
        <v>247</v>
      </c>
      <c r="B13" s="332">
        <v>242403</v>
      </c>
      <c r="C13" s="338">
        <f>B13/'- 3 -'!D13*100</f>
        <v>0.45145950357799575</v>
      </c>
      <c r="D13" s="332">
        <f>B13/'- 7 -'!F13</f>
        <v>35.946170386297915</v>
      </c>
      <c r="E13" s="332">
        <v>529689</v>
      </c>
      <c r="F13" s="338">
        <f>E13/'- 3 -'!D13*100</f>
        <v>0.9865106165795186</v>
      </c>
      <c r="G13" s="332">
        <f>E13/'- 7 -'!F13</f>
        <v>78.54808333951212</v>
      </c>
      <c r="H13" s="332">
        <v>905224</v>
      </c>
      <c r="I13" s="338">
        <f>H13/'- 3 -'!D13*100</f>
        <v>1.6859196365840674</v>
      </c>
      <c r="J13" s="332">
        <f>H13/'- 7 -'!F13</f>
        <v>134.23652406020614</v>
      </c>
    </row>
    <row r="14" spans="1:10" ht="13.5" customHeight="1">
      <c r="A14" s="25" t="s">
        <v>283</v>
      </c>
      <c r="B14" s="26">
        <v>466990</v>
      </c>
      <c r="C14" s="78">
        <f>B14/'- 3 -'!D14*100</f>
        <v>0.950690766956172</v>
      </c>
      <c r="D14" s="26">
        <f>B14/'- 7 -'!F14</f>
        <v>99.76287118137151</v>
      </c>
      <c r="E14" s="26">
        <v>523114</v>
      </c>
      <c r="F14" s="78">
        <f>E14/'- 3 -'!D14*100</f>
        <v>1.0649471077871282</v>
      </c>
      <c r="G14" s="26">
        <f>E14/'- 7 -'!F14</f>
        <v>111.75261696218757</v>
      </c>
      <c r="H14" s="26">
        <v>666787</v>
      </c>
      <c r="I14" s="78">
        <f>H14/'- 3 -'!D14*100</f>
        <v>1.3574343014334462</v>
      </c>
      <c r="J14" s="26">
        <f>H14/'- 7 -'!F14</f>
        <v>142.44541764580217</v>
      </c>
    </row>
    <row r="15" spans="1:10" ht="13.5" customHeight="1">
      <c r="A15" s="331" t="s">
        <v>248</v>
      </c>
      <c r="B15" s="332">
        <v>114905</v>
      </c>
      <c r="C15" s="338">
        <f>B15/'- 3 -'!D15*100</f>
        <v>0.812544174421388</v>
      </c>
      <c r="D15" s="332">
        <f>B15/'- 7 -'!F15</f>
        <v>70.71076923076923</v>
      </c>
      <c r="E15" s="332">
        <v>122779</v>
      </c>
      <c r="F15" s="338">
        <f>E15/'- 3 -'!D15*100</f>
        <v>0.8682247177345077</v>
      </c>
      <c r="G15" s="332">
        <f>E15/'- 7 -'!F15</f>
        <v>75.5563076923077</v>
      </c>
      <c r="H15" s="332">
        <v>308877</v>
      </c>
      <c r="I15" s="338">
        <f>H15/'- 3 -'!D15*100</f>
        <v>2.1842061438819464</v>
      </c>
      <c r="J15" s="332">
        <f>H15/'- 7 -'!F15</f>
        <v>190.07815384615384</v>
      </c>
    </row>
    <row r="16" spans="1:10" ht="13.5" customHeight="1">
      <c r="A16" s="25" t="s">
        <v>249</v>
      </c>
      <c r="B16" s="26">
        <v>78820</v>
      </c>
      <c r="C16" s="78">
        <f>B16/'- 3 -'!D16*100</f>
        <v>0.7089765644918861</v>
      </c>
      <c r="D16" s="26">
        <f>B16/'- 7 -'!F16</f>
        <v>70.78581050740907</v>
      </c>
      <c r="E16" s="26">
        <v>169476</v>
      </c>
      <c r="F16" s="78">
        <f>E16/'- 3 -'!D16*100</f>
        <v>1.524416547117824</v>
      </c>
      <c r="G16" s="26">
        <f>E16/'- 7 -'!F16</f>
        <v>152.20116748989673</v>
      </c>
      <c r="H16" s="26">
        <v>295518</v>
      </c>
      <c r="I16" s="78">
        <f>H16/'- 3 -'!D16*100</f>
        <v>2.658149408595701</v>
      </c>
      <c r="J16" s="26">
        <f>H16/'- 7 -'!F16</f>
        <v>265.3955994611585</v>
      </c>
    </row>
    <row r="17" spans="1:10" ht="13.5" customHeight="1">
      <c r="A17" s="331" t="s">
        <v>250</v>
      </c>
      <c r="B17" s="332">
        <v>145343</v>
      </c>
      <c r="C17" s="338">
        <f>B17/'- 3 -'!D17*100</f>
        <v>1.0882690477408101</v>
      </c>
      <c r="D17" s="332">
        <f>B17/'- 7 -'!F17</f>
        <v>99.5285750621197</v>
      </c>
      <c r="E17" s="332">
        <v>114246</v>
      </c>
      <c r="F17" s="338">
        <f>E17/'- 3 -'!D17*100</f>
        <v>0.8554274070866612</v>
      </c>
      <c r="G17" s="332">
        <f>E17/'- 7 -'!F17</f>
        <v>78.23384398661736</v>
      </c>
      <c r="H17" s="332">
        <v>211382</v>
      </c>
      <c r="I17" s="338">
        <f>H17/'- 3 -'!D17*100</f>
        <v>1.582742119328402</v>
      </c>
      <c r="J17" s="332">
        <f>H17/'- 7 -'!F17</f>
        <v>144.751032067461</v>
      </c>
    </row>
    <row r="18" spans="1:10" ht="13.5" customHeight="1">
      <c r="A18" s="25" t="s">
        <v>251</v>
      </c>
      <c r="B18" s="26">
        <v>727968</v>
      </c>
      <c r="C18" s="78">
        <f>B18/'- 3 -'!D18*100</f>
        <v>0.8368564084406658</v>
      </c>
      <c r="D18" s="26">
        <f>B18/'- 7 -'!F18</f>
        <v>127.29383786808421</v>
      </c>
      <c r="E18" s="26">
        <v>2017688</v>
      </c>
      <c r="F18" s="78">
        <f>E18/'- 3 -'!D18*100</f>
        <v>2.319490874645355</v>
      </c>
      <c r="G18" s="26">
        <f>E18/'- 7 -'!F18</f>
        <v>352.81667482688675</v>
      </c>
      <c r="H18" s="26">
        <v>2588954</v>
      </c>
      <c r="I18" s="78">
        <f>H18/'- 3 -'!D18*100</f>
        <v>2.976206022872015</v>
      </c>
      <c r="J18" s="26">
        <f>H18/'- 7 -'!F18</f>
        <v>452.70930964538013</v>
      </c>
    </row>
    <row r="19" spans="1:10" ht="13.5" customHeight="1">
      <c r="A19" s="331" t="s">
        <v>252</v>
      </c>
      <c r="B19" s="332">
        <v>131486</v>
      </c>
      <c r="C19" s="338">
        <f>B19/'- 3 -'!D19*100</f>
        <v>0.5309699277089245</v>
      </c>
      <c r="D19" s="332">
        <f>B19/'- 7 -'!F19</f>
        <v>38.21756393040465</v>
      </c>
      <c r="E19" s="332">
        <v>274962</v>
      </c>
      <c r="F19" s="338">
        <f>E19/'- 3 -'!D19*100</f>
        <v>1.1103581618020268</v>
      </c>
      <c r="G19" s="332">
        <f>E19/'- 7 -'!F19</f>
        <v>79.920126959767</v>
      </c>
      <c r="H19" s="332">
        <v>409401</v>
      </c>
      <c r="I19" s="338">
        <f>H19/'- 3 -'!D19*100</f>
        <v>1.6532529651366792</v>
      </c>
      <c r="J19" s="332">
        <f>H19/'- 7 -'!F19</f>
        <v>118.99600634798836</v>
      </c>
    </row>
    <row r="20" spans="1:10" ht="13.5" customHeight="1">
      <c r="A20" s="25" t="s">
        <v>253</v>
      </c>
      <c r="B20" s="26">
        <v>210301</v>
      </c>
      <c r="C20" s="78">
        <f>B20/'- 3 -'!D20*100</f>
        <v>0.4558911873769338</v>
      </c>
      <c r="D20" s="26">
        <f>B20/'- 7 -'!F20</f>
        <v>30.972164948453607</v>
      </c>
      <c r="E20" s="26">
        <v>299900</v>
      </c>
      <c r="F20" s="78">
        <f>E20/'- 3 -'!D20*100</f>
        <v>0.6501241891115233</v>
      </c>
      <c r="G20" s="26">
        <f>E20/'- 7 -'!F20</f>
        <v>44.167893961708394</v>
      </c>
      <c r="H20" s="26">
        <v>748852</v>
      </c>
      <c r="I20" s="78">
        <f>H20/'- 3 -'!D20*100</f>
        <v>1.6233637854769671</v>
      </c>
      <c r="J20" s="26">
        <f>H20/'- 7 -'!F20</f>
        <v>110.28748159057437</v>
      </c>
    </row>
    <row r="21" spans="1:10" ht="13.5" customHeight="1">
      <c r="A21" s="331" t="s">
        <v>254</v>
      </c>
      <c r="B21" s="332">
        <v>183005</v>
      </c>
      <c r="C21" s="338">
        <f>B21/'- 3 -'!D21*100</f>
        <v>0.6916097930782711</v>
      </c>
      <c r="D21" s="332">
        <f>B21/'- 7 -'!F21</f>
        <v>58.664850136239785</v>
      </c>
      <c r="E21" s="332">
        <v>324306</v>
      </c>
      <c r="F21" s="338">
        <f>E21/'- 3 -'!D21*100</f>
        <v>1.2256124453104658</v>
      </c>
      <c r="G21" s="332">
        <f>E21/'- 7 -'!F21</f>
        <v>103.96089116845648</v>
      </c>
      <c r="H21" s="332">
        <v>465241</v>
      </c>
      <c r="I21" s="338">
        <f>H21/'- 3 -'!D21*100</f>
        <v>1.758231915748356</v>
      </c>
      <c r="J21" s="332">
        <f>H21/'- 7 -'!F21</f>
        <v>149.13960570604263</v>
      </c>
    </row>
    <row r="22" spans="1:10" ht="13.5" customHeight="1">
      <c r="A22" s="25" t="s">
        <v>255</v>
      </c>
      <c r="B22" s="26">
        <v>82055</v>
      </c>
      <c r="C22" s="78">
        <f>B22/'- 3 -'!D22*100</f>
        <v>0.547671516696022</v>
      </c>
      <c r="D22" s="26">
        <f>B22/'- 7 -'!F22</f>
        <v>50.451918347270045</v>
      </c>
      <c r="E22" s="26">
        <v>108693</v>
      </c>
      <c r="F22" s="78">
        <f>E22/'- 3 -'!D22*100</f>
        <v>0.7254653606025315</v>
      </c>
      <c r="G22" s="26">
        <f>E22/'- 7 -'!F22</f>
        <v>66.83042302016723</v>
      </c>
      <c r="H22" s="26">
        <v>366993</v>
      </c>
      <c r="I22" s="78">
        <f>H22/'- 3 -'!D22*100</f>
        <v>2.4494742907418585</v>
      </c>
      <c r="J22" s="26">
        <f>H22/'- 7 -'!F22</f>
        <v>225.64744220363994</v>
      </c>
    </row>
    <row r="23" spans="1:10" ht="13.5" customHeight="1">
      <c r="A23" s="331" t="s">
        <v>256</v>
      </c>
      <c r="B23" s="332">
        <v>99547</v>
      </c>
      <c r="C23" s="338">
        <f>B23/'- 3 -'!D23*100</f>
        <v>0.7948762275338891</v>
      </c>
      <c r="D23" s="332">
        <f>B23/'- 7 -'!F23</f>
        <v>76.45698924731182</v>
      </c>
      <c r="E23" s="332">
        <v>107910</v>
      </c>
      <c r="F23" s="338">
        <f>E23/'- 3 -'!D23*100</f>
        <v>0.8616542307973316</v>
      </c>
      <c r="G23" s="332">
        <f>E23/'- 7 -'!F23</f>
        <v>82.88018433179724</v>
      </c>
      <c r="H23" s="332">
        <v>226991</v>
      </c>
      <c r="I23" s="338">
        <f>H23/'- 3 -'!D23*100</f>
        <v>1.8125081596044583</v>
      </c>
      <c r="J23" s="332">
        <f>H23/'- 7 -'!F23</f>
        <v>174.34024577572964</v>
      </c>
    </row>
    <row r="24" spans="1:10" ht="13.5" customHeight="1">
      <c r="A24" s="25" t="s">
        <v>257</v>
      </c>
      <c r="B24" s="26">
        <v>272611</v>
      </c>
      <c r="C24" s="78">
        <f>B24/'- 3 -'!D24*100</f>
        <v>0.6818908114243268</v>
      </c>
      <c r="D24" s="26">
        <f>B24/'- 7 -'!F24</f>
        <v>59.85530793720496</v>
      </c>
      <c r="E24" s="26">
        <v>269026</v>
      </c>
      <c r="F24" s="78">
        <f>E24/'- 3 -'!D24*100</f>
        <v>0.6729235336587334</v>
      </c>
      <c r="G24" s="26">
        <f>E24/'- 7 -'!F24</f>
        <v>59.068174333077174</v>
      </c>
      <c r="H24" s="26">
        <v>613012</v>
      </c>
      <c r="I24" s="78">
        <f>H24/'- 3 -'!D24*100</f>
        <v>1.5333469672641584</v>
      </c>
      <c r="J24" s="26">
        <f>H24/'- 7 -'!F24</f>
        <v>134.59479635525304</v>
      </c>
    </row>
    <row r="25" spans="1:10" ht="13.5" customHeight="1">
      <c r="A25" s="331" t="s">
        <v>258</v>
      </c>
      <c r="B25" s="332">
        <v>335351</v>
      </c>
      <c r="C25" s="338">
        <f>B25/'- 3 -'!D25*100</f>
        <v>0.26926420024981157</v>
      </c>
      <c r="D25" s="332">
        <f>B25/'- 7 -'!F25</f>
        <v>23.235821929672614</v>
      </c>
      <c r="E25" s="332">
        <v>935630</v>
      </c>
      <c r="F25" s="338">
        <f>E25/'- 3 -'!D25*100</f>
        <v>0.7512476887790142</v>
      </c>
      <c r="G25" s="332">
        <f>E25/'- 7 -'!F25</f>
        <v>64.82799237831284</v>
      </c>
      <c r="H25" s="332">
        <v>2833556</v>
      </c>
      <c r="I25" s="338">
        <f>H25/'- 3 -'!D25*100</f>
        <v>2.27515406306543</v>
      </c>
      <c r="J25" s="332">
        <f>H25/'- 7 -'!F25</f>
        <v>196.33161267971593</v>
      </c>
    </row>
    <row r="26" spans="1:10" ht="13.5" customHeight="1">
      <c r="A26" s="25" t="s">
        <v>259</v>
      </c>
      <c r="B26" s="26">
        <v>161479</v>
      </c>
      <c r="C26" s="78">
        <f>B26/'- 3 -'!D26*100</f>
        <v>0.5348550408992085</v>
      </c>
      <c r="D26" s="26">
        <f>B26/'- 7 -'!F26</f>
        <v>50.43854443229736</v>
      </c>
      <c r="E26" s="26">
        <v>234192</v>
      </c>
      <c r="F26" s="78">
        <f>E26/'- 3 -'!D26*100</f>
        <v>0.775696974456539</v>
      </c>
      <c r="G26" s="26">
        <f>E26/'- 7 -'!F26</f>
        <v>73.15071060440418</v>
      </c>
      <c r="H26" s="26">
        <v>502313</v>
      </c>
      <c r="I26" s="78">
        <f>H26/'- 3 -'!D26*100</f>
        <v>1.6637744855938181</v>
      </c>
      <c r="J26" s="26">
        <f>H26/'- 7 -'!F26</f>
        <v>156.899265969077</v>
      </c>
    </row>
    <row r="27" spans="1:10" ht="13.5" customHeight="1">
      <c r="A27" s="331" t="s">
        <v>260</v>
      </c>
      <c r="B27" s="332">
        <v>167043</v>
      </c>
      <c r="C27" s="338">
        <f>B27/'- 3 -'!D27*100</f>
        <v>0.5271363359494655</v>
      </c>
      <c r="D27" s="332">
        <f>B27/'- 7 -'!F27</f>
        <v>50.610809140322495</v>
      </c>
      <c r="E27" s="332">
        <v>376436</v>
      </c>
      <c r="F27" s="338">
        <f>E27/'- 3 -'!D27*100</f>
        <v>1.1879162476696001</v>
      </c>
      <c r="G27" s="332">
        <f>E27/'- 7 -'!F27</f>
        <v>114.05285195755846</v>
      </c>
      <c r="H27" s="332">
        <v>802267</v>
      </c>
      <c r="I27" s="338">
        <f>H27/'- 3 -'!D27*100</f>
        <v>2.531707924505486</v>
      </c>
      <c r="J27" s="332">
        <f>H27/'- 7 -'!F27</f>
        <v>243.0714367951911</v>
      </c>
    </row>
    <row r="28" spans="1:10" ht="13.5" customHeight="1">
      <c r="A28" s="25" t="s">
        <v>261</v>
      </c>
      <c r="B28" s="26">
        <v>136997</v>
      </c>
      <c r="C28" s="78">
        <f>B28/'- 3 -'!D28*100</f>
        <v>0.7853515992917692</v>
      </c>
      <c r="D28" s="26">
        <f>B28/'- 7 -'!F28</f>
        <v>71.93331583092676</v>
      </c>
      <c r="E28" s="26">
        <v>255913</v>
      </c>
      <c r="F28" s="78">
        <f>E28/'- 3 -'!D28*100</f>
        <v>1.46705171521679</v>
      </c>
      <c r="G28" s="26">
        <f>E28/'- 7 -'!F28</f>
        <v>134.37280126017328</v>
      </c>
      <c r="H28" s="26">
        <v>264806</v>
      </c>
      <c r="I28" s="78">
        <f>H28/'- 3 -'!D28*100</f>
        <v>1.5180318956039642</v>
      </c>
      <c r="J28" s="26">
        <f>H28/'- 7 -'!F28</f>
        <v>139.04226831189288</v>
      </c>
    </row>
    <row r="29" spans="1:10" ht="13.5" customHeight="1">
      <c r="A29" s="331" t="s">
        <v>262</v>
      </c>
      <c r="B29" s="332">
        <v>392405</v>
      </c>
      <c r="C29" s="338">
        <f>B29/'- 3 -'!D29*100</f>
        <v>0.34430532565112887</v>
      </c>
      <c r="D29" s="332">
        <f>B29/'- 7 -'!F29</f>
        <v>31.20144714348189</v>
      </c>
      <c r="E29" s="332">
        <v>1393259</v>
      </c>
      <c r="F29" s="338">
        <f>E29/'- 3 -'!D29*100</f>
        <v>1.2224780359867131</v>
      </c>
      <c r="G29" s="332">
        <f>E29/'- 7 -'!F29</f>
        <v>110.78272969427105</v>
      </c>
      <c r="H29" s="332">
        <v>1321042</v>
      </c>
      <c r="I29" s="338">
        <f>H29/'- 3 -'!D29*100</f>
        <v>1.1591131509762072</v>
      </c>
      <c r="J29" s="332">
        <f>H29/'- 7 -'!F29</f>
        <v>105.04051206615513</v>
      </c>
    </row>
    <row r="30" spans="1:10" ht="13.5" customHeight="1">
      <c r="A30" s="25" t="s">
        <v>263</v>
      </c>
      <c r="B30" s="26">
        <v>89627</v>
      </c>
      <c r="C30" s="78">
        <f>B30/'- 3 -'!D30*100</f>
        <v>0.7983538200233092</v>
      </c>
      <c r="D30" s="26">
        <f>B30/'- 7 -'!F30</f>
        <v>74.75145954962468</v>
      </c>
      <c r="E30" s="26">
        <v>112024</v>
      </c>
      <c r="F30" s="78">
        <f>E30/'- 3 -'!D30*100</f>
        <v>0.9978554267608108</v>
      </c>
      <c r="G30" s="26">
        <f>E30/'- 7 -'!F30</f>
        <v>93.43119266055047</v>
      </c>
      <c r="H30" s="26">
        <v>233528</v>
      </c>
      <c r="I30" s="78">
        <f>H30/'- 3 -'!D30*100</f>
        <v>2.0801540928782996</v>
      </c>
      <c r="J30" s="26">
        <f>H30/'- 7 -'!F30</f>
        <v>194.76897414512092</v>
      </c>
    </row>
    <row r="31" spans="1:10" ht="13.5" customHeight="1">
      <c r="A31" s="331" t="s">
        <v>264</v>
      </c>
      <c r="B31" s="332">
        <v>150548</v>
      </c>
      <c r="C31" s="338">
        <f>B31/'- 3 -'!D31*100</f>
        <v>0.54381669178321</v>
      </c>
      <c r="D31" s="332">
        <f>B31/'- 7 -'!F31</f>
        <v>45.135062209563785</v>
      </c>
      <c r="E31" s="332">
        <v>279975</v>
      </c>
      <c r="F31" s="338">
        <f>E31/'- 3 -'!D31*100</f>
        <v>1.0113390963812487</v>
      </c>
      <c r="G31" s="332">
        <f>E31/'- 7 -'!F31</f>
        <v>83.9379403387798</v>
      </c>
      <c r="H31" s="332">
        <v>434404</v>
      </c>
      <c r="I31" s="338">
        <f>H31/'- 3 -'!D31*100</f>
        <v>1.569174922133762</v>
      </c>
      <c r="J31" s="332">
        <f>H31/'- 7 -'!F31</f>
        <v>130.2365462449408</v>
      </c>
    </row>
    <row r="32" spans="1:10" ht="13.5" customHeight="1">
      <c r="A32" s="25" t="s">
        <v>265</v>
      </c>
      <c r="B32" s="26">
        <v>154986</v>
      </c>
      <c r="C32" s="78">
        <f>B32/'- 3 -'!D32*100</f>
        <v>0.7669840832467676</v>
      </c>
      <c r="D32" s="26">
        <f>B32/'- 7 -'!F32</f>
        <v>71.55401662049861</v>
      </c>
      <c r="E32" s="26">
        <v>176577</v>
      </c>
      <c r="F32" s="78">
        <f>E32/'- 3 -'!D32*100</f>
        <v>0.8738321426933044</v>
      </c>
      <c r="G32" s="26">
        <f>E32/'- 7 -'!F32</f>
        <v>81.52216066481995</v>
      </c>
      <c r="H32" s="26">
        <v>456701</v>
      </c>
      <c r="I32" s="78">
        <f>H32/'- 3 -'!D32*100</f>
        <v>2.260090574651143</v>
      </c>
      <c r="J32" s="26">
        <f>H32/'- 7 -'!F32</f>
        <v>210.84995383194828</v>
      </c>
    </row>
    <row r="33" spans="1:10" ht="13.5" customHeight="1">
      <c r="A33" s="331" t="s">
        <v>266</v>
      </c>
      <c r="B33" s="332">
        <v>199964</v>
      </c>
      <c r="C33" s="338">
        <f>B33/'- 3 -'!D33*100</f>
        <v>0.8790673139935652</v>
      </c>
      <c r="D33" s="332">
        <f>B33/'- 7 -'!F33</f>
        <v>86.85778820258884</v>
      </c>
      <c r="E33" s="332">
        <v>431880</v>
      </c>
      <c r="F33" s="338">
        <f>E33/'- 3 -'!D33*100</f>
        <v>1.8985997057847461</v>
      </c>
      <c r="G33" s="332">
        <f>E33/'- 7 -'!F33</f>
        <v>187.59447485014334</v>
      </c>
      <c r="H33" s="332">
        <v>295612</v>
      </c>
      <c r="I33" s="338">
        <f>H33/'- 3 -'!D33*100</f>
        <v>1.2995481527888308</v>
      </c>
      <c r="J33" s="332">
        <f>H33/'- 7 -'!F33</f>
        <v>128.40413517504996</v>
      </c>
    </row>
    <row r="34" spans="1:10" ht="13.5" customHeight="1">
      <c r="A34" s="25" t="s">
        <v>267</v>
      </c>
      <c r="B34" s="26">
        <v>146070</v>
      </c>
      <c r="C34" s="78">
        <f>B34/'- 3 -'!D34*100</f>
        <v>0.7601766719905576</v>
      </c>
      <c r="D34" s="26">
        <f>B34/'- 7 -'!F34</f>
        <v>71.48030340102765</v>
      </c>
      <c r="E34" s="26">
        <v>248054</v>
      </c>
      <c r="F34" s="78">
        <f>E34/'- 3 -'!D34*100</f>
        <v>1.2909212308752362</v>
      </c>
      <c r="G34" s="26">
        <f>E34/'- 7 -'!F34</f>
        <v>121.38683631025202</v>
      </c>
      <c r="H34" s="26">
        <v>375238</v>
      </c>
      <c r="I34" s="78">
        <f>H34/'- 3 -'!D34*100</f>
        <v>1.9528114879468257</v>
      </c>
      <c r="J34" s="26">
        <f>H34/'- 7 -'!F34</f>
        <v>183.62515292390506</v>
      </c>
    </row>
    <row r="35" spans="1:10" ht="13.5" customHeight="1">
      <c r="A35" s="331" t="s">
        <v>268</v>
      </c>
      <c r="B35" s="332">
        <v>420380</v>
      </c>
      <c r="C35" s="338">
        <f>B35/'- 3 -'!D35*100</f>
        <v>0.294883135323961</v>
      </c>
      <c r="D35" s="332">
        <f>B35/'- 7 -'!F35</f>
        <v>25.016662699357298</v>
      </c>
      <c r="E35" s="332">
        <v>1584477</v>
      </c>
      <c r="F35" s="338">
        <f>E35/'- 3 -'!D35*100</f>
        <v>1.1114599781357433</v>
      </c>
      <c r="G35" s="332">
        <f>E35/'- 7 -'!F35</f>
        <v>94.29165674839324</v>
      </c>
      <c r="H35" s="332">
        <v>1565986</v>
      </c>
      <c r="I35" s="338">
        <f>H35/'- 3 -'!D35*100</f>
        <v>1.0984891325786867</v>
      </c>
      <c r="J35" s="332">
        <f>H35/'- 7 -'!F35</f>
        <v>93.19126398476553</v>
      </c>
    </row>
    <row r="36" spans="1:10" ht="13.5" customHeight="1">
      <c r="A36" s="25" t="s">
        <v>269</v>
      </c>
      <c r="B36" s="26">
        <v>181104</v>
      </c>
      <c r="C36" s="78">
        <f>B36/'- 3 -'!D36*100</f>
        <v>1.0091709940906013</v>
      </c>
      <c r="D36" s="26">
        <f>B36/'- 7 -'!F36</f>
        <v>93.40072202166066</v>
      </c>
      <c r="E36" s="26">
        <v>166910</v>
      </c>
      <c r="F36" s="78">
        <f>E36/'- 3 -'!D36*100</f>
        <v>0.9300773623092933</v>
      </c>
      <c r="G36" s="26">
        <f>E36/'- 7 -'!F36</f>
        <v>86.0804538421867</v>
      </c>
      <c r="H36" s="26">
        <v>345786</v>
      </c>
      <c r="I36" s="78">
        <f>H36/'- 3 -'!D36*100</f>
        <v>1.9268332083367163</v>
      </c>
      <c r="J36" s="26">
        <f>H36/'- 7 -'!F36</f>
        <v>178.33212996389892</v>
      </c>
    </row>
    <row r="37" spans="1:10" ht="13.5" customHeight="1">
      <c r="A37" s="331" t="s">
        <v>270</v>
      </c>
      <c r="B37" s="332">
        <v>193000</v>
      </c>
      <c r="C37" s="338">
        <f>B37/'- 3 -'!D37*100</f>
        <v>0.6466139291026356</v>
      </c>
      <c r="D37" s="332">
        <f>B37/'- 7 -'!F37</f>
        <v>57.44731515656626</v>
      </c>
      <c r="E37" s="332">
        <v>314486</v>
      </c>
      <c r="F37" s="338">
        <f>E37/'- 3 -'!D37*100</f>
        <v>1.053632269988453</v>
      </c>
      <c r="G37" s="332">
        <f>E37/'- 7 -'!F37</f>
        <v>93.60816763900465</v>
      </c>
      <c r="H37" s="332">
        <v>594677</v>
      </c>
      <c r="I37" s="338">
        <f>H37/'- 3 -'!D37*100</f>
        <v>1.9923649301397304</v>
      </c>
      <c r="J37" s="332">
        <f>H37/'- 7 -'!F37</f>
        <v>177.00827479461842</v>
      </c>
    </row>
    <row r="38" spans="1:10" ht="13.5" customHeight="1">
      <c r="A38" s="25" t="s">
        <v>271</v>
      </c>
      <c r="B38" s="26">
        <v>305106</v>
      </c>
      <c r="C38" s="78">
        <f>B38/'- 3 -'!D38*100</f>
        <v>0.41122421359161354</v>
      </c>
      <c r="D38" s="26">
        <f>B38/'- 7 -'!F38</f>
        <v>34.8433734939759</v>
      </c>
      <c r="E38" s="26">
        <v>769072</v>
      </c>
      <c r="F38" s="78">
        <f>E38/'- 3 -'!D38*100</f>
        <v>1.036561157090747</v>
      </c>
      <c r="G38" s="26">
        <f>E38/'- 7 -'!F38</f>
        <v>87.82869868097984</v>
      </c>
      <c r="H38" s="26">
        <v>1228798</v>
      </c>
      <c r="I38" s="78">
        <f>H38/'- 3 -'!D38*100</f>
        <v>1.656183395976964</v>
      </c>
      <c r="J38" s="26">
        <f>H38/'- 7 -'!F38</f>
        <v>140.32981213955347</v>
      </c>
    </row>
    <row r="39" spans="1:10" ht="13.5" customHeight="1">
      <c r="A39" s="331" t="s">
        <v>272</v>
      </c>
      <c r="B39" s="332">
        <v>145571</v>
      </c>
      <c r="C39" s="338">
        <f>B39/'- 3 -'!D39*100</f>
        <v>0.8906029885927492</v>
      </c>
      <c r="D39" s="332">
        <f>B39/'- 7 -'!F39</f>
        <v>87.9583081570997</v>
      </c>
      <c r="E39" s="332">
        <v>165117</v>
      </c>
      <c r="F39" s="338">
        <f>E39/'- 3 -'!D39*100</f>
        <v>1.0101853643065513</v>
      </c>
      <c r="G39" s="332">
        <f>E39/'- 7 -'!F39</f>
        <v>99.76858006042296</v>
      </c>
      <c r="H39" s="332">
        <v>294156</v>
      </c>
      <c r="I39" s="338">
        <f>H39/'- 3 -'!D39*100</f>
        <v>1.7996456211229486</v>
      </c>
      <c r="J39" s="332">
        <f>H39/'- 7 -'!F39</f>
        <v>177.73776435045318</v>
      </c>
    </row>
    <row r="40" spans="1:10" ht="13.5" customHeight="1">
      <c r="A40" s="25" t="s">
        <v>273</v>
      </c>
      <c r="B40" s="26">
        <v>426196</v>
      </c>
      <c r="C40" s="78">
        <f>B40/'- 3 -'!D40*100</f>
        <v>0.557749495521185</v>
      </c>
      <c r="D40" s="26">
        <f>B40/'- 7 -'!F40</f>
        <v>49.06502731296805</v>
      </c>
      <c r="E40" s="26">
        <v>934853</v>
      </c>
      <c r="F40" s="78">
        <f>E40/'- 3 -'!D40*100</f>
        <v>1.2234131459151807</v>
      </c>
      <c r="G40" s="26">
        <f>E40/'- 7 -'!F40</f>
        <v>107.62322494488478</v>
      </c>
      <c r="H40" s="26">
        <v>1301275</v>
      </c>
      <c r="I40" s="78">
        <f>H40/'- 3 -'!D40*100</f>
        <v>1.7029382602941605</v>
      </c>
      <c r="J40" s="26">
        <f>H40/'- 7 -'!F40</f>
        <v>149.80688091085437</v>
      </c>
    </row>
    <row r="41" spans="1:10" ht="13.5" customHeight="1">
      <c r="A41" s="331" t="s">
        <v>274</v>
      </c>
      <c r="B41" s="332">
        <v>239278</v>
      </c>
      <c r="C41" s="338">
        <f>B41/'- 3 -'!D41*100</f>
        <v>0.5133464653125132</v>
      </c>
      <c r="D41" s="332">
        <f>B41/'- 7 -'!F41</f>
        <v>51.155104222340995</v>
      </c>
      <c r="E41" s="332">
        <v>459448</v>
      </c>
      <c r="F41" s="338">
        <f>E41/'- 3 -'!D41*100</f>
        <v>0.9856986718164793</v>
      </c>
      <c r="G41" s="332">
        <f>E41/'- 7 -'!F41</f>
        <v>98.2251202565473</v>
      </c>
      <c r="H41" s="332">
        <v>936710</v>
      </c>
      <c r="I41" s="338">
        <f>H41/'- 3 -'!D41*100</f>
        <v>2.0096154578477092</v>
      </c>
      <c r="J41" s="332">
        <f>H41/'- 7 -'!F41</f>
        <v>200.25868519508285</v>
      </c>
    </row>
    <row r="42" spans="1:10" ht="13.5" customHeight="1">
      <c r="A42" s="25" t="s">
        <v>275</v>
      </c>
      <c r="B42" s="26">
        <v>130385</v>
      </c>
      <c r="C42" s="78">
        <f>B42/'- 3 -'!D42*100</f>
        <v>0.7894015254517739</v>
      </c>
      <c r="D42" s="26">
        <f>B42/'- 7 -'!F42</f>
        <v>75.4542824074074</v>
      </c>
      <c r="E42" s="26">
        <v>169819</v>
      </c>
      <c r="F42" s="78">
        <f>E42/'- 3 -'!D42*100</f>
        <v>1.0281503060221253</v>
      </c>
      <c r="G42" s="26">
        <f>E42/'- 7 -'!F42</f>
        <v>98.27488425925925</v>
      </c>
      <c r="H42" s="26">
        <v>322565</v>
      </c>
      <c r="I42" s="78">
        <f>H42/'- 3 -'!D42*100</f>
        <v>1.9529340265931776</v>
      </c>
      <c r="J42" s="26">
        <f>H42/'- 7 -'!F42</f>
        <v>186.6695601851852</v>
      </c>
    </row>
    <row r="43" spans="1:10" ht="13.5" customHeight="1">
      <c r="A43" s="331" t="s">
        <v>276</v>
      </c>
      <c r="B43" s="332">
        <v>119135</v>
      </c>
      <c r="C43" s="338">
        <f>B43/'- 3 -'!D43*100</f>
        <v>1.1700233985037725</v>
      </c>
      <c r="D43" s="332">
        <f>B43/'- 7 -'!F43</f>
        <v>109.34832491968793</v>
      </c>
      <c r="E43" s="332">
        <v>117413</v>
      </c>
      <c r="F43" s="338">
        <f>E43/'- 3 -'!D43*100</f>
        <v>1.153111657267163</v>
      </c>
      <c r="G43" s="332">
        <f>E43/'- 7 -'!F43</f>
        <v>107.76778338687471</v>
      </c>
      <c r="H43" s="332">
        <v>276315</v>
      </c>
      <c r="I43" s="338">
        <f>H43/'- 3 -'!D43*100</f>
        <v>2.7136862832716657</v>
      </c>
      <c r="J43" s="332">
        <f>H43/'- 7 -'!F43</f>
        <v>253.6163377696191</v>
      </c>
    </row>
    <row r="44" spans="1:10" ht="13.5" customHeight="1">
      <c r="A44" s="25" t="s">
        <v>277</v>
      </c>
      <c r="B44" s="26">
        <v>66398</v>
      </c>
      <c r="C44" s="78">
        <f>B44/'- 3 -'!D44*100</f>
        <v>0.8588970705036031</v>
      </c>
      <c r="D44" s="26">
        <f>B44/'- 7 -'!F44</f>
        <v>81.22079510703364</v>
      </c>
      <c r="E44" s="26">
        <v>41988</v>
      </c>
      <c r="F44" s="78">
        <f>E44/'- 3 -'!D44*100</f>
        <v>0.5431394047457045</v>
      </c>
      <c r="G44" s="26">
        <f>E44/'- 7 -'!F44</f>
        <v>51.361467889908255</v>
      </c>
      <c r="H44" s="26">
        <v>193801</v>
      </c>
      <c r="I44" s="78">
        <f>H44/'- 3 -'!D44*100</f>
        <v>2.506929593672532</v>
      </c>
      <c r="J44" s="26">
        <f>H44/'- 7 -'!F44</f>
        <v>237.06544342507647</v>
      </c>
    </row>
    <row r="45" spans="1:10" ht="13.5" customHeight="1">
      <c r="A45" s="331" t="s">
        <v>278</v>
      </c>
      <c r="B45" s="332">
        <v>100807</v>
      </c>
      <c r="C45" s="338">
        <f>B45/'- 3 -'!D45*100</f>
        <v>0.8652068220016873</v>
      </c>
      <c r="D45" s="332">
        <f>B45/'- 7 -'!F45</f>
        <v>68.29742547425474</v>
      </c>
      <c r="E45" s="332">
        <v>85057</v>
      </c>
      <c r="F45" s="338">
        <f>E45/'- 3 -'!D45*100</f>
        <v>0.7300276435068748</v>
      </c>
      <c r="G45" s="332">
        <f>E45/'- 7 -'!F45</f>
        <v>57.62669376693767</v>
      </c>
      <c r="H45" s="332">
        <v>222722</v>
      </c>
      <c r="I45" s="338">
        <f>H45/'- 3 -'!D45*100</f>
        <v>1.9115794916013749</v>
      </c>
      <c r="J45" s="332">
        <f>H45/'- 7 -'!F45</f>
        <v>150.89566395663957</v>
      </c>
    </row>
    <row r="46" spans="1:10" ht="13.5" customHeight="1">
      <c r="A46" s="25" t="s">
        <v>279</v>
      </c>
      <c r="B46" s="26">
        <v>777615</v>
      </c>
      <c r="C46" s="78">
        <f>B46/'- 3 -'!D46*100</f>
        <v>0.2678038596769146</v>
      </c>
      <c r="D46" s="26">
        <f>B46/'- 7 -'!F46</f>
        <v>25.72584113540874</v>
      </c>
      <c r="E46" s="26">
        <v>1643076</v>
      </c>
      <c r="F46" s="78">
        <f>E46/'- 3 -'!D46*100</f>
        <v>0.5658611196318308</v>
      </c>
      <c r="G46" s="26">
        <f>E46/'- 7 -'!F46</f>
        <v>54.35789195090482</v>
      </c>
      <c r="H46" s="26">
        <v>4417514</v>
      </c>
      <c r="I46" s="78">
        <f>H46/'- 3 -'!D46*100</f>
        <v>1.5213534967519988</v>
      </c>
      <c r="J46" s="26">
        <f>H46/'- 7 -'!F46</f>
        <v>146.14463889899758</v>
      </c>
    </row>
    <row r="47" spans="1:10" ht="4.5" customHeight="1">
      <c r="A47" s="27"/>
      <c r="B47" s="28"/>
      <c r="C47"/>
      <c r="D47" s="28"/>
      <c r="E47" s="28"/>
      <c r="F47"/>
      <c r="G47" s="28"/>
      <c r="H47"/>
      <c r="I47"/>
      <c r="J47"/>
    </row>
    <row r="48" spans="1:10" ht="13.5" customHeight="1">
      <c r="A48" s="333" t="s">
        <v>280</v>
      </c>
      <c r="B48" s="334">
        <f>SUM(B11:B46)</f>
        <v>8036890</v>
      </c>
      <c r="C48" s="341">
        <f>B48/'- 3 -'!D48*100</f>
        <v>0.5065456465320538</v>
      </c>
      <c r="D48" s="334">
        <f>B48/'- 7 -'!F48</f>
        <v>46.26813237799875</v>
      </c>
      <c r="E48" s="334">
        <f>SUM(E11:E46)</f>
        <v>15994003</v>
      </c>
      <c r="F48" s="341">
        <f>E48/'- 3 -'!D48*100</f>
        <v>1.0080631426174314</v>
      </c>
      <c r="G48" s="334">
        <f>E48/'- 7 -'!F48</f>
        <v>92.07699098259515</v>
      </c>
      <c r="H48" s="334">
        <f>SUM(H11:H46)</f>
        <v>27709773</v>
      </c>
      <c r="I48" s="341">
        <f>H48/'- 3 -'!D48*100</f>
        <v>1.746479655630654</v>
      </c>
      <c r="J48" s="334">
        <f>H48/'- 7 -'!F48</f>
        <v>159.52432412640903</v>
      </c>
    </row>
    <row r="49" spans="1:10" ht="4.5" customHeight="1">
      <c r="A49" s="27" t="s">
        <v>32</v>
      </c>
      <c r="B49" s="28"/>
      <c r="C49"/>
      <c r="D49" s="28"/>
      <c r="E49" s="28"/>
      <c r="F49"/>
      <c r="H49"/>
      <c r="I49"/>
      <c r="J49"/>
    </row>
    <row r="50" spans="1:10" ht="13.5" customHeight="1">
      <c r="A50" s="25" t="s">
        <v>281</v>
      </c>
      <c r="B50" s="26">
        <v>37728</v>
      </c>
      <c r="C50" s="78">
        <f>B50/'- 3 -'!D50*100</f>
        <v>1.4313018367007826</v>
      </c>
      <c r="D50" s="26">
        <f>B50/'- 7 -'!F50</f>
        <v>165.2562417871222</v>
      </c>
      <c r="E50" s="26">
        <v>28687</v>
      </c>
      <c r="F50" s="78">
        <f>E50/'- 3 -'!D50*100</f>
        <v>1.0883098968785876</v>
      </c>
      <c r="G50" s="26">
        <f>E50/'- 7 -'!F50</f>
        <v>125.65484012264564</v>
      </c>
      <c r="H50" s="26">
        <v>34703</v>
      </c>
      <c r="I50" s="78">
        <f>H50/'- 3 -'!D50*100</f>
        <v>1.3165412330106885</v>
      </c>
      <c r="J50" s="26">
        <f>H50/'- 7 -'!F50</f>
        <v>152.00613228208496</v>
      </c>
    </row>
    <row r="51" spans="1:10" ht="13.5" customHeight="1">
      <c r="A51" s="331" t="s">
        <v>282</v>
      </c>
      <c r="B51" s="332">
        <v>21643</v>
      </c>
      <c r="C51" s="338">
        <f>B51/'- 3 -'!D51*100</f>
        <v>0.213890288108034</v>
      </c>
      <c r="D51" s="332">
        <f>B51/'- 7 -'!F51</f>
        <v>32.511641880727055</v>
      </c>
      <c r="E51" s="332">
        <v>164168</v>
      </c>
      <c r="F51" s="338">
        <f>E51/'- 3 -'!D51*100</f>
        <v>1.6224155994141165</v>
      </c>
      <c r="G51" s="332">
        <f>E51/'- 7 -'!F51</f>
        <v>246.60958389665012</v>
      </c>
      <c r="H51" s="332">
        <v>325118</v>
      </c>
      <c r="I51" s="338">
        <f>H51/'- 3 -'!D51*100</f>
        <v>3.2130288171283</v>
      </c>
      <c r="J51" s="332">
        <f>H51/'- 7 -'!F51</f>
        <v>488.3851584797957</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1"/>
  <sheetViews>
    <sheetView showGridLines="0" showZeros="0" workbookViewId="0" topLeftCell="A1">
      <selection activeCell="A1" sqref="A1"/>
    </sheetView>
  </sheetViews>
  <sheetFormatPr defaultColWidth="15.83203125" defaultRowHeight="12"/>
  <cols>
    <col min="1" max="1" width="35.83203125" style="1" customWidth="1"/>
    <col min="2" max="2" width="20.83203125" style="1" customWidth="1"/>
    <col min="3" max="4" width="15.83203125" style="1" customWidth="1"/>
    <col min="5" max="5" width="44.83203125" style="1" customWidth="1"/>
    <col min="6" max="16384" width="15.83203125" style="1" customWidth="1"/>
  </cols>
  <sheetData>
    <row r="1" spans="1:5" ht="6.75" customHeight="1">
      <c r="A1" s="5"/>
      <c r="B1" s="6"/>
      <c r="C1" s="6"/>
      <c r="D1" s="6"/>
      <c r="E1" s="6"/>
    </row>
    <row r="2" spans="1:5" ht="15.75" customHeight="1">
      <c r="A2" s="154"/>
      <c r="B2" s="7" t="s">
        <v>528</v>
      </c>
      <c r="C2" s="8"/>
      <c r="D2" s="8"/>
      <c r="E2" s="496" t="s">
        <v>485</v>
      </c>
    </row>
    <row r="3" spans="1:5" ht="15.75" customHeight="1">
      <c r="A3" s="156"/>
      <c r="B3" s="9" t="str">
        <f>OPYEAR</f>
        <v>OPERATING FUND 2006/2007 ACTUAL</v>
      </c>
      <c r="C3" s="10"/>
      <c r="D3" s="10"/>
      <c r="E3" s="73"/>
    </row>
    <row r="4" spans="2:5" ht="15.75" customHeight="1">
      <c r="B4" s="6"/>
      <c r="C4" s="6"/>
      <c r="D4" s="6"/>
      <c r="E4" s="6"/>
    </row>
    <row r="5" spans="2:5" ht="15.75" customHeight="1">
      <c r="B5" s="186" t="s">
        <v>202</v>
      </c>
      <c r="C5" s="176"/>
      <c r="D5" s="178"/>
      <c r="E5" s="49"/>
    </row>
    <row r="6" spans="2:5" ht="15.75" customHeight="1">
      <c r="B6" s="359" t="s">
        <v>44</v>
      </c>
      <c r="C6" s="362"/>
      <c r="D6" s="360"/>
      <c r="E6" s="77"/>
    </row>
    <row r="7" spans="2:5" ht="15.75" customHeight="1">
      <c r="B7" s="345" t="s">
        <v>71</v>
      </c>
      <c r="C7" s="346"/>
      <c r="D7" s="347"/>
      <c r="E7" s="77"/>
    </row>
    <row r="8" spans="1:5" ht="15.75" customHeight="1">
      <c r="A8" s="74"/>
      <c r="B8" s="159"/>
      <c r="C8" s="76"/>
      <c r="D8" s="18" t="s">
        <v>89</v>
      </c>
      <c r="E8" s="77"/>
    </row>
    <row r="9" spans="1:4" ht="15.75" customHeight="1">
      <c r="A9" s="41" t="s">
        <v>108</v>
      </c>
      <c r="B9" s="86" t="s">
        <v>109</v>
      </c>
      <c r="C9" s="86" t="s">
        <v>110</v>
      </c>
      <c r="D9" s="86" t="s">
        <v>111</v>
      </c>
    </row>
    <row r="10" ht="4.5" customHeight="1">
      <c r="A10" s="4"/>
    </row>
    <row r="11" spans="1:4" ht="13.5" customHeight="1">
      <c r="A11" s="331" t="s">
        <v>245</v>
      </c>
      <c r="B11" s="332">
        <v>0</v>
      </c>
      <c r="C11" s="338">
        <f>B11/'- 3 -'!D11*100</f>
        <v>0</v>
      </c>
      <c r="D11" s="332">
        <f>B11/'- 7 -'!F11</f>
        <v>0</v>
      </c>
    </row>
    <row r="12" spans="1:4" ht="13.5" customHeight="1">
      <c r="A12" s="25" t="s">
        <v>246</v>
      </c>
      <c r="B12" s="26">
        <v>10861</v>
      </c>
      <c r="C12" s="78">
        <f>B12/'- 3 -'!D12*100</f>
        <v>0.049374756830118174</v>
      </c>
      <c r="D12" s="26">
        <f>B12/'- 7 -'!F12</f>
        <v>4.534239541107071</v>
      </c>
    </row>
    <row r="13" spans="1:4" ht="13.5" customHeight="1">
      <c r="A13" s="331" t="s">
        <v>247</v>
      </c>
      <c r="B13" s="332">
        <v>105993</v>
      </c>
      <c r="C13" s="338">
        <f>B13/'- 3 -'!D13*100</f>
        <v>0.1974049296532737</v>
      </c>
      <c r="D13" s="332">
        <f>B13/'- 7 -'!F13</f>
        <v>15.717802328167865</v>
      </c>
    </row>
    <row r="14" spans="1:4" ht="13.5" customHeight="1">
      <c r="A14" s="25" t="s">
        <v>283</v>
      </c>
      <c r="B14" s="26">
        <v>96986</v>
      </c>
      <c r="C14" s="78">
        <f>B14/'- 3 -'!D14*100</f>
        <v>0.1974425463586186</v>
      </c>
      <c r="D14" s="26">
        <f>B14/'- 7 -'!F14</f>
        <v>20.719077120273447</v>
      </c>
    </row>
    <row r="15" spans="1:4" ht="13.5" customHeight="1">
      <c r="A15" s="331" t="s">
        <v>248</v>
      </c>
      <c r="B15" s="332">
        <v>0</v>
      </c>
      <c r="C15" s="338">
        <f>B15/'- 3 -'!D15*100</f>
        <v>0</v>
      </c>
      <c r="D15" s="332">
        <f>B15/'- 7 -'!F15</f>
        <v>0</v>
      </c>
    </row>
    <row r="16" spans="1:4" ht="13.5" customHeight="1">
      <c r="A16" s="25" t="s">
        <v>249</v>
      </c>
      <c r="B16" s="26">
        <v>6849</v>
      </c>
      <c r="C16" s="78">
        <f>B16/'- 3 -'!D16*100</f>
        <v>0.061605943798590815</v>
      </c>
      <c r="D16" s="26">
        <f>B16/'- 7 -'!F16</f>
        <v>6.150875617422542</v>
      </c>
    </row>
    <row r="17" spans="1:4" ht="13.5" customHeight="1">
      <c r="A17" s="331" t="s">
        <v>250</v>
      </c>
      <c r="B17" s="332">
        <v>30340</v>
      </c>
      <c r="C17" s="338">
        <f>B17/'- 3 -'!D17*100</f>
        <v>0.22717353369929189</v>
      </c>
      <c r="D17" s="332">
        <f>B17/'- 7 -'!F17</f>
        <v>20.776349513803293</v>
      </c>
    </row>
    <row r="18" spans="1:4" ht="13.5" customHeight="1">
      <c r="A18" s="25" t="s">
        <v>251</v>
      </c>
      <c r="B18" s="26">
        <v>291234</v>
      </c>
      <c r="C18" s="78">
        <f>B18/'- 3 -'!D18*100</f>
        <v>0.3347963636530848</v>
      </c>
      <c r="D18" s="26">
        <f>B18/'- 7 -'!F18</f>
        <v>50.925718682241026</v>
      </c>
    </row>
    <row r="19" spans="1:4" ht="13.5" customHeight="1">
      <c r="A19" s="331" t="s">
        <v>252</v>
      </c>
      <c r="B19" s="332">
        <v>11431</v>
      </c>
      <c r="C19" s="338">
        <f>B19/'- 3 -'!D19*100</f>
        <v>0.04616093913907728</v>
      </c>
      <c r="D19" s="332">
        <f>B19/'- 7 -'!F19</f>
        <v>3.3225208257035397</v>
      </c>
    </row>
    <row r="20" spans="1:4" ht="13.5" customHeight="1">
      <c r="A20" s="25" t="s">
        <v>253</v>
      </c>
      <c r="B20" s="26">
        <v>23616</v>
      </c>
      <c r="C20" s="78">
        <f>B20/'- 3 -'!D20*100</f>
        <v>0.05119484111389708</v>
      </c>
      <c r="D20" s="26">
        <f>B20/'- 7 -'!F20</f>
        <v>3.478055964653903</v>
      </c>
    </row>
    <row r="21" spans="1:4" ht="13.5" customHeight="1">
      <c r="A21" s="331" t="s">
        <v>254</v>
      </c>
      <c r="B21" s="332">
        <v>7887</v>
      </c>
      <c r="C21" s="338">
        <f>B21/'- 3 -'!D21*100</f>
        <v>0.029806433911687247</v>
      </c>
      <c r="D21" s="332">
        <f>B21/'- 7 -'!F21</f>
        <v>2.5282897900304535</v>
      </c>
    </row>
    <row r="22" spans="1:4" ht="13.5" customHeight="1">
      <c r="A22" s="25" t="s">
        <v>255</v>
      </c>
      <c r="B22" s="26">
        <v>0</v>
      </c>
      <c r="C22" s="78">
        <f>B22/'- 3 -'!D22*100</f>
        <v>0</v>
      </c>
      <c r="D22" s="26">
        <f>B22/'- 7 -'!F22</f>
        <v>0</v>
      </c>
    </row>
    <row r="23" spans="1:4" ht="13.5" customHeight="1">
      <c r="A23" s="331" t="s">
        <v>256</v>
      </c>
      <c r="B23" s="332">
        <v>0</v>
      </c>
      <c r="C23" s="338">
        <f>B23/'- 3 -'!D23*100</f>
        <v>0</v>
      </c>
      <c r="D23" s="332">
        <f>B23/'- 7 -'!F23</f>
        <v>0</v>
      </c>
    </row>
    <row r="24" spans="1:4" ht="13.5" customHeight="1">
      <c r="A24" s="25" t="s">
        <v>257</v>
      </c>
      <c r="B24" s="26">
        <v>55922</v>
      </c>
      <c r="C24" s="78">
        <f>B24/'- 3 -'!D24*100</f>
        <v>0.13987952781241844</v>
      </c>
      <c r="D24" s="26">
        <f>B24/'- 7 -'!F24</f>
        <v>12.27840597211549</v>
      </c>
    </row>
    <row r="25" spans="1:4" ht="13.5" customHeight="1">
      <c r="A25" s="331" t="s">
        <v>258</v>
      </c>
      <c r="B25" s="332">
        <v>179713</v>
      </c>
      <c r="C25" s="338">
        <f>B25/'- 3 -'!D25*100</f>
        <v>0.1442973994993138</v>
      </c>
      <c r="D25" s="332">
        <f>B25/'- 7 -'!F25</f>
        <v>12.451966048848085</v>
      </c>
    </row>
    <row r="26" spans="1:4" ht="13.5" customHeight="1">
      <c r="A26" s="25" t="s">
        <v>259</v>
      </c>
      <c r="B26" s="26">
        <v>13463</v>
      </c>
      <c r="C26" s="78">
        <f>B26/'- 3 -'!D26*100</f>
        <v>0.0445925068623539</v>
      </c>
      <c r="D26" s="26">
        <f>B26/'- 7 -'!F26</f>
        <v>4.205216304857098</v>
      </c>
    </row>
    <row r="27" spans="1:4" ht="13.5" customHeight="1">
      <c r="A27" s="331" t="s">
        <v>260</v>
      </c>
      <c r="B27" s="332">
        <v>166114</v>
      </c>
      <c r="C27" s="338">
        <f>B27/'- 3 -'!D27*100</f>
        <v>0.5242046976521585</v>
      </c>
      <c r="D27" s="332">
        <f>B27/'- 7 -'!F27</f>
        <v>50.32934004738619</v>
      </c>
    </row>
    <row r="28" spans="1:4" ht="13.5" customHeight="1">
      <c r="A28" s="25" t="s">
        <v>261</v>
      </c>
      <c r="B28" s="26">
        <v>6852</v>
      </c>
      <c r="C28" s="78">
        <f>B28/'- 3 -'!D28*100</f>
        <v>0.03927990509534664</v>
      </c>
      <c r="D28" s="26">
        <f>B28/'- 7 -'!F28</f>
        <v>3.597794696770806</v>
      </c>
    </row>
    <row r="29" spans="1:4" ht="13.5" customHeight="1">
      <c r="A29" s="331" t="s">
        <v>262</v>
      </c>
      <c r="B29" s="332">
        <v>727165</v>
      </c>
      <c r="C29" s="338">
        <f>B29/'- 3 -'!D29*100</f>
        <v>0.6380315799419047</v>
      </c>
      <c r="D29" s="332">
        <f>B29/'- 7 -'!F29</f>
        <v>57.819345604898025</v>
      </c>
    </row>
    <row r="30" spans="1:4" ht="13.5" customHeight="1">
      <c r="A30" s="25" t="s">
        <v>263</v>
      </c>
      <c r="B30" s="26">
        <v>8790</v>
      </c>
      <c r="C30" s="78">
        <f>B30/'- 3 -'!D30*100</f>
        <v>0.07829705421362856</v>
      </c>
      <c r="D30" s="26">
        <f>B30/'- 7 -'!F30</f>
        <v>7.331109257714762</v>
      </c>
    </row>
    <row r="31" spans="1:4" ht="13.5" customHeight="1">
      <c r="A31" s="331" t="s">
        <v>264</v>
      </c>
      <c r="B31" s="332">
        <v>5513</v>
      </c>
      <c r="C31" s="338">
        <f>B31/'- 3 -'!D31*100</f>
        <v>0.019914322487185727</v>
      </c>
      <c r="D31" s="332">
        <f>B31/'- 7 -'!F31</f>
        <v>1.6528256633188427</v>
      </c>
    </row>
    <row r="32" spans="1:4" ht="13.5" customHeight="1">
      <c r="A32" s="25" t="s">
        <v>265</v>
      </c>
      <c r="B32" s="26">
        <v>8976</v>
      </c>
      <c r="C32" s="78">
        <f>B32/'- 3 -'!D32*100</f>
        <v>0.04441981295873812</v>
      </c>
      <c r="D32" s="26">
        <f>B32/'- 7 -'!F32</f>
        <v>4.14404432132964</v>
      </c>
    </row>
    <row r="33" spans="1:4" ht="13.5" customHeight="1">
      <c r="A33" s="331" t="s">
        <v>266</v>
      </c>
      <c r="B33" s="332">
        <v>5932</v>
      </c>
      <c r="C33" s="338">
        <f>B33/'- 3 -'!D33*100</f>
        <v>0.026077830542546802</v>
      </c>
      <c r="D33" s="332">
        <f>B33/'- 7 -'!F33</f>
        <v>2.576665797932413</v>
      </c>
    </row>
    <row r="34" spans="1:4" ht="13.5" customHeight="1">
      <c r="A34" s="25" t="s">
        <v>267</v>
      </c>
      <c r="B34" s="26">
        <v>13849</v>
      </c>
      <c r="C34" s="78">
        <f>B34/'- 3 -'!D34*100</f>
        <v>0.07207288786470344</v>
      </c>
      <c r="D34" s="26">
        <f>B34/'- 7 -'!F34</f>
        <v>6.7770981159774895</v>
      </c>
    </row>
    <row r="35" spans="1:4" ht="13.5" customHeight="1">
      <c r="A35" s="331" t="s">
        <v>268</v>
      </c>
      <c r="B35" s="332">
        <v>550380</v>
      </c>
      <c r="C35" s="338">
        <f>B35/'- 3 -'!D35*100</f>
        <v>0.3860739807307713</v>
      </c>
      <c r="D35" s="332">
        <f>B35/'- 7 -'!F35</f>
        <v>32.75291597238753</v>
      </c>
    </row>
    <row r="36" spans="1:4" ht="13.5" customHeight="1">
      <c r="A36" s="25" t="s">
        <v>269</v>
      </c>
      <c r="B36" s="26">
        <v>0</v>
      </c>
      <c r="C36" s="78">
        <f>B36/'- 3 -'!D36*100</f>
        <v>0</v>
      </c>
      <c r="D36" s="26">
        <f>B36/'- 7 -'!F36</f>
        <v>0</v>
      </c>
    </row>
    <row r="37" spans="1:4" ht="13.5" customHeight="1">
      <c r="A37" s="331" t="s">
        <v>270</v>
      </c>
      <c r="B37" s="332">
        <v>115980</v>
      </c>
      <c r="C37" s="338">
        <f>B37/'- 3 -'!D37*100</f>
        <v>0.3885714170845786</v>
      </c>
      <c r="D37" s="332">
        <f>B37/'- 7 -'!F37</f>
        <v>34.521966900821525</v>
      </c>
    </row>
    <row r="38" spans="1:4" ht="13.5" customHeight="1">
      <c r="A38" s="25" t="s">
        <v>271</v>
      </c>
      <c r="B38" s="26">
        <v>224019</v>
      </c>
      <c r="C38" s="78">
        <f>B38/'- 3 -'!D38*100</f>
        <v>0.30193453129266445</v>
      </c>
      <c r="D38" s="26">
        <f>B38/'- 7 -'!F38</f>
        <v>25.583166790384286</v>
      </c>
    </row>
    <row r="39" spans="1:4" ht="13.5" customHeight="1">
      <c r="A39" s="331" t="s">
        <v>272</v>
      </c>
      <c r="B39" s="332">
        <v>11713</v>
      </c>
      <c r="C39" s="338">
        <f>B39/'- 3 -'!D39*100</f>
        <v>0.0716601026673367</v>
      </c>
      <c r="D39" s="332">
        <f>B39/'- 7 -'!F39</f>
        <v>7.077341389728097</v>
      </c>
    </row>
    <row r="40" spans="1:4" ht="13.5" customHeight="1">
      <c r="A40" s="25" t="s">
        <v>273</v>
      </c>
      <c r="B40" s="26">
        <v>123220</v>
      </c>
      <c r="C40" s="78">
        <f>B40/'- 3 -'!D40*100</f>
        <v>0.16125419487306408</v>
      </c>
      <c r="D40" s="26">
        <f>B40/'- 7 -'!F40</f>
        <v>14.185474911786883</v>
      </c>
    </row>
    <row r="41" spans="1:4" ht="13.5" customHeight="1">
      <c r="A41" s="331" t="s">
        <v>274</v>
      </c>
      <c r="B41" s="332">
        <v>105978</v>
      </c>
      <c r="C41" s="338">
        <f>B41/'- 3 -'!D41*100</f>
        <v>0.22736495499331122</v>
      </c>
      <c r="D41" s="332">
        <f>B41/'- 7 -'!F41</f>
        <v>22.65697487974345</v>
      </c>
    </row>
    <row r="42" spans="1:4" ht="13.5" customHeight="1">
      <c r="A42" s="25" t="s">
        <v>275</v>
      </c>
      <c r="B42" s="26">
        <v>22696</v>
      </c>
      <c r="C42" s="78">
        <f>B42/'- 3 -'!D42*100</f>
        <v>0.1374104154745827</v>
      </c>
      <c r="D42" s="26">
        <f>B42/'- 7 -'!F42</f>
        <v>13.13425925925926</v>
      </c>
    </row>
    <row r="43" spans="1:4" ht="13.5" customHeight="1">
      <c r="A43" s="331" t="s">
        <v>276</v>
      </c>
      <c r="B43" s="332">
        <v>0</v>
      </c>
      <c r="C43" s="338">
        <f>B43/'- 3 -'!D43*100</f>
        <v>0</v>
      </c>
      <c r="D43" s="332">
        <f>B43/'- 7 -'!F43</f>
        <v>0</v>
      </c>
    </row>
    <row r="44" spans="1:4" ht="13.5" customHeight="1">
      <c r="A44" s="25" t="s">
        <v>277</v>
      </c>
      <c r="B44" s="26">
        <v>12431</v>
      </c>
      <c r="C44" s="78">
        <f>B44/'- 3 -'!D44*100</f>
        <v>0.1608022754214026</v>
      </c>
      <c r="D44" s="26">
        <f>B44/'- 7 -'!F44</f>
        <v>15.206116207951071</v>
      </c>
    </row>
    <row r="45" spans="1:4" ht="13.5" customHeight="1">
      <c r="A45" s="331" t="s">
        <v>278</v>
      </c>
      <c r="B45" s="332">
        <v>20793</v>
      </c>
      <c r="C45" s="338">
        <f>B45/'- 3 -'!D45*100</f>
        <v>0.17846226402810406</v>
      </c>
      <c r="D45" s="332">
        <f>B45/'- 7 -'!F45</f>
        <v>14.08739837398374</v>
      </c>
    </row>
    <row r="46" spans="1:4" ht="13.5" customHeight="1">
      <c r="A46" s="25" t="s">
        <v>279</v>
      </c>
      <c r="B46" s="26">
        <v>1016800</v>
      </c>
      <c r="C46" s="78">
        <f>B46/'- 3 -'!D46*100</f>
        <v>0.35017709858925916</v>
      </c>
      <c r="D46" s="26">
        <f>B46/'- 7 -'!F46</f>
        <v>33.63879974856916</v>
      </c>
    </row>
    <row r="47" spans="1:4" ht="4.5" customHeight="1">
      <c r="A47" s="27"/>
      <c r="B47" s="28"/>
      <c r="C47"/>
      <c r="D47" s="28"/>
    </row>
    <row r="48" spans="1:5" ht="13.5" customHeight="1">
      <c r="A48" s="333" t="s">
        <v>280</v>
      </c>
      <c r="B48" s="334">
        <f>SUM(B11:B46)</f>
        <v>3981496</v>
      </c>
      <c r="C48" s="341">
        <f>B48/'- 3 -'!D48*100</f>
        <v>0.2509440175845117</v>
      </c>
      <c r="D48" s="334">
        <f>B48/'- 7 -'!F48</f>
        <v>22.92135191479198</v>
      </c>
      <c r="E48" s="4"/>
    </row>
    <row r="49" spans="1:4" ht="4.5" customHeight="1">
      <c r="A49" s="27" t="s">
        <v>32</v>
      </c>
      <c r="B49" s="28"/>
      <c r="C49"/>
      <c r="D49" s="28"/>
    </row>
    <row r="50" spans="1:4" ht="13.5" customHeight="1">
      <c r="A50" s="25" t="s">
        <v>281</v>
      </c>
      <c r="B50" s="26">
        <v>5932</v>
      </c>
      <c r="C50" s="78">
        <f>B50/'- 3 -'!D50*100</f>
        <v>0.22504459540153313</v>
      </c>
      <c r="D50" s="26">
        <f>B50/'- 7 -'!F50</f>
        <v>25.983355234340777</v>
      </c>
    </row>
    <row r="51" spans="1:4" ht="13.5" customHeight="1">
      <c r="A51" s="331" t="s">
        <v>282</v>
      </c>
      <c r="B51" s="332">
        <v>190994</v>
      </c>
      <c r="C51" s="338">
        <f>B51/'- 3 -'!D51*100</f>
        <v>1.887527685020831</v>
      </c>
      <c r="D51" s="332">
        <f>B51/'- 7 -'!F51</f>
        <v>286.9070151719994</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2"/>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7" ht="6.75" customHeight="1">
      <c r="A1" s="5"/>
      <c r="B1" s="6"/>
      <c r="C1" s="6"/>
      <c r="D1" s="6"/>
      <c r="E1" s="6"/>
      <c r="F1" s="6"/>
      <c r="G1" s="6"/>
    </row>
    <row r="2" spans="1:10" ht="15.75" customHeight="1">
      <c r="A2" s="154"/>
      <c r="B2" s="7" t="s">
        <v>528</v>
      </c>
      <c r="C2" s="8"/>
      <c r="D2" s="8"/>
      <c r="E2" s="8"/>
      <c r="F2" s="8"/>
      <c r="G2" s="8"/>
      <c r="H2" s="81"/>
      <c r="I2" s="155"/>
      <c r="J2" s="496" t="s">
        <v>484</v>
      </c>
    </row>
    <row r="3" spans="1:10" ht="15.75" customHeight="1">
      <c r="A3" s="156"/>
      <c r="B3" s="9" t="str">
        <f>OPYEAR</f>
        <v>OPERATING FUND 2006/2007 ACTUAL</v>
      </c>
      <c r="C3" s="10"/>
      <c r="D3" s="10"/>
      <c r="E3" s="10"/>
      <c r="F3" s="10"/>
      <c r="G3" s="10"/>
      <c r="H3" s="83"/>
      <c r="I3" s="10"/>
      <c r="J3" s="10"/>
    </row>
    <row r="4" spans="2:7" ht="15.75" customHeight="1">
      <c r="B4" s="6"/>
      <c r="C4" s="6"/>
      <c r="D4" s="6"/>
      <c r="E4" s="6"/>
      <c r="F4" s="6"/>
      <c r="G4" s="6"/>
    </row>
    <row r="5" spans="2:10" ht="15.75" customHeight="1">
      <c r="B5" s="482" t="s">
        <v>457</v>
      </c>
      <c r="C5" s="188"/>
      <c r="D5" s="188"/>
      <c r="E5" s="188"/>
      <c r="F5" s="188"/>
      <c r="G5" s="188"/>
      <c r="H5" s="45"/>
      <c r="I5" s="45"/>
      <c r="J5" s="206"/>
    </row>
    <row r="6" spans="2:10" ht="15.75" customHeight="1">
      <c r="B6" s="359" t="s">
        <v>46</v>
      </c>
      <c r="C6" s="362"/>
      <c r="D6" s="360"/>
      <c r="E6" s="359" t="s">
        <v>46</v>
      </c>
      <c r="F6" s="362"/>
      <c r="G6" s="360"/>
      <c r="H6" s="359" t="s">
        <v>321</v>
      </c>
      <c r="I6" s="362"/>
      <c r="J6" s="360"/>
    </row>
    <row r="7" spans="2:10" ht="15.75" customHeight="1">
      <c r="B7" s="345" t="s">
        <v>338</v>
      </c>
      <c r="C7" s="346"/>
      <c r="D7" s="347"/>
      <c r="E7" s="345" t="s">
        <v>73</v>
      </c>
      <c r="F7" s="346"/>
      <c r="G7" s="347"/>
      <c r="H7" s="345" t="s">
        <v>284</v>
      </c>
      <c r="I7" s="346"/>
      <c r="J7" s="347"/>
    </row>
    <row r="8" spans="1:10" ht="15.75" customHeight="1">
      <c r="A8" s="74"/>
      <c r="B8" s="157"/>
      <c r="C8" s="158"/>
      <c r="D8" s="159" t="s">
        <v>89</v>
      </c>
      <c r="E8" s="157"/>
      <c r="F8" s="159"/>
      <c r="G8" s="159" t="s">
        <v>89</v>
      </c>
      <c r="H8" s="157"/>
      <c r="I8" s="159"/>
      <c r="J8" s="159" t="s">
        <v>89</v>
      </c>
    </row>
    <row r="9" spans="1:10" ht="15.75" customHeight="1">
      <c r="A9" s="41" t="s">
        <v>108</v>
      </c>
      <c r="B9" s="86" t="s">
        <v>109</v>
      </c>
      <c r="C9" s="86" t="s">
        <v>110</v>
      </c>
      <c r="D9" s="86" t="s">
        <v>111</v>
      </c>
      <c r="E9" s="86" t="s">
        <v>109</v>
      </c>
      <c r="F9" s="86" t="s">
        <v>110</v>
      </c>
      <c r="G9" s="86" t="s">
        <v>111</v>
      </c>
      <c r="H9" s="86" t="s">
        <v>109</v>
      </c>
      <c r="I9" s="86" t="s">
        <v>110</v>
      </c>
      <c r="J9" s="86" t="s">
        <v>111</v>
      </c>
    </row>
    <row r="10" ht="4.5" customHeight="1">
      <c r="A10" s="4"/>
    </row>
    <row r="11" spans="1:10" ht="13.5" customHeight="1">
      <c r="A11" s="331" t="s">
        <v>245</v>
      </c>
      <c r="B11" s="332">
        <v>0</v>
      </c>
      <c r="C11" s="338">
        <f>B11/'- 3 -'!D11*100</f>
        <v>0</v>
      </c>
      <c r="D11" s="332">
        <f>B11/'- 7 -'!F11</f>
        <v>0</v>
      </c>
      <c r="E11" s="332">
        <v>0</v>
      </c>
      <c r="F11" s="338">
        <f>E11/'- 3 -'!D11*100</f>
        <v>0</v>
      </c>
      <c r="G11" s="332">
        <f>E11/'- 7 -'!F11</f>
        <v>0</v>
      </c>
      <c r="H11" s="332">
        <v>165521</v>
      </c>
      <c r="I11" s="338">
        <f>H11/'- 3 -'!D11*100</f>
        <v>1.3710609134844238</v>
      </c>
      <c r="J11" s="332">
        <f>H11/'- 7 -'!F11</f>
        <v>113.79924372636646</v>
      </c>
    </row>
    <row r="12" spans="1:10" ht="13.5" customHeight="1">
      <c r="A12" s="25" t="s">
        <v>246</v>
      </c>
      <c r="B12" s="26">
        <v>0</v>
      </c>
      <c r="C12" s="78">
        <f>B12/'- 3 -'!D12*100</f>
        <v>0</v>
      </c>
      <c r="D12" s="26">
        <f>B12/'- 7 -'!F12</f>
        <v>0</v>
      </c>
      <c r="E12" s="26">
        <v>0</v>
      </c>
      <c r="F12" s="78">
        <f>E12/'- 3 -'!D12*100</f>
        <v>0</v>
      </c>
      <c r="G12" s="26">
        <f>E12/'- 7 -'!F12</f>
        <v>0</v>
      </c>
      <c r="H12" s="26">
        <v>239437</v>
      </c>
      <c r="I12" s="78">
        <f>H12/'- 3 -'!D12*100</f>
        <v>1.0884949499247771</v>
      </c>
      <c r="J12" s="26">
        <f>H12/'- 7 -'!F12</f>
        <v>99.9599220149207</v>
      </c>
    </row>
    <row r="13" spans="1:10" ht="13.5" customHeight="1">
      <c r="A13" s="331" t="s">
        <v>247</v>
      </c>
      <c r="B13" s="332">
        <v>0</v>
      </c>
      <c r="C13" s="338">
        <f>B13/'- 3 -'!D13*100</f>
        <v>0</v>
      </c>
      <c r="D13" s="332">
        <f>B13/'- 7 -'!F13</f>
        <v>0</v>
      </c>
      <c r="E13" s="332">
        <v>118568</v>
      </c>
      <c r="F13" s="338">
        <f>E13/'- 3 -'!D13*100</f>
        <v>0.22082503277696977</v>
      </c>
      <c r="G13" s="332">
        <f>E13/'- 7 -'!F13</f>
        <v>17.582560984651888</v>
      </c>
      <c r="H13" s="332">
        <v>862201</v>
      </c>
      <c r="I13" s="338">
        <f>H13/'- 3 -'!D13*100</f>
        <v>1.6057921537458344</v>
      </c>
      <c r="J13" s="332">
        <f>H13/'- 7 -'!F13</f>
        <v>127.85660265440795</v>
      </c>
    </row>
    <row r="14" spans="1:10" ht="13.5" customHeight="1">
      <c r="A14" s="25" t="s">
        <v>283</v>
      </c>
      <c r="B14" s="26">
        <v>113175</v>
      </c>
      <c r="C14" s="78">
        <f>B14/'- 3 -'!D14*100</f>
        <v>0.2303998534235525</v>
      </c>
      <c r="D14" s="26">
        <f>B14/'- 7 -'!F14</f>
        <v>24.177526169621874</v>
      </c>
      <c r="E14" s="26">
        <v>434404</v>
      </c>
      <c r="F14" s="78">
        <f>E14/'- 3 -'!D14*100</f>
        <v>0.8843527097557313</v>
      </c>
      <c r="G14" s="26">
        <f>E14/'- 7 -'!F14</f>
        <v>92.8015381328776</v>
      </c>
      <c r="H14" s="26">
        <v>635433</v>
      </c>
      <c r="I14" s="78">
        <f>H14/'- 3 -'!D14*100</f>
        <v>1.2936043301125533</v>
      </c>
      <c r="J14" s="26">
        <f>H14/'- 7 -'!F14</f>
        <v>135.74727622302927</v>
      </c>
    </row>
    <row r="15" spans="1:10" ht="13.5" customHeight="1">
      <c r="A15" s="331" t="s">
        <v>248</v>
      </c>
      <c r="B15" s="332">
        <v>0</v>
      </c>
      <c r="C15" s="338">
        <f>B15/'- 3 -'!D15*100</f>
        <v>0</v>
      </c>
      <c r="D15" s="332">
        <f>B15/'- 7 -'!F15</f>
        <v>0</v>
      </c>
      <c r="E15" s="332">
        <v>121814</v>
      </c>
      <c r="F15" s="338">
        <f>E15/'- 3 -'!D15*100</f>
        <v>0.861400775100883</v>
      </c>
      <c r="G15" s="332">
        <f>E15/'- 7 -'!F15</f>
        <v>74.96246153846154</v>
      </c>
      <c r="H15" s="332">
        <v>156805</v>
      </c>
      <c r="I15" s="338">
        <f>H15/'- 3 -'!D15*100</f>
        <v>1.1088376421404267</v>
      </c>
      <c r="J15" s="332">
        <f>H15/'- 7 -'!F15</f>
        <v>96.49538461538461</v>
      </c>
    </row>
    <row r="16" spans="1:10" ht="13.5" customHeight="1">
      <c r="A16" s="25" t="s">
        <v>249</v>
      </c>
      <c r="B16" s="26">
        <v>0</v>
      </c>
      <c r="C16" s="78">
        <f>B16/'- 3 -'!D16*100</f>
        <v>0</v>
      </c>
      <c r="D16" s="26">
        <f>B16/'- 7 -'!F16</f>
        <v>0</v>
      </c>
      <c r="E16" s="26">
        <v>0</v>
      </c>
      <c r="F16" s="78">
        <f>E16/'- 3 -'!D16*100</f>
        <v>0</v>
      </c>
      <c r="G16" s="26">
        <f>E16/'- 7 -'!F16</f>
        <v>0</v>
      </c>
      <c r="H16" s="26">
        <v>174305</v>
      </c>
      <c r="I16" s="78">
        <f>H16/'- 3 -'!D16*100</f>
        <v>1.5678528301669399</v>
      </c>
      <c r="J16" s="26">
        <f>H16/'- 7 -'!F16</f>
        <v>156.53794342164346</v>
      </c>
    </row>
    <row r="17" spans="1:10" ht="13.5" customHeight="1">
      <c r="A17" s="331" t="s">
        <v>250</v>
      </c>
      <c r="B17" s="332">
        <v>0</v>
      </c>
      <c r="C17" s="338">
        <f>B17/'- 3 -'!D17*100</f>
        <v>0</v>
      </c>
      <c r="D17" s="332">
        <f>B17/'- 7 -'!F17</f>
        <v>0</v>
      </c>
      <c r="E17" s="332">
        <v>63100</v>
      </c>
      <c r="F17" s="338">
        <f>E17/'- 3 -'!D17*100</f>
        <v>0.4724670394339261</v>
      </c>
      <c r="G17" s="332">
        <f>E17/'- 7 -'!F17</f>
        <v>43.20987654320988</v>
      </c>
      <c r="H17" s="332">
        <v>180050</v>
      </c>
      <c r="I17" s="338">
        <f>H17/'- 3 -'!D17*100</f>
        <v>1.3481408946129698</v>
      </c>
      <c r="J17" s="332">
        <f>H17/'- 7 -'!F17</f>
        <v>123.29537672907985</v>
      </c>
    </row>
    <row r="18" spans="1:10" ht="13.5" customHeight="1">
      <c r="A18" s="25" t="s">
        <v>251</v>
      </c>
      <c r="B18" s="26">
        <v>0</v>
      </c>
      <c r="C18" s="78">
        <f>B18/'- 3 -'!D18*100</f>
        <v>0</v>
      </c>
      <c r="D18" s="26">
        <f>B18/'- 7 -'!F18</f>
        <v>0</v>
      </c>
      <c r="E18" s="26">
        <v>1406062</v>
      </c>
      <c r="F18" s="78">
        <f>E18/'- 3 -'!D18*100</f>
        <v>1.6163787355555452</v>
      </c>
      <c r="G18" s="26">
        <f>E18/'- 7 -'!F18</f>
        <v>245.86661537385464</v>
      </c>
      <c r="H18" s="26">
        <v>1528008</v>
      </c>
      <c r="I18" s="78">
        <f>H18/'- 3 -'!D18*100</f>
        <v>1.7565652431818495</v>
      </c>
      <c r="J18" s="26">
        <f>H18/'- 7 -'!F18</f>
        <v>267.1903196474785</v>
      </c>
    </row>
    <row r="19" spans="1:10" ht="13.5" customHeight="1">
      <c r="A19" s="331" t="s">
        <v>252</v>
      </c>
      <c r="B19" s="332">
        <v>0</v>
      </c>
      <c r="C19" s="338">
        <f>B19/'- 3 -'!D19*100</f>
        <v>0</v>
      </c>
      <c r="D19" s="332">
        <f>B19/'- 7 -'!F19</f>
        <v>0</v>
      </c>
      <c r="E19" s="332">
        <v>119138</v>
      </c>
      <c r="F19" s="338">
        <f>E19/'- 3 -'!D19*100</f>
        <v>0.4811059371141098</v>
      </c>
      <c r="G19" s="332">
        <f>E19/'- 7 -'!F19</f>
        <v>34.628508978450554</v>
      </c>
      <c r="H19" s="332">
        <v>376239</v>
      </c>
      <c r="I19" s="338">
        <f>H19/'- 3 -'!D19*100</f>
        <v>1.5193373791223252</v>
      </c>
      <c r="J19" s="332">
        <f>H19/'- 7 -'!F19</f>
        <v>109.35717898188032</v>
      </c>
    </row>
    <row r="20" spans="1:10" ht="13.5" customHeight="1">
      <c r="A20" s="25" t="s">
        <v>253</v>
      </c>
      <c r="B20" s="26">
        <v>13065</v>
      </c>
      <c r="C20" s="78">
        <f>B20/'- 3 -'!D20*100</f>
        <v>0.028322349218879793</v>
      </c>
      <c r="D20" s="26">
        <f>B20/'- 7 -'!F20</f>
        <v>1.9241531664212077</v>
      </c>
      <c r="E20" s="26">
        <v>122539</v>
      </c>
      <c r="F20" s="78">
        <f>E20/'- 3 -'!D20*100</f>
        <v>0.265640440178516</v>
      </c>
      <c r="G20" s="26">
        <f>E20/'- 7 -'!F20</f>
        <v>18.04698085419735</v>
      </c>
      <c r="H20" s="26">
        <v>690836</v>
      </c>
      <c r="I20" s="78">
        <f>H20/'- 3 -'!D20*100</f>
        <v>1.497596513201228</v>
      </c>
      <c r="J20" s="26">
        <f>H20/'- 7 -'!F20</f>
        <v>101.74315169366716</v>
      </c>
    </row>
    <row r="21" spans="1:10" ht="13.5" customHeight="1">
      <c r="A21" s="331" t="s">
        <v>254</v>
      </c>
      <c r="B21" s="332">
        <v>0</v>
      </c>
      <c r="C21" s="338">
        <f>B21/'- 3 -'!D21*100</f>
        <v>0</v>
      </c>
      <c r="D21" s="332">
        <f>B21/'- 7 -'!F21</f>
        <v>0</v>
      </c>
      <c r="E21" s="332">
        <v>88047</v>
      </c>
      <c r="F21" s="338">
        <f>E21/'- 3 -'!D21*100</f>
        <v>0.3327459219756976</v>
      </c>
      <c r="G21" s="332">
        <f>E21/'- 7 -'!F21</f>
        <v>28.22471549927873</v>
      </c>
      <c r="H21" s="332">
        <v>432167</v>
      </c>
      <c r="I21" s="338">
        <f>H21/'- 3 -'!D21*100</f>
        <v>1.6332391434401092</v>
      </c>
      <c r="J21" s="332">
        <f>H21/'- 7 -'!F21</f>
        <v>138.5372655874339</v>
      </c>
    </row>
    <row r="22" spans="1:10" ht="13.5" customHeight="1">
      <c r="A22" s="25" t="s">
        <v>255</v>
      </c>
      <c r="B22" s="26">
        <v>15640</v>
      </c>
      <c r="C22" s="78">
        <f>B22/'- 3 -'!D22*100</f>
        <v>0.10438830688106494</v>
      </c>
      <c r="D22" s="26">
        <f>B22/'- 7 -'!F22</f>
        <v>9.616330545991145</v>
      </c>
      <c r="E22" s="26">
        <v>51258</v>
      </c>
      <c r="F22" s="78">
        <f>E22/'- 3 -'!D22*100</f>
        <v>0.342118659469925</v>
      </c>
      <c r="G22" s="26">
        <f>E22/'- 7 -'!F22</f>
        <v>31.516232169208067</v>
      </c>
      <c r="H22" s="26">
        <v>183865</v>
      </c>
      <c r="I22" s="78">
        <f>H22/'- 3 -'!D22*100</f>
        <v>1.2271966780490413</v>
      </c>
      <c r="J22" s="26">
        <f>H22/'- 7 -'!F22</f>
        <v>113.05029513034923</v>
      </c>
    </row>
    <row r="23" spans="1:10" ht="13.5" customHeight="1">
      <c r="A23" s="331" t="s">
        <v>256</v>
      </c>
      <c r="B23" s="332">
        <v>0</v>
      </c>
      <c r="C23" s="338">
        <f>B23/'- 3 -'!D23*100</f>
        <v>0</v>
      </c>
      <c r="D23" s="332">
        <f>B23/'- 7 -'!F23</f>
        <v>0</v>
      </c>
      <c r="E23" s="332">
        <v>0</v>
      </c>
      <c r="F23" s="338">
        <f>E23/'- 3 -'!D23*100</f>
        <v>0</v>
      </c>
      <c r="G23" s="332">
        <f>E23/'- 7 -'!F23</f>
        <v>0</v>
      </c>
      <c r="H23" s="332">
        <v>162397</v>
      </c>
      <c r="I23" s="338">
        <f>H23/'- 3 -'!D23*100</f>
        <v>1.296729331098084</v>
      </c>
      <c r="J23" s="332">
        <f>H23/'- 7 -'!F23</f>
        <v>124.72887864823349</v>
      </c>
    </row>
    <row r="24" spans="1:10" ht="13.5" customHeight="1">
      <c r="A24" s="25" t="s">
        <v>257</v>
      </c>
      <c r="B24" s="26">
        <v>0</v>
      </c>
      <c r="C24" s="78">
        <f>B24/'- 3 -'!D24*100</f>
        <v>0</v>
      </c>
      <c r="D24" s="26">
        <f>B24/'- 7 -'!F24</f>
        <v>0</v>
      </c>
      <c r="E24" s="26">
        <v>84457</v>
      </c>
      <c r="F24" s="78">
        <f>E24/'- 3 -'!D24*100</f>
        <v>0.21125505669420666</v>
      </c>
      <c r="G24" s="26">
        <f>E24/'- 7 -'!F24</f>
        <v>18.543638160061477</v>
      </c>
      <c r="H24" s="26">
        <v>559136</v>
      </c>
      <c r="I24" s="78">
        <f>H24/'- 3 -'!D24*100</f>
        <v>1.3985851661765387</v>
      </c>
      <c r="J24" s="26">
        <f>H24/'- 7 -'!F24</f>
        <v>122.7656164233176</v>
      </c>
    </row>
    <row r="25" spans="1:10" ht="13.5" customHeight="1">
      <c r="A25" s="331" t="s">
        <v>258</v>
      </c>
      <c r="B25" s="332">
        <v>0</v>
      </c>
      <c r="C25" s="338">
        <f>B25/'- 3 -'!D25*100</f>
        <v>0</v>
      </c>
      <c r="D25" s="332">
        <f>B25/'- 7 -'!F25</f>
        <v>0</v>
      </c>
      <c r="E25" s="332">
        <v>1207682</v>
      </c>
      <c r="F25" s="338">
        <f>E25/'- 3 -'!D25*100</f>
        <v>0.9696870678366634</v>
      </c>
      <c r="G25" s="332">
        <f>E25/'- 7 -'!F25</f>
        <v>83.67794907327213</v>
      </c>
      <c r="H25" s="332">
        <v>2689689</v>
      </c>
      <c r="I25" s="338">
        <f>H25/'- 3 -'!D25*100</f>
        <v>2.1596385801912485</v>
      </c>
      <c r="J25" s="332">
        <f>H25/'- 7 -'!F25</f>
        <v>186.36334661354581</v>
      </c>
    </row>
    <row r="26" spans="1:10" ht="13.5" customHeight="1">
      <c r="A26" s="25" t="s">
        <v>259</v>
      </c>
      <c r="B26" s="26">
        <v>7962</v>
      </c>
      <c r="C26" s="78">
        <f>B26/'- 3 -'!D26*100</f>
        <v>0.026371948275871776</v>
      </c>
      <c r="D26" s="26">
        <f>B26/'- 7 -'!F26</f>
        <v>2.4869592378572545</v>
      </c>
      <c r="E26" s="26">
        <v>212226</v>
      </c>
      <c r="F26" s="78">
        <f>E26/'- 3 -'!D26*100</f>
        <v>0.7029406047218242</v>
      </c>
      <c r="G26" s="26">
        <f>E26/'- 7 -'!F26</f>
        <v>66.28955177260659</v>
      </c>
      <c r="H26" s="26">
        <v>381807</v>
      </c>
      <c r="I26" s="78">
        <f>H26/'- 3 -'!D26*100</f>
        <v>1.2646313056224285</v>
      </c>
      <c r="J26" s="26">
        <f>H26/'- 7 -'!F26</f>
        <v>119.25878494455723</v>
      </c>
    </row>
    <row r="27" spans="1:10" ht="13.5" customHeight="1">
      <c r="A27" s="331" t="s">
        <v>260</v>
      </c>
      <c r="B27" s="332">
        <v>50792</v>
      </c>
      <c r="C27" s="338">
        <f>B27/'- 3 -'!D27*100</f>
        <v>0.16028393153586354</v>
      </c>
      <c r="D27" s="332">
        <f>B27/'- 7 -'!F27</f>
        <v>15.388996952013914</v>
      </c>
      <c r="E27" s="332">
        <v>327665</v>
      </c>
      <c r="F27" s="338">
        <f>E27/'- 3 -'!D27*100</f>
        <v>1.0340099705996757</v>
      </c>
      <c r="G27" s="332">
        <f>E27/'- 7 -'!F27</f>
        <v>99.27617904948887</v>
      </c>
      <c r="H27" s="332">
        <v>743598</v>
      </c>
      <c r="I27" s="338">
        <f>H27/'- 3 -'!D27*100</f>
        <v>2.346566603445524</v>
      </c>
      <c r="J27" s="332">
        <f>H27/'- 7 -'!F27</f>
        <v>225.2958606773437</v>
      </c>
    </row>
    <row r="28" spans="1:10" ht="13.5" customHeight="1">
      <c r="A28" s="25" t="s">
        <v>261</v>
      </c>
      <c r="B28" s="26">
        <v>0</v>
      </c>
      <c r="C28" s="78">
        <f>B28/'- 3 -'!D28*100</f>
        <v>0</v>
      </c>
      <c r="D28" s="26">
        <f>B28/'- 7 -'!F28</f>
        <v>0</v>
      </c>
      <c r="E28" s="26">
        <v>49689</v>
      </c>
      <c r="F28" s="78">
        <f>E28/'- 3 -'!D28*100</f>
        <v>0.2848481033687506</v>
      </c>
      <c r="G28" s="26">
        <f>E28/'- 7 -'!F28</f>
        <v>26.09031241795747</v>
      </c>
      <c r="H28" s="26">
        <v>228096</v>
      </c>
      <c r="I28" s="78">
        <f>H28/'- 3 -'!D28*100</f>
        <v>1.307587453681872</v>
      </c>
      <c r="J28" s="26">
        <f>H28/'- 7 -'!F28</f>
        <v>119.76686794434235</v>
      </c>
    </row>
    <row r="29" spans="1:10" ht="13.5" customHeight="1">
      <c r="A29" s="331" t="s">
        <v>262</v>
      </c>
      <c r="B29" s="332">
        <v>275548</v>
      </c>
      <c r="C29" s="338">
        <f>B29/'- 3 -'!D29*100</f>
        <v>0.24177226047710212</v>
      </c>
      <c r="D29" s="332">
        <f>B29/'- 7 -'!F29</f>
        <v>21.909752315827138</v>
      </c>
      <c r="E29" s="332">
        <v>426079</v>
      </c>
      <c r="F29" s="338">
        <f>E29/'- 3 -'!D29*100</f>
        <v>0.3738516809115769</v>
      </c>
      <c r="G29" s="332">
        <f>E29/'- 7 -'!F29</f>
        <v>33.87898063849243</v>
      </c>
      <c r="H29" s="332">
        <v>2873429</v>
      </c>
      <c r="I29" s="338">
        <f>H29/'- 3 -'!D29*100</f>
        <v>2.5212138162877578</v>
      </c>
      <c r="J29" s="332">
        <f>H29/'- 7 -'!F29</f>
        <v>228.47604659483957</v>
      </c>
    </row>
    <row r="30" spans="1:10" ht="13.5" customHeight="1">
      <c r="A30" s="25" t="s">
        <v>263</v>
      </c>
      <c r="B30" s="26">
        <v>0</v>
      </c>
      <c r="C30" s="78">
        <f>B30/'- 3 -'!D30*100</f>
        <v>0</v>
      </c>
      <c r="D30" s="26">
        <f>B30/'- 7 -'!F30</f>
        <v>0</v>
      </c>
      <c r="E30" s="26">
        <v>0</v>
      </c>
      <c r="F30" s="78">
        <f>E30/'- 3 -'!D30*100</f>
        <v>0</v>
      </c>
      <c r="G30" s="26">
        <f>E30/'- 7 -'!F30</f>
        <v>0</v>
      </c>
      <c r="H30" s="26">
        <v>241167</v>
      </c>
      <c r="I30" s="78">
        <f>H30/'- 3 -'!D30*100</f>
        <v>2.1481985976721454</v>
      </c>
      <c r="J30" s="26">
        <f>H30/'- 7 -'!F30</f>
        <v>201.14011676396998</v>
      </c>
    </row>
    <row r="31" spans="1:10" ht="13.5" customHeight="1">
      <c r="A31" s="331" t="s">
        <v>264</v>
      </c>
      <c r="B31" s="332">
        <v>0</v>
      </c>
      <c r="C31" s="338">
        <f>B31/'- 3 -'!D31*100</f>
        <v>0</v>
      </c>
      <c r="D31" s="332">
        <f>B31/'- 7 -'!F31</f>
        <v>0</v>
      </c>
      <c r="E31" s="332">
        <v>142803</v>
      </c>
      <c r="F31" s="338">
        <f>E31/'- 3 -'!D31*100</f>
        <v>0.5158398320583318</v>
      </c>
      <c r="G31" s="332">
        <f>E31/'- 7 -'!F31</f>
        <v>42.81307150352271</v>
      </c>
      <c r="H31" s="332">
        <v>450560</v>
      </c>
      <c r="I31" s="338">
        <f>H31/'- 3 -'!D31*100</f>
        <v>1.627534398662507</v>
      </c>
      <c r="J31" s="332">
        <f>H31/'- 7 -'!F31</f>
        <v>135.0801978713836</v>
      </c>
    </row>
    <row r="32" spans="1:10" ht="13.5" customHeight="1">
      <c r="A32" s="25" t="s">
        <v>265</v>
      </c>
      <c r="B32" s="26">
        <v>0</v>
      </c>
      <c r="C32" s="78">
        <f>B32/'- 3 -'!D32*100</f>
        <v>0</v>
      </c>
      <c r="D32" s="26">
        <f>B32/'- 7 -'!F32</f>
        <v>0</v>
      </c>
      <c r="E32" s="26">
        <v>0</v>
      </c>
      <c r="F32" s="78">
        <f>E32/'- 3 -'!D32*100</f>
        <v>0</v>
      </c>
      <c r="G32" s="26">
        <f>E32/'- 7 -'!F32</f>
        <v>0</v>
      </c>
      <c r="H32" s="26">
        <v>243242</v>
      </c>
      <c r="I32" s="78">
        <f>H32/'- 3 -'!D32*100</f>
        <v>1.2037393208232372</v>
      </c>
      <c r="J32" s="26">
        <f>H32/'- 7 -'!F32</f>
        <v>112.30009233610342</v>
      </c>
    </row>
    <row r="33" spans="1:10" ht="13.5" customHeight="1">
      <c r="A33" s="331" t="s">
        <v>266</v>
      </c>
      <c r="B33" s="332">
        <v>28285</v>
      </c>
      <c r="C33" s="338">
        <f>B33/'- 3 -'!D33*100</f>
        <v>0.12434447688737969</v>
      </c>
      <c r="D33" s="332">
        <f>B33/'- 7 -'!F33</f>
        <v>12.286074189905309</v>
      </c>
      <c r="E33" s="332">
        <v>59040</v>
      </c>
      <c r="F33" s="338">
        <f>E33/'- 3 -'!D33*100</f>
        <v>0.2595473896210322</v>
      </c>
      <c r="G33" s="332">
        <f>E33/'- 7 -'!F33</f>
        <v>25.645035183737296</v>
      </c>
      <c r="H33" s="332">
        <v>285959</v>
      </c>
      <c r="I33" s="338">
        <f>H33/'- 3 -'!D33*100</f>
        <v>1.257112330430907</v>
      </c>
      <c r="J33" s="332">
        <f>H33/'- 7 -'!F33</f>
        <v>124.211189297194</v>
      </c>
    </row>
    <row r="34" spans="1:10" ht="13.5" customHeight="1">
      <c r="A34" s="25" t="s">
        <v>267</v>
      </c>
      <c r="B34" s="26">
        <v>5537</v>
      </c>
      <c r="C34" s="78">
        <f>B34/'- 3 -'!D34*100</f>
        <v>0.028815624240512882</v>
      </c>
      <c r="D34" s="26">
        <f>B34/'- 7 -'!F34</f>
        <v>2.7095669195008565</v>
      </c>
      <c r="E34" s="26">
        <v>72065</v>
      </c>
      <c r="F34" s="78">
        <f>E34/'- 3 -'!D34*100</f>
        <v>0.3750402674539572</v>
      </c>
      <c r="G34" s="26">
        <f>E34/'- 7 -'!F34</f>
        <v>35.26547589919256</v>
      </c>
      <c r="H34" s="26">
        <v>214899</v>
      </c>
      <c r="I34" s="78">
        <f>H34/'- 3 -'!D34*100</f>
        <v>1.1183761664551162</v>
      </c>
      <c r="J34" s="26">
        <f>H34/'- 7 -'!F34</f>
        <v>105.16222167849278</v>
      </c>
    </row>
    <row r="35" spans="1:10" ht="13.5" customHeight="1">
      <c r="A35" s="331" t="s">
        <v>268</v>
      </c>
      <c r="B35" s="332">
        <v>262806</v>
      </c>
      <c r="C35" s="338">
        <f>B35/'- 3 -'!D35*100</f>
        <v>0.18435001013832458</v>
      </c>
      <c r="D35" s="332">
        <f>B35/'- 7 -'!F35</f>
        <v>15.639490597476792</v>
      </c>
      <c r="E35" s="332">
        <v>642690</v>
      </c>
      <c r="F35" s="338">
        <f>E35/'- 3 -'!D35*100</f>
        <v>0.4508264956500226</v>
      </c>
      <c r="G35" s="332">
        <f>E35/'- 7 -'!F35</f>
        <v>38.24625089264461</v>
      </c>
      <c r="H35" s="332">
        <v>3438729</v>
      </c>
      <c r="I35" s="338">
        <f>H35/'- 3 -'!D35*100</f>
        <v>2.4121584971916574</v>
      </c>
      <c r="J35" s="332">
        <f>H35/'- 7 -'!F35</f>
        <v>204.63752677933826</v>
      </c>
    </row>
    <row r="36" spans="1:10" ht="13.5" customHeight="1">
      <c r="A36" s="25" t="s">
        <v>269</v>
      </c>
      <c r="B36" s="26">
        <v>34362</v>
      </c>
      <c r="C36" s="78">
        <f>B36/'- 3 -'!D36*100</f>
        <v>0.19147635446451344</v>
      </c>
      <c r="D36" s="26">
        <f>B36/'- 7 -'!F36</f>
        <v>17.721505930892214</v>
      </c>
      <c r="E36" s="26">
        <v>128795</v>
      </c>
      <c r="F36" s="78">
        <f>E36/'- 3 -'!D36*100</f>
        <v>0.7176880587060418</v>
      </c>
      <c r="G36" s="26">
        <f>E36/'- 7 -'!F36</f>
        <v>66.42341413099535</v>
      </c>
      <c r="H36" s="26">
        <v>194468</v>
      </c>
      <c r="I36" s="78">
        <f>H36/'- 3 -'!D36*100</f>
        <v>1.083639593155375</v>
      </c>
      <c r="J36" s="26">
        <f>H36/'- 7 -'!F36</f>
        <v>100.29293450232079</v>
      </c>
    </row>
    <row r="37" spans="1:10" ht="13.5" customHeight="1">
      <c r="A37" s="331" t="s">
        <v>270</v>
      </c>
      <c r="B37" s="332">
        <v>0</v>
      </c>
      <c r="C37" s="338">
        <f>B37/'- 3 -'!D37*100</f>
        <v>0</v>
      </c>
      <c r="D37" s="332">
        <f>B37/'- 7 -'!F37</f>
        <v>0</v>
      </c>
      <c r="E37" s="332">
        <v>144349</v>
      </c>
      <c r="F37" s="338">
        <f>E37/'- 3 -'!D37*100</f>
        <v>0.4836169640001883</v>
      </c>
      <c r="G37" s="332">
        <f>E37/'- 7 -'!F37</f>
        <v>42.966126919871414</v>
      </c>
      <c r="H37" s="332">
        <v>363685</v>
      </c>
      <c r="I37" s="338">
        <f>H37/'- 3 -'!D37*100</f>
        <v>1.2184652166098031</v>
      </c>
      <c r="J37" s="332">
        <f>H37/'- 7 -'!F37</f>
        <v>108.25247053220622</v>
      </c>
    </row>
    <row r="38" spans="1:10" ht="13.5" customHeight="1">
      <c r="A38" s="25" t="s">
        <v>271</v>
      </c>
      <c r="B38" s="26">
        <v>62558</v>
      </c>
      <c r="C38" s="78">
        <f>B38/'- 3 -'!D38*100</f>
        <v>0.08431615357896653</v>
      </c>
      <c r="D38" s="26">
        <f>B38/'- 7 -'!F38</f>
        <v>7.144178610175298</v>
      </c>
      <c r="E38" s="26">
        <v>221568</v>
      </c>
      <c r="F38" s="78">
        <f>E38/'- 3 -'!D38*100</f>
        <v>0.29863105464024514</v>
      </c>
      <c r="G38" s="26">
        <f>E38/'- 7 -'!F38</f>
        <v>25.30326043510535</v>
      </c>
      <c r="H38" s="26">
        <v>1308482</v>
      </c>
      <c r="I38" s="78">
        <f>H38/'- 3 -'!D38*100</f>
        <v>1.763582104084422</v>
      </c>
      <c r="J38" s="26">
        <f>H38/'- 7 -'!F38</f>
        <v>149.42979500942158</v>
      </c>
    </row>
    <row r="39" spans="1:10" ht="13.5" customHeight="1">
      <c r="A39" s="331" t="s">
        <v>272</v>
      </c>
      <c r="B39" s="332">
        <v>0</v>
      </c>
      <c r="C39" s="338">
        <f>B39/'- 3 -'!D39*100</f>
        <v>0</v>
      </c>
      <c r="D39" s="332">
        <f>B39/'- 7 -'!F39</f>
        <v>0</v>
      </c>
      <c r="E39" s="332">
        <v>0</v>
      </c>
      <c r="F39" s="338">
        <f>E39/'- 3 -'!D39*100</f>
        <v>0</v>
      </c>
      <c r="G39" s="332">
        <f>E39/'- 7 -'!F39</f>
        <v>0</v>
      </c>
      <c r="H39" s="332">
        <v>193666</v>
      </c>
      <c r="I39" s="338">
        <f>H39/'- 3 -'!D39*100</f>
        <v>1.1848480699370298</v>
      </c>
      <c r="J39" s="332">
        <f>H39/'- 7 -'!F39</f>
        <v>117.01873111782477</v>
      </c>
    </row>
    <row r="40" spans="1:10" ht="13.5" customHeight="1">
      <c r="A40" s="25" t="s">
        <v>273</v>
      </c>
      <c r="B40" s="26">
        <v>0</v>
      </c>
      <c r="C40" s="78">
        <f>B40/'- 3 -'!D40*100</f>
        <v>0</v>
      </c>
      <c r="D40" s="26">
        <f>B40/'- 7 -'!F40</f>
        <v>0</v>
      </c>
      <c r="E40" s="26">
        <v>1173767</v>
      </c>
      <c r="F40" s="78">
        <f>E40/'- 3 -'!D40*100</f>
        <v>1.536072492724978</v>
      </c>
      <c r="G40" s="26">
        <f>E40/'- 7 -'!F40</f>
        <v>135.12775791903388</v>
      </c>
      <c r="H40" s="26">
        <v>1055296</v>
      </c>
      <c r="I40" s="78">
        <f>H40/'- 3 -'!D40*100</f>
        <v>1.3810331669596254</v>
      </c>
      <c r="J40" s="26">
        <f>H40/'- 7 -'!F40</f>
        <v>121.48900286081034</v>
      </c>
    </row>
    <row r="41" spans="1:10" ht="13.5" customHeight="1">
      <c r="A41" s="331" t="s">
        <v>274</v>
      </c>
      <c r="B41" s="332">
        <v>30637</v>
      </c>
      <c r="C41" s="338">
        <f>B41/'- 3 -'!D41*100</f>
        <v>0.06572854862452655</v>
      </c>
      <c r="D41" s="332">
        <f>B41/'- 7 -'!F41</f>
        <v>6.54986638161411</v>
      </c>
      <c r="E41" s="332">
        <v>393762</v>
      </c>
      <c r="F41" s="338">
        <f>E41/'- 3 -'!D41*100</f>
        <v>0.8447760800173263</v>
      </c>
      <c r="G41" s="332">
        <f>E41/'- 7 -'!F41</f>
        <v>84.18214858364512</v>
      </c>
      <c r="H41" s="332">
        <v>567933</v>
      </c>
      <c r="I41" s="338">
        <f>H41/'- 3 -'!D41*100</f>
        <v>1.218442138785561</v>
      </c>
      <c r="J41" s="332">
        <f>H41/'- 7 -'!F41</f>
        <v>121.41806520577231</v>
      </c>
    </row>
    <row r="42" spans="1:10" ht="13.5" customHeight="1">
      <c r="A42" s="25" t="s">
        <v>275</v>
      </c>
      <c r="B42" s="26">
        <v>10809</v>
      </c>
      <c r="C42" s="78">
        <f>B42/'- 3 -'!D42*100</f>
        <v>0.06544189200144361</v>
      </c>
      <c r="D42" s="26">
        <f>B42/'- 7 -'!F42</f>
        <v>6.255208333333333</v>
      </c>
      <c r="E42" s="26">
        <v>0</v>
      </c>
      <c r="F42" s="78">
        <f>E42/'- 3 -'!D42*100</f>
        <v>0</v>
      </c>
      <c r="G42" s="26">
        <f>E42/'- 7 -'!F42</f>
        <v>0</v>
      </c>
      <c r="H42" s="26">
        <v>205056</v>
      </c>
      <c r="I42" s="78">
        <f>H42/'- 3 -'!D42*100</f>
        <v>1.2414888154545305</v>
      </c>
      <c r="J42" s="26">
        <f>H42/'- 7 -'!F42</f>
        <v>118.66666666666667</v>
      </c>
    </row>
    <row r="43" spans="1:10" ht="13.5" customHeight="1">
      <c r="A43" s="331" t="s">
        <v>276</v>
      </c>
      <c r="B43" s="332">
        <v>0</v>
      </c>
      <c r="C43" s="338">
        <f>B43/'- 3 -'!D43*100</f>
        <v>0</v>
      </c>
      <c r="D43" s="332">
        <f>B43/'- 7 -'!F43</f>
        <v>0</v>
      </c>
      <c r="E43" s="332">
        <v>6899</v>
      </c>
      <c r="F43" s="338">
        <f>E43/'- 3 -'!D43*100</f>
        <v>0.0677549958138039</v>
      </c>
      <c r="G43" s="332">
        <f>E43/'- 7 -'!F43</f>
        <v>6.332262505736576</v>
      </c>
      <c r="H43" s="332">
        <v>150087</v>
      </c>
      <c r="I43" s="338">
        <f>H43/'- 3 -'!D43*100</f>
        <v>1.4740026172932865</v>
      </c>
      <c r="J43" s="332">
        <f>H43/'- 7 -'!F43</f>
        <v>137.75768701239102</v>
      </c>
    </row>
    <row r="44" spans="1:10" ht="13.5" customHeight="1">
      <c r="A44" s="25" t="s">
        <v>277</v>
      </c>
      <c r="B44" s="26">
        <v>0</v>
      </c>
      <c r="C44" s="78">
        <f>B44/'- 3 -'!D44*100</f>
        <v>0</v>
      </c>
      <c r="D44" s="26">
        <f>B44/'- 7 -'!F44</f>
        <v>0</v>
      </c>
      <c r="E44" s="26">
        <v>0</v>
      </c>
      <c r="F44" s="78">
        <f>E44/'- 3 -'!D44*100</f>
        <v>0</v>
      </c>
      <c r="G44" s="26">
        <f>E44/'- 7 -'!F44</f>
        <v>0</v>
      </c>
      <c r="H44" s="26">
        <v>96996</v>
      </c>
      <c r="I44" s="78">
        <f>H44/'- 3 -'!D44*100</f>
        <v>1.2547001453442497</v>
      </c>
      <c r="J44" s="26">
        <f>H44/'- 7 -'!F44</f>
        <v>118.64954128440367</v>
      </c>
    </row>
    <row r="45" spans="1:10" ht="13.5" customHeight="1">
      <c r="A45" s="331" t="s">
        <v>278</v>
      </c>
      <c r="B45" s="332">
        <v>20193</v>
      </c>
      <c r="C45" s="338">
        <f>B45/'- 3 -'!D45*100</f>
        <v>0.17331258103782546</v>
      </c>
      <c r="D45" s="332">
        <f>B45/'- 7 -'!F45</f>
        <v>13.68089430894309</v>
      </c>
      <c r="E45" s="332">
        <v>0</v>
      </c>
      <c r="F45" s="338">
        <f>E45/'- 3 -'!D45*100</f>
        <v>0</v>
      </c>
      <c r="G45" s="332">
        <f>E45/'- 7 -'!F45</f>
        <v>0</v>
      </c>
      <c r="H45" s="332">
        <v>190807</v>
      </c>
      <c r="I45" s="338">
        <f>H45/'- 3 -'!D45*100</f>
        <v>1.6376592705434738</v>
      </c>
      <c r="J45" s="332">
        <f>H45/'- 7 -'!F45</f>
        <v>129.2730352303523</v>
      </c>
    </row>
    <row r="46" spans="1:10" ht="13.5" customHeight="1">
      <c r="A46" s="25" t="s">
        <v>279</v>
      </c>
      <c r="B46" s="26">
        <v>156998</v>
      </c>
      <c r="C46" s="78">
        <f>B46/'- 3 -'!D46*100</f>
        <v>0.05406874913878492</v>
      </c>
      <c r="D46" s="26">
        <f>B46/'- 7 -'!F46</f>
        <v>5.19396565984054</v>
      </c>
      <c r="E46" s="26">
        <v>657100</v>
      </c>
      <c r="F46" s="78">
        <f>E46/'- 3 -'!D46*100</f>
        <v>0.22629953922403834</v>
      </c>
      <c r="G46" s="26">
        <f>E46/'- 7 -'!F46</f>
        <v>21.738842756475997</v>
      </c>
      <c r="H46" s="26">
        <v>3111565</v>
      </c>
      <c r="I46" s="78">
        <f>H46/'- 3 -'!D46*100</f>
        <v>1.0715959911210544</v>
      </c>
      <c r="J46" s="26">
        <f>H46/'- 7 -'!F46</f>
        <v>102.93992126244748</v>
      </c>
    </row>
    <row r="47" spans="1:10" ht="4.5" customHeight="1">
      <c r="A47" s="27"/>
      <c r="B47" s="28"/>
      <c r="C47"/>
      <c r="D47" s="28"/>
      <c r="E47" s="28"/>
      <c r="F47"/>
      <c r="G47" s="28"/>
      <c r="H47"/>
      <c r="I47"/>
      <c r="J47"/>
    </row>
    <row r="48" spans="1:10" ht="13.5" customHeight="1">
      <c r="A48" s="333" t="s">
        <v>280</v>
      </c>
      <c r="B48" s="334">
        <f>SUM(B11:B46)</f>
        <v>1088367</v>
      </c>
      <c r="C48" s="341">
        <f>B48/'- 3 -'!D48*100</f>
        <v>0.06859712720706042</v>
      </c>
      <c r="D48" s="334">
        <f>B48/'- 7 -'!F48</f>
        <v>6.265695863928132</v>
      </c>
      <c r="E48" s="334">
        <f>SUM(E11:E46)</f>
        <v>8475566</v>
      </c>
      <c r="F48" s="341">
        <f>E48/'- 3 -'!D48*100</f>
        <v>0.5341943288007044</v>
      </c>
      <c r="G48" s="334">
        <f>E48/'- 7 -'!F48</f>
        <v>48.79357682716391</v>
      </c>
      <c r="H48" s="334">
        <f>SUM(H11:H46)</f>
        <v>25575616</v>
      </c>
      <c r="I48" s="341">
        <f>H48/'- 3 -'!D48*100</f>
        <v>1.6119689260616406</v>
      </c>
      <c r="J48" s="334">
        <f>H48/'- 7 -'!F48</f>
        <v>147.23804689834785</v>
      </c>
    </row>
    <row r="49" spans="1:10" ht="4.5" customHeight="1">
      <c r="A49" s="27" t="s">
        <v>32</v>
      </c>
      <c r="B49" s="28"/>
      <c r="C49"/>
      <c r="D49" s="28"/>
      <c r="E49" s="28"/>
      <c r="F49"/>
      <c r="H49"/>
      <c r="I49"/>
      <c r="J49"/>
    </row>
    <row r="50" spans="1:10" ht="13.5" customHeight="1">
      <c r="A50" s="25" t="s">
        <v>281</v>
      </c>
      <c r="B50" s="26">
        <v>0</v>
      </c>
      <c r="C50" s="78">
        <f>B50/'- 3 -'!D50*100</f>
        <v>0</v>
      </c>
      <c r="D50" s="26">
        <f>B50/'- 7 -'!F50</f>
        <v>0</v>
      </c>
      <c r="E50" s="26">
        <v>0</v>
      </c>
      <c r="F50" s="78">
        <f>E50/'- 3 -'!D50*100</f>
        <v>0</v>
      </c>
      <c r="G50" s="26">
        <f>E50/'- 7 -'!F50</f>
        <v>0</v>
      </c>
      <c r="H50" s="26">
        <v>21089</v>
      </c>
      <c r="I50" s="78">
        <f>H50/'- 3 -'!D50*100</f>
        <v>0.8000616103207909</v>
      </c>
      <c r="J50" s="26">
        <f>H50/'- 7 -'!F50</f>
        <v>92.37406920718352</v>
      </c>
    </row>
    <row r="51" spans="1:10" ht="13.5" customHeight="1">
      <c r="A51" s="331" t="s">
        <v>282</v>
      </c>
      <c r="B51" s="332">
        <v>0</v>
      </c>
      <c r="C51" s="338">
        <f>B51/'- 3 -'!D51*100</f>
        <v>0</v>
      </c>
      <c r="D51" s="332">
        <f>B51/'- 7 -'!F51</f>
        <v>0</v>
      </c>
      <c r="E51" s="332">
        <v>180176</v>
      </c>
      <c r="F51" s="338">
        <f>E51/'- 3 -'!D51*100</f>
        <v>1.7806171302570408</v>
      </c>
      <c r="G51" s="332">
        <f>E51/'- 7 -'!F51</f>
        <v>270.65645185519</v>
      </c>
      <c r="H51" s="332">
        <v>45209</v>
      </c>
      <c r="I51" s="338">
        <f>H51/'- 3 -'!D51*100</f>
        <v>0.44678492053209395</v>
      </c>
      <c r="J51" s="332">
        <f>H51/'- 7 -'!F51</f>
        <v>67.91197235992188</v>
      </c>
    </row>
    <row r="52" spans="1:10" ht="49.5" customHeight="1">
      <c r="A52" s="207"/>
      <c r="B52" s="207"/>
      <c r="C52" s="207"/>
      <c r="D52" s="207"/>
      <c r="E52" s="207"/>
      <c r="F52" s="207"/>
      <c r="G52" s="207"/>
      <c r="H52" s="207"/>
      <c r="I52" s="207"/>
      <c r="J52" s="207"/>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J53"/>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4"/>
      <c r="B2" s="7" t="s">
        <v>528</v>
      </c>
      <c r="C2" s="8"/>
      <c r="D2" s="8"/>
      <c r="E2" s="8"/>
      <c r="F2" s="8"/>
      <c r="G2" s="8"/>
      <c r="H2" s="81"/>
      <c r="I2" s="174"/>
      <c r="J2" s="496" t="s">
        <v>483</v>
      </c>
    </row>
    <row r="3" spans="1:10" ht="15.75" customHeight="1">
      <c r="A3" s="156"/>
      <c r="B3" s="9" t="str">
        <f>OPYEAR</f>
        <v>OPERATING FUND 2006/2007 ACTUAL</v>
      </c>
      <c r="C3" s="10"/>
      <c r="D3" s="10"/>
      <c r="E3" s="10"/>
      <c r="F3" s="10"/>
      <c r="G3" s="10"/>
      <c r="H3" s="83"/>
      <c r="I3" s="83"/>
      <c r="J3" s="73"/>
    </row>
    <row r="4" spans="2:10" ht="15.75" customHeight="1">
      <c r="B4" s="6"/>
      <c r="C4" s="6"/>
      <c r="D4" s="6"/>
      <c r="E4" s="6"/>
      <c r="F4" s="6"/>
      <c r="G4" s="6"/>
      <c r="H4" s="6"/>
      <c r="I4" s="6"/>
      <c r="J4" s="6"/>
    </row>
    <row r="5" spans="2:7" ht="15.75" customHeight="1">
      <c r="B5" s="482" t="s">
        <v>457</v>
      </c>
      <c r="C5" s="194"/>
      <c r="D5" s="195"/>
      <c r="E5" s="204"/>
      <c r="F5" s="204"/>
      <c r="G5" s="205"/>
    </row>
    <row r="6" spans="2:7" ht="15.75" customHeight="1">
      <c r="B6" s="359" t="s">
        <v>45</v>
      </c>
      <c r="C6" s="362"/>
      <c r="D6" s="360"/>
      <c r="E6" s="476"/>
      <c r="F6" s="477"/>
      <c r="G6" s="478"/>
    </row>
    <row r="7" spans="2:7" ht="15.75" customHeight="1">
      <c r="B7" s="345" t="s">
        <v>72</v>
      </c>
      <c r="C7" s="346"/>
      <c r="D7" s="347"/>
      <c r="E7" s="345" t="s">
        <v>449</v>
      </c>
      <c r="F7" s="346"/>
      <c r="G7" s="347"/>
    </row>
    <row r="8" spans="1:7" ht="15.75" customHeight="1">
      <c r="A8" s="74"/>
      <c r="B8" s="157"/>
      <c r="C8" s="158"/>
      <c r="D8" s="159" t="s">
        <v>89</v>
      </c>
      <c r="E8" s="157"/>
      <c r="F8" s="159"/>
      <c r="G8" s="159" t="s">
        <v>89</v>
      </c>
    </row>
    <row r="9" spans="1:7" ht="15.75" customHeight="1">
      <c r="A9" s="41" t="s">
        <v>108</v>
      </c>
      <c r="B9" s="86" t="s">
        <v>109</v>
      </c>
      <c r="C9" s="86" t="s">
        <v>110</v>
      </c>
      <c r="D9" s="86" t="s">
        <v>111</v>
      </c>
      <c r="E9" s="86" t="s">
        <v>109</v>
      </c>
      <c r="F9" s="86" t="s">
        <v>110</v>
      </c>
      <c r="G9" s="86" t="s">
        <v>111</v>
      </c>
    </row>
    <row r="10" ht="4.5" customHeight="1">
      <c r="A10" s="4"/>
    </row>
    <row r="11" spans="1:7" ht="13.5" customHeight="1">
      <c r="A11" s="331" t="s">
        <v>245</v>
      </c>
      <c r="B11" s="332">
        <v>97475</v>
      </c>
      <c r="C11" s="338">
        <f>B11/'- 3 -'!D11*100</f>
        <v>0.8074151469716484</v>
      </c>
      <c r="D11" s="332">
        <f>B11/'- 7 -'!F11</f>
        <v>67.01615675489859</v>
      </c>
      <c r="E11" s="332">
        <v>7555</v>
      </c>
      <c r="F11" s="338">
        <f>E11/'- 3 -'!D11*100</f>
        <v>0.06258036866243451</v>
      </c>
      <c r="G11" s="332">
        <f>E11/'- 7 -'!F11</f>
        <v>5.19422481952561</v>
      </c>
    </row>
    <row r="12" spans="1:7" ht="13.5" customHeight="1">
      <c r="A12" s="25" t="s">
        <v>246</v>
      </c>
      <c r="B12" s="26">
        <v>230309</v>
      </c>
      <c r="C12" s="78">
        <f>B12/'- 3 -'!D12*100</f>
        <v>1.0469985149422416</v>
      </c>
      <c r="D12" s="26">
        <f>B12/'- 7 -'!F12</f>
        <v>96.14917360029725</v>
      </c>
      <c r="E12" s="26">
        <v>68835</v>
      </c>
      <c r="F12" s="78">
        <f>E12/'- 3 -'!D12*100</f>
        <v>0.3129280348403632</v>
      </c>
      <c r="G12" s="26">
        <f>E12/'- 7 -'!F12</f>
        <v>28.737167738891927</v>
      </c>
    </row>
    <row r="13" spans="1:7" ht="13.5" customHeight="1">
      <c r="A13" s="331" t="s">
        <v>247</v>
      </c>
      <c r="B13" s="332">
        <v>608636</v>
      </c>
      <c r="C13" s="338">
        <f>B13/'- 3 -'!D13*100</f>
        <v>1.1335441657887775</v>
      </c>
      <c r="D13" s="332">
        <f>B13/'- 7 -'!F13</f>
        <v>90.25520871950768</v>
      </c>
      <c r="E13" s="332">
        <v>57202</v>
      </c>
      <c r="F13" s="338">
        <f>E13/'- 3 -'!D13*100</f>
        <v>0.10653492953333298</v>
      </c>
      <c r="G13" s="332">
        <f>E13/'- 7 -'!F13</f>
        <v>8.482538741009861</v>
      </c>
    </row>
    <row r="14" spans="1:7" ht="13.5" customHeight="1">
      <c r="A14" s="25" t="s">
        <v>283</v>
      </c>
      <c r="B14" s="26">
        <v>227703</v>
      </c>
      <c r="C14" s="78">
        <f>B14/'- 3 -'!D14*100</f>
        <v>0.46355412258982265</v>
      </c>
      <c r="D14" s="26">
        <f>B14/'- 7 -'!F14</f>
        <v>48.644093142490924</v>
      </c>
      <c r="E14" s="26">
        <v>16482</v>
      </c>
      <c r="F14" s="78">
        <f>E14/'- 3 -'!D14*100</f>
        <v>0.03355379177492372</v>
      </c>
      <c r="G14" s="26">
        <f>E14/'- 7 -'!F14</f>
        <v>3.5210425122837</v>
      </c>
    </row>
    <row r="15" spans="1:7" ht="13.5" customHeight="1">
      <c r="A15" s="331" t="s">
        <v>248</v>
      </c>
      <c r="B15" s="332">
        <v>146765</v>
      </c>
      <c r="C15" s="338">
        <f>B15/'- 3 -'!D15*100</f>
        <v>1.0378403529781561</v>
      </c>
      <c r="D15" s="332">
        <f>B15/'- 7 -'!F15</f>
        <v>90.31692307692308</v>
      </c>
      <c r="E15" s="332">
        <v>2785</v>
      </c>
      <c r="F15" s="338">
        <f>E15/'- 3 -'!D15*100</f>
        <v>0.01969396915507215</v>
      </c>
      <c r="G15" s="332">
        <f>E15/'- 7 -'!F15</f>
        <v>1.7138461538461538</v>
      </c>
    </row>
    <row r="16" spans="1:7" ht="13.5" customHeight="1">
      <c r="A16" s="25" t="s">
        <v>249</v>
      </c>
      <c r="B16" s="26">
        <v>56451</v>
      </c>
      <c r="C16" s="78">
        <f>B16/'- 3 -'!D16*100</f>
        <v>0.5077700588953497</v>
      </c>
      <c r="D16" s="26">
        <f>B16/'- 7 -'!F16</f>
        <v>50.69690166142793</v>
      </c>
      <c r="E16" s="26">
        <v>62693</v>
      </c>
      <c r="F16" s="78">
        <f>E16/'- 3 -'!D16*100</f>
        <v>0.5639161095875389</v>
      </c>
      <c r="G16" s="26">
        <f>E16/'- 7 -'!F16</f>
        <v>56.30264930399641</v>
      </c>
    </row>
    <row r="17" spans="1:7" ht="13.5" customHeight="1">
      <c r="A17" s="331" t="s">
        <v>250</v>
      </c>
      <c r="B17" s="332">
        <v>82960</v>
      </c>
      <c r="C17" s="338">
        <f>B17/'- 3 -'!D17*100</f>
        <v>0.6211706115917355</v>
      </c>
      <c r="D17" s="332">
        <f>B17/'- 7 -'!F17</f>
        <v>56.809688716714604</v>
      </c>
      <c r="E17" s="332">
        <v>13432</v>
      </c>
      <c r="F17" s="338">
        <f>E17/'- 3 -'!D17*100</f>
        <v>0.10057333238790009</v>
      </c>
      <c r="G17" s="332">
        <f>E17/'- 7 -'!F17</f>
        <v>9.198019995695644</v>
      </c>
    </row>
    <row r="18" spans="1:7" ht="13.5" customHeight="1">
      <c r="A18" s="25" t="s">
        <v>251</v>
      </c>
      <c r="B18" s="26">
        <v>525721</v>
      </c>
      <c r="C18" s="78">
        <f>B18/'- 3 -'!D18*100</f>
        <v>0.604357592506587</v>
      </c>
      <c r="D18" s="26">
        <f>B18/'- 7 -'!F18</f>
        <v>91.92855144435896</v>
      </c>
      <c r="E18" s="26">
        <v>1243557</v>
      </c>
      <c r="F18" s="78">
        <f>E18/'- 3 -'!D18*100</f>
        <v>1.4295664709317564</v>
      </c>
      <c r="G18" s="26">
        <f>E18/'- 7 -'!F18</f>
        <v>217.45068895572496</v>
      </c>
    </row>
    <row r="19" spans="1:7" ht="13.5" customHeight="1">
      <c r="A19" s="331" t="s">
        <v>252</v>
      </c>
      <c r="B19" s="332">
        <v>146543</v>
      </c>
      <c r="C19" s="338">
        <f>B19/'- 3 -'!D19*100</f>
        <v>0.5917734672607649</v>
      </c>
      <c r="D19" s="332">
        <f>B19/'- 7 -'!F19</f>
        <v>42.59401359120583</v>
      </c>
      <c r="E19" s="332">
        <v>32337</v>
      </c>
      <c r="F19" s="338">
        <f>E19/'- 3 -'!D19*100</f>
        <v>0.130584051171406</v>
      </c>
      <c r="G19" s="332">
        <f>E19/'- 7 -'!F19</f>
        <v>9.399033850124692</v>
      </c>
    </row>
    <row r="20" spans="1:7" ht="13.5" customHeight="1">
      <c r="A20" s="25" t="s">
        <v>253</v>
      </c>
      <c r="B20" s="26">
        <v>346892</v>
      </c>
      <c r="C20" s="78">
        <f>B20/'- 3 -'!D20*100</f>
        <v>0.7519935985637697</v>
      </c>
      <c r="D20" s="26">
        <f>B20/'- 7 -'!F20</f>
        <v>51.088659793814436</v>
      </c>
      <c r="E20" s="26">
        <v>187099</v>
      </c>
      <c r="F20" s="78">
        <f>E20/'- 3 -'!D20*100</f>
        <v>0.40559381680085654</v>
      </c>
      <c r="G20" s="26">
        <f>E20/'- 7 -'!F20</f>
        <v>27.555081001472754</v>
      </c>
    </row>
    <row r="21" spans="1:7" ht="13.5" customHeight="1">
      <c r="A21" s="331" t="s">
        <v>254</v>
      </c>
      <c r="B21" s="332">
        <v>381686</v>
      </c>
      <c r="C21" s="338">
        <f>B21/'- 3 -'!D21*100</f>
        <v>1.4424620938273434</v>
      </c>
      <c r="D21" s="332">
        <f>B21/'- 7 -'!F21</f>
        <v>122.35486456162846</v>
      </c>
      <c r="E21" s="332">
        <v>79132</v>
      </c>
      <c r="F21" s="338">
        <f>E21/'- 3 -'!D21*100</f>
        <v>0.29905448564722137</v>
      </c>
      <c r="G21" s="332">
        <f>E21/'- 7 -'!F21</f>
        <v>25.366885718865202</v>
      </c>
    </row>
    <row r="22" spans="1:7" ht="13.5" customHeight="1">
      <c r="A22" s="25" t="s">
        <v>255</v>
      </c>
      <c r="B22" s="26">
        <v>95558</v>
      </c>
      <c r="C22" s="78">
        <f>B22/'- 3 -'!D22*100</f>
        <v>0.6377965363772892</v>
      </c>
      <c r="D22" s="26">
        <f>B22/'- 7 -'!F22</f>
        <v>58.754303984259714</v>
      </c>
      <c r="E22" s="26">
        <v>88689</v>
      </c>
      <c r="F22" s="78">
        <f>E22/'- 3 -'!D22*100</f>
        <v>0.5919497793462128</v>
      </c>
      <c r="G22" s="26">
        <f>E22/'- 7 -'!F22</f>
        <v>54.53086571569109</v>
      </c>
    </row>
    <row r="23" spans="1:7" ht="13.5" customHeight="1">
      <c r="A23" s="331" t="s">
        <v>256</v>
      </c>
      <c r="B23" s="332">
        <v>216324</v>
      </c>
      <c r="C23" s="338">
        <f>B23/'- 3 -'!D23*100</f>
        <v>1.7273328683440088</v>
      </c>
      <c r="D23" s="332">
        <f>B23/'- 7 -'!F23</f>
        <v>166.14746543778801</v>
      </c>
      <c r="E23" s="332">
        <v>20559</v>
      </c>
      <c r="F23" s="338">
        <f>E23/'- 3 -'!D23*100</f>
        <v>0.16416225865037848</v>
      </c>
      <c r="G23" s="332">
        <f>E23/'- 7 -'!F23</f>
        <v>15.790322580645162</v>
      </c>
    </row>
    <row r="24" spans="1:7" ht="13.5" customHeight="1">
      <c r="A24" s="25" t="s">
        <v>257</v>
      </c>
      <c r="B24" s="26">
        <v>404635</v>
      </c>
      <c r="C24" s="78">
        <f>B24/'- 3 -'!D24*100</f>
        <v>1.0121267611383344</v>
      </c>
      <c r="D24" s="26">
        <f>B24/'- 7 -'!F24</f>
        <v>88.84290262377868</v>
      </c>
      <c r="E24" s="26">
        <v>57804</v>
      </c>
      <c r="F24" s="78">
        <f>E24/'- 3 -'!D24*100</f>
        <v>0.1445870359727663</v>
      </c>
      <c r="G24" s="26">
        <f>E24/'- 7 -'!F24</f>
        <v>12.691623668898892</v>
      </c>
    </row>
    <row r="25" spans="1:7" ht="13.5" customHeight="1">
      <c r="A25" s="331" t="s">
        <v>258</v>
      </c>
      <c r="B25" s="332">
        <v>2023562</v>
      </c>
      <c r="C25" s="338">
        <f>B25/'- 3 -'!D25*100</f>
        <v>1.6247835956532384</v>
      </c>
      <c r="D25" s="332">
        <f>B25/'- 7 -'!F25</f>
        <v>140.2086956521739</v>
      </c>
      <c r="E25" s="332">
        <v>110750</v>
      </c>
      <c r="F25" s="338">
        <f>E25/'- 3 -'!D25*100</f>
        <v>0.08892476890680699</v>
      </c>
      <c r="G25" s="332">
        <f>E25/'- 7 -'!F25</f>
        <v>7.6736532132340205</v>
      </c>
    </row>
    <row r="26" spans="1:7" ht="13.5" customHeight="1">
      <c r="A26" s="25" t="s">
        <v>259</v>
      </c>
      <c r="B26" s="26">
        <v>190504</v>
      </c>
      <c r="C26" s="78">
        <f>B26/'- 3 -'!D26*100</f>
        <v>0.6309924182801654</v>
      </c>
      <c r="D26" s="26">
        <f>B26/'- 7 -'!F26</f>
        <v>59.5046072153678</v>
      </c>
      <c r="E26" s="26">
        <v>230375</v>
      </c>
      <c r="F26" s="78">
        <f>E26/'- 3 -'!D26*100</f>
        <v>0.7630542054827884</v>
      </c>
      <c r="G26" s="26">
        <f>E26/'- 7 -'!F26</f>
        <v>71.95845697329376</v>
      </c>
    </row>
    <row r="27" spans="1:7" ht="13.5" customHeight="1">
      <c r="A27" s="331" t="s">
        <v>260</v>
      </c>
      <c r="B27" s="332">
        <v>236482</v>
      </c>
      <c r="C27" s="338">
        <f>B27/'- 3 -'!D27*100</f>
        <v>0.7462644648264309</v>
      </c>
      <c r="D27" s="332">
        <f>B27/'- 7 -'!F27</f>
        <v>71.6494876595951</v>
      </c>
      <c r="E27" s="332">
        <v>36469</v>
      </c>
      <c r="F27" s="338">
        <f>E27/'- 3 -'!D27*100</f>
        <v>0.11508494840095698</v>
      </c>
      <c r="G27" s="332">
        <f>E27/'- 7 -'!F27</f>
        <v>11.049404036915172</v>
      </c>
    </row>
    <row r="28" spans="1:7" ht="13.5" customHeight="1">
      <c r="A28" s="25" t="s">
        <v>261</v>
      </c>
      <c r="B28" s="26">
        <v>141659</v>
      </c>
      <c r="C28" s="78">
        <f>B28/'- 3 -'!D28*100</f>
        <v>0.8120770688706523</v>
      </c>
      <c r="D28" s="26">
        <f>B28/'- 7 -'!F28</f>
        <v>74.38120241533211</v>
      </c>
      <c r="E28" s="26">
        <v>1271</v>
      </c>
      <c r="F28" s="78">
        <f>E28/'- 3 -'!D28*100</f>
        <v>0.007286158694714766</v>
      </c>
      <c r="G28" s="26">
        <f>E28/'- 7 -'!F28</f>
        <v>0.6673667629299028</v>
      </c>
    </row>
    <row r="29" spans="1:7" ht="13.5" customHeight="1">
      <c r="A29" s="331" t="s">
        <v>262</v>
      </c>
      <c r="B29" s="332">
        <v>1332578</v>
      </c>
      <c r="C29" s="338">
        <f>B29/'- 3 -'!D29*100</f>
        <v>1.169235107212013</v>
      </c>
      <c r="D29" s="332">
        <f>B29/'- 7 -'!F29</f>
        <v>105.95777839621516</v>
      </c>
      <c r="E29" s="332">
        <v>269908</v>
      </c>
      <c r="F29" s="338">
        <f>E29/'- 3 -'!D29*100</f>
        <v>0.23682359255321642</v>
      </c>
      <c r="G29" s="332">
        <f>E29/'- 7 -'!F29</f>
        <v>21.461296863197234</v>
      </c>
    </row>
    <row r="30" spans="1:7" ht="13.5" customHeight="1">
      <c r="A30" s="25" t="s">
        <v>263</v>
      </c>
      <c r="B30" s="26">
        <v>88976</v>
      </c>
      <c r="C30" s="78">
        <f>B30/'- 3 -'!D30*100</f>
        <v>0.7925550279535626</v>
      </c>
      <c r="D30" s="26">
        <f>B30/'- 7 -'!F30</f>
        <v>74.20850708924104</v>
      </c>
      <c r="E30" s="26">
        <v>1720</v>
      </c>
      <c r="F30" s="78">
        <f>E30/'- 3 -'!D30*100</f>
        <v>0.015320925284122995</v>
      </c>
      <c r="G30" s="26">
        <f>E30/'- 7 -'!F30</f>
        <v>1.4345287739783152</v>
      </c>
    </row>
    <row r="31" spans="1:7" ht="13.5" customHeight="1">
      <c r="A31" s="331" t="s">
        <v>264</v>
      </c>
      <c r="B31" s="332">
        <v>110873</v>
      </c>
      <c r="C31" s="338">
        <f>B31/'- 3 -'!D31*100</f>
        <v>0.4005007576857869</v>
      </c>
      <c r="D31" s="332">
        <f>B31/'- 7 -'!F31</f>
        <v>33.24029380902414</v>
      </c>
      <c r="E31" s="332">
        <v>201680</v>
      </c>
      <c r="F31" s="338">
        <f>E31/'- 3 -'!D31*100</f>
        <v>0.7285181496854014</v>
      </c>
      <c r="G31" s="332">
        <f>E31/'- 7 -'!F31</f>
        <v>60.46469794633488</v>
      </c>
    </row>
    <row r="32" spans="1:7" ht="13.5" customHeight="1">
      <c r="A32" s="25" t="s">
        <v>265</v>
      </c>
      <c r="B32" s="26">
        <v>150734</v>
      </c>
      <c r="C32" s="78">
        <f>B32/'- 3 -'!D32*100</f>
        <v>0.7459420773754938</v>
      </c>
      <c r="D32" s="26">
        <f>B32/'- 7 -'!F32</f>
        <v>69.59095106186518</v>
      </c>
      <c r="E32" s="26">
        <v>7013</v>
      </c>
      <c r="F32" s="78">
        <f>E32/'- 3 -'!D32*100</f>
        <v>0.03470545323970927</v>
      </c>
      <c r="G32" s="26">
        <f>E32/'- 7 -'!F32</f>
        <v>3.237765466297322</v>
      </c>
    </row>
    <row r="33" spans="1:7" ht="13.5" customHeight="1">
      <c r="A33" s="331" t="s">
        <v>266</v>
      </c>
      <c r="B33" s="332">
        <v>133447</v>
      </c>
      <c r="C33" s="338">
        <f>B33/'- 3 -'!D33*100</f>
        <v>0.5866500762662245</v>
      </c>
      <c r="D33" s="332">
        <f>B33/'- 7 -'!F33</f>
        <v>57.96499000955608</v>
      </c>
      <c r="E33" s="332">
        <v>14233</v>
      </c>
      <c r="F33" s="338">
        <f>E33/'- 3 -'!D33*100</f>
        <v>0.06257008801619499</v>
      </c>
      <c r="G33" s="332">
        <f>E33/'- 7 -'!F33</f>
        <v>6.182347319954826</v>
      </c>
    </row>
    <row r="34" spans="1:7" ht="13.5" customHeight="1">
      <c r="A34" s="25" t="s">
        <v>267</v>
      </c>
      <c r="B34" s="26">
        <v>133608</v>
      </c>
      <c r="C34" s="78">
        <f>B34/'- 3 -'!D34*100</f>
        <v>0.6953220017205066</v>
      </c>
      <c r="D34" s="26">
        <f>B34/'- 7 -'!F34</f>
        <v>65.38194274528995</v>
      </c>
      <c r="E34" s="26">
        <v>257</v>
      </c>
      <c r="F34" s="78">
        <f>E34/'- 3 -'!D34*100</f>
        <v>0.0013374779537315897</v>
      </c>
      <c r="G34" s="26">
        <f>E34/'- 7 -'!F34</f>
        <v>0.1257646195253242</v>
      </c>
    </row>
    <row r="35" spans="1:7" ht="13.5" customHeight="1">
      <c r="A35" s="331" t="s">
        <v>268</v>
      </c>
      <c r="B35" s="332">
        <v>1492452</v>
      </c>
      <c r="C35" s="338">
        <f>B35/'- 3 -'!D35*100</f>
        <v>1.0469073816083454</v>
      </c>
      <c r="D35" s="332">
        <f>B35/'- 7 -'!F35</f>
        <v>88.81528207569626</v>
      </c>
      <c r="E35" s="332">
        <v>328695</v>
      </c>
      <c r="F35" s="338">
        <f>E35/'- 3 -'!D35*100</f>
        <v>0.23056903793070402</v>
      </c>
      <c r="G35" s="332">
        <f>E35/'- 7 -'!F35</f>
        <v>19.56052130445132</v>
      </c>
    </row>
    <row r="36" spans="1:7" ht="13.5" customHeight="1">
      <c r="A36" s="25" t="s">
        <v>269</v>
      </c>
      <c r="B36" s="26">
        <v>223630</v>
      </c>
      <c r="C36" s="78">
        <f>B36/'- 3 -'!D36*100</f>
        <v>1.2461398390343734</v>
      </c>
      <c r="D36" s="26">
        <f>B36/'- 7 -'!F36</f>
        <v>115.33264569365653</v>
      </c>
      <c r="E36" s="26">
        <v>8699</v>
      </c>
      <c r="F36" s="78">
        <f>E36/'- 3 -'!D36*100</f>
        <v>0.04847368626642228</v>
      </c>
      <c r="G36" s="26">
        <f>E36/'- 7 -'!F36</f>
        <v>4.486333161423414</v>
      </c>
    </row>
    <row r="37" spans="1:7" ht="13.5" customHeight="1">
      <c r="A37" s="331" t="s">
        <v>270</v>
      </c>
      <c r="B37" s="332">
        <v>332461</v>
      </c>
      <c r="C37" s="338">
        <f>B37/'- 3 -'!D37*100</f>
        <v>1.113854474007209</v>
      </c>
      <c r="D37" s="332">
        <f>B37/'- 7 -'!F37</f>
        <v>98.95850696511489</v>
      </c>
      <c r="E37" s="332">
        <v>37815</v>
      </c>
      <c r="F37" s="338">
        <f>E37/'- 3 -'!D37*100</f>
        <v>0.1266927757980112</v>
      </c>
      <c r="G37" s="332">
        <f>E37/'- 7 -'!F37</f>
        <v>11.255804262412193</v>
      </c>
    </row>
    <row r="38" spans="1:7" ht="13.5" customHeight="1">
      <c r="A38" s="25" t="s">
        <v>271</v>
      </c>
      <c r="B38" s="26">
        <v>557740</v>
      </c>
      <c r="C38" s="78">
        <f>B38/'- 3 -'!D38*100</f>
        <v>0.7517262619830043</v>
      </c>
      <c r="D38" s="26">
        <f>B38/'- 7 -'!F38</f>
        <v>63.69439844686804</v>
      </c>
      <c r="E38" s="26">
        <v>95837</v>
      </c>
      <c r="F38" s="78">
        <f>E38/'- 3 -'!D38*100</f>
        <v>0.12916984575190088</v>
      </c>
      <c r="G38" s="26">
        <f>E38/'- 7 -'!F38</f>
        <v>10.94466967395649</v>
      </c>
    </row>
    <row r="39" spans="1:7" ht="13.5" customHeight="1">
      <c r="A39" s="331" t="s">
        <v>272</v>
      </c>
      <c r="B39" s="332">
        <v>91809</v>
      </c>
      <c r="C39" s="338">
        <f>B39/'- 3 -'!D39*100</f>
        <v>0.5616872164078814</v>
      </c>
      <c r="D39" s="332">
        <f>B39/'- 7 -'!F39</f>
        <v>55.473716012084594</v>
      </c>
      <c r="E39" s="332">
        <v>34188</v>
      </c>
      <c r="F39" s="338">
        <f>E39/'- 3 -'!D39*100</f>
        <v>0.20916209254596665</v>
      </c>
      <c r="G39" s="332">
        <f>E39/'- 7 -'!F39</f>
        <v>20.65740181268882</v>
      </c>
    </row>
    <row r="40" spans="1:7" ht="13.5" customHeight="1">
      <c r="A40" s="25" t="s">
        <v>273</v>
      </c>
      <c r="B40" s="26">
        <v>643477</v>
      </c>
      <c r="C40" s="78">
        <f>B40/'- 3 -'!D40*100</f>
        <v>0.8420984057323052</v>
      </c>
      <c r="D40" s="26">
        <f>B40/'- 7 -'!F40</f>
        <v>74.07910111842143</v>
      </c>
      <c r="E40" s="26">
        <v>100577</v>
      </c>
      <c r="F40" s="78">
        <f>E40/'- 3 -'!D40*100</f>
        <v>0.1316220025787061</v>
      </c>
      <c r="G40" s="26">
        <f>E40/'- 7 -'!F40</f>
        <v>11.578741358568328</v>
      </c>
    </row>
    <row r="41" spans="1:7" ht="13.5" customHeight="1">
      <c r="A41" s="331" t="s">
        <v>274</v>
      </c>
      <c r="B41" s="332">
        <v>368712</v>
      </c>
      <c r="C41" s="338">
        <f>B41/'- 3 -'!D41*100</f>
        <v>0.7910338682131552</v>
      </c>
      <c r="D41" s="332">
        <f>B41/'- 7 -'!F41</f>
        <v>78.82672367717798</v>
      </c>
      <c r="E41" s="332">
        <v>60579</v>
      </c>
      <c r="F41" s="338">
        <f>E41/'- 3 -'!D41*100</f>
        <v>0.12996604586366792</v>
      </c>
      <c r="G41" s="332">
        <f>E41/'- 7 -'!F41</f>
        <v>12.951149118118654</v>
      </c>
    </row>
    <row r="42" spans="1:7" ht="13.5" customHeight="1">
      <c r="A42" s="25" t="s">
        <v>275</v>
      </c>
      <c r="B42" s="26">
        <v>125073</v>
      </c>
      <c r="C42" s="78">
        <f>B42/'- 3 -'!D42*100</f>
        <v>0.757240610444681</v>
      </c>
      <c r="D42" s="26">
        <f>B42/'- 7 -'!F42</f>
        <v>72.38020833333333</v>
      </c>
      <c r="E42" s="26">
        <v>775</v>
      </c>
      <c r="F42" s="78">
        <f>E42/'- 3 -'!D42*100</f>
        <v>0.004692151568241169</v>
      </c>
      <c r="G42" s="26">
        <f>E42/'- 7 -'!F42</f>
        <v>0.44849537037037035</v>
      </c>
    </row>
    <row r="43" spans="1:7" ht="13.5" customHeight="1">
      <c r="A43" s="331" t="s">
        <v>276</v>
      </c>
      <c r="B43" s="332">
        <v>65380</v>
      </c>
      <c r="C43" s="338">
        <f>B43/'- 3 -'!D43*100</f>
        <v>0.6420961916664008</v>
      </c>
      <c r="D43" s="332">
        <f>B43/'- 7 -'!F43</f>
        <v>60.00917852225792</v>
      </c>
      <c r="E43" s="332">
        <v>113422</v>
      </c>
      <c r="F43" s="338">
        <f>E43/'- 3 -'!D43*100</f>
        <v>1.1139160943895152</v>
      </c>
      <c r="G43" s="332">
        <f>E43/'- 7 -'!F43</f>
        <v>104.10463515374025</v>
      </c>
    </row>
    <row r="44" spans="1:7" ht="13.5" customHeight="1">
      <c r="A44" s="25" t="s">
        <v>277</v>
      </c>
      <c r="B44" s="26">
        <v>39821</v>
      </c>
      <c r="C44" s="78">
        <f>B44/'- 3 -'!D44*100</f>
        <v>0.5151079888629775</v>
      </c>
      <c r="D44" s="26">
        <f>B44/'- 7 -'!F44</f>
        <v>48.71070336391438</v>
      </c>
      <c r="E44" s="26">
        <v>50621</v>
      </c>
      <c r="F44" s="78">
        <f>E44/'- 3 -'!D44*100</f>
        <v>0.6548123227501264</v>
      </c>
      <c r="G44" s="26">
        <f>E44/'- 7 -'!F44</f>
        <v>61.9217125382263</v>
      </c>
    </row>
    <row r="45" spans="1:7" ht="13.5" customHeight="1">
      <c r="A45" s="331" t="s">
        <v>278</v>
      </c>
      <c r="B45" s="332">
        <v>61642</v>
      </c>
      <c r="C45" s="338">
        <f>B45/'- 3 -'!D45*100</f>
        <v>0.5290612648112533</v>
      </c>
      <c r="D45" s="332">
        <f>B45/'- 7 -'!F45</f>
        <v>41.762872628726285</v>
      </c>
      <c r="E45" s="332">
        <v>145872</v>
      </c>
      <c r="F45" s="338">
        <f>E45/'- 3 -'!D45*100</f>
        <v>1.2519909285965274</v>
      </c>
      <c r="G45" s="332">
        <f>E45/'- 7 -'!F45</f>
        <v>98.82926829268293</v>
      </c>
    </row>
    <row r="46" spans="1:7" ht="13.5" customHeight="1">
      <c r="A46" s="25" t="s">
        <v>279</v>
      </c>
      <c r="B46" s="26">
        <v>2235662</v>
      </c>
      <c r="C46" s="78">
        <f>B46/'- 3 -'!D46*100</f>
        <v>0.7699425969573763</v>
      </c>
      <c r="D46" s="26">
        <f>B46/'- 7 -'!F46</f>
        <v>73.96241770602441</v>
      </c>
      <c r="E46" s="26">
        <v>3167361</v>
      </c>
      <c r="F46" s="78">
        <f>E46/'- 3 -'!D46*100</f>
        <v>1.0908116494539482</v>
      </c>
      <c r="G46" s="26">
        <f>E46/'- 7 -'!F46</f>
        <v>104.78582062394548</v>
      </c>
    </row>
    <row r="47" spans="1:7" ht="4.5" customHeight="1">
      <c r="A47" s="27"/>
      <c r="B47" s="28"/>
      <c r="C47"/>
      <c r="D47" s="28"/>
      <c r="E47" s="28"/>
      <c r="F47"/>
      <c r="G47"/>
    </row>
    <row r="48" spans="1:7" ht="13.5" customHeight="1">
      <c r="A48" s="333" t="s">
        <v>280</v>
      </c>
      <c r="B48" s="334">
        <f>SUM(B11:B46)</f>
        <v>14347940</v>
      </c>
      <c r="C48" s="341">
        <f>B48/'- 3 -'!D48*100</f>
        <v>0.9043157917680988</v>
      </c>
      <c r="D48" s="334">
        <f>B48/'- 7 -'!F48</f>
        <v>82.600656133353</v>
      </c>
      <c r="E48" s="334">
        <f>SUM(E11:E46)</f>
        <v>6956278</v>
      </c>
      <c r="F48" s="341">
        <f>E48/'- 3 -'!D48*100</f>
        <v>0.43843729812983656</v>
      </c>
      <c r="G48" s="334">
        <f>E48/'- 7 -'!F48</f>
        <v>40.04708181425407</v>
      </c>
    </row>
    <row r="49" spans="1:7" ht="4.5" customHeight="1">
      <c r="A49" s="27" t="s">
        <v>32</v>
      </c>
      <c r="B49" s="28"/>
      <c r="C49"/>
      <c r="D49" s="28"/>
      <c r="E49" s="28"/>
      <c r="F49"/>
      <c r="G49"/>
    </row>
    <row r="50" spans="1:7" ht="13.5" customHeight="1">
      <c r="A50" s="25" t="s">
        <v>281</v>
      </c>
      <c r="B50" s="26">
        <v>12731</v>
      </c>
      <c r="C50" s="78">
        <f>B50/'- 3 -'!D50*100</f>
        <v>0.482980907629285</v>
      </c>
      <c r="D50" s="26">
        <f>B50/'- 7 -'!F50</f>
        <v>55.76434515987735</v>
      </c>
      <c r="E50" s="26">
        <v>9816</v>
      </c>
      <c r="F50" s="78">
        <f>E50/'- 3 -'!D50*100</f>
        <v>0.37239341680064886</v>
      </c>
      <c r="G50" s="26">
        <f>E50/'- 7 -'!F50</f>
        <v>42.99605781865966</v>
      </c>
    </row>
    <row r="51" spans="1:7" ht="13.5" customHeight="1">
      <c r="A51" s="331" t="s">
        <v>282</v>
      </c>
      <c r="B51" s="332">
        <v>25828</v>
      </c>
      <c r="C51" s="338">
        <f>B51/'- 3 -'!D51*100</f>
        <v>0.25524919656490797</v>
      </c>
      <c r="D51" s="332">
        <f>B51/'- 7 -'!F51</f>
        <v>38.798257473336335</v>
      </c>
      <c r="E51" s="332">
        <v>0</v>
      </c>
      <c r="F51" s="338">
        <f>E51/'- 3 -'!D51*100</f>
        <v>0</v>
      </c>
      <c r="G51" s="332">
        <f>E51/'- 7 -'!F51</f>
        <v>0</v>
      </c>
    </row>
    <row r="52" spans="1:10" ht="49.5" customHeight="1">
      <c r="A52" s="29"/>
      <c r="B52" s="29"/>
      <c r="C52" s="29"/>
      <c r="D52" s="29"/>
      <c r="E52" s="29"/>
      <c r="F52" s="29"/>
      <c r="G52" s="29"/>
      <c r="H52" s="29"/>
      <c r="I52" s="29"/>
      <c r="J52" s="29"/>
    </row>
    <row r="53" ht="15" customHeight="1">
      <c r="A53" s="127" t="s">
        <v>604</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1"/>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15.83203125" style="1" customWidth="1"/>
    <col min="4" max="4" width="17.83203125" style="1" customWidth="1"/>
    <col min="5" max="5" width="15.83203125" style="1" customWidth="1"/>
    <col min="6" max="6" width="17.83203125" style="1" customWidth="1"/>
    <col min="7" max="16384" width="15.83203125" style="1" customWidth="1"/>
  </cols>
  <sheetData>
    <row r="1" spans="1:7" ht="6.75" customHeight="1">
      <c r="A1" s="5"/>
      <c r="B1" s="6"/>
      <c r="C1" s="6"/>
      <c r="D1" s="6"/>
      <c r="E1" s="6"/>
      <c r="F1" s="6"/>
      <c r="G1" s="6"/>
    </row>
    <row r="2" spans="1:7" ht="15.75" customHeight="1">
      <c r="A2" s="154"/>
      <c r="B2" s="7" t="s">
        <v>528</v>
      </c>
      <c r="C2" s="8"/>
      <c r="D2" s="8"/>
      <c r="E2" s="8"/>
      <c r="F2" s="81"/>
      <c r="G2" s="496" t="s">
        <v>482</v>
      </c>
    </row>
    <row r="3" spans="1:7" ht="15.75" customHeight="1">
      <c r="A3" s="156"/>
      <c r="B3" s="9" t="str">
        <f>OPYEAR</f>
        <v>OPERATING FUND 2006/2007 ACTUAL</v>
      </c>
      <c r="C3" s="10"/>
      <c r="D3" s="10"/>
      <c r="E3" s="10"/>
      <c r="F3" s="83"/>
      <c r="G3" s="73"/>
    </row>
    <row r="4" spans="2:7" ht="15.75" customHeight="1">
      <c r="B4" s="6"/>
      <c r="C4" s="6"/>
      <c r="D4" s="6"/>
      <c r="E4" s="6"/>
      <c r="F4" s="6"/>
      <c r="G4" s="6"/>
    </row>
    <row r="5" spans="2:7" ht="15.75" customHeight="1">
      <c r="B5" s="6"/>
      <c r="C5" s="6"/>
      <c r="D5" s="6"/>
      <c r="E5" s="6"/>
      <c r="F5" s="6"/>
      <c r="G5" s="6"/>
    </row>
    <row r="6" spans="2:7" ht="15.75" customHeight="1">
      <c r="B6" s="186" t="s">
        <v>48</v>
      </c>
      <c r="C6" s="187"/>
      <c r="D6" s="188"/>
      <c r="E6" s="188"/>
      <c r="F6" s="188"/>
      <c r="G6" s="189"/>
    </row>
    <row r="7" spans="2:7" ht="15.75" customHeight="1">
      <c r="B7" s="359"/>
      <c r="C7" s="360"/>
      <c r="D7" s="359"/>
      <c r="E7" s="360"/>
      <c r="F7" s="359" t="s">
        <v>75</v>
      </c>
      <c r="G7" s="360"/>
    </row>
    <row r="8" spans="1:7" ht="15.75" customHeight="1">
      <c r="A8" s="74"/>
      <c r="B8" s="346" t="s">
        <v>59</v>
      </c>
      <c r="C8" s="347"/>
      <c r="D8" s="345" t="s">
        <v>92</v>
      </c>
      <c r="E8" s="347"/>
      <c r="F8" s="345" t="s">
        <v>93</v>
      </c>
      <c r="G8" s="347"/>
    </row>
    <row r="9" spans="1:7" ht="15.75" customHeight="1">
      <c r="A9" s="41" t="s">
        <v>108</v>
      </c>
      <c r="B9" s="190" t="s">
        <v>109</v>
      </c>
      <c r="C9" s="190" t="s">
        <v>110</v>
      </c>
      <c r="D9" s="190" t="s">
        <v>109</v>
      </c>
      <c r="E9" s="190" t="s">
        <v>110</v>
      </c>
      <c r="F9" s="190" t="s">
        <v>109</v>
      </c>
      <c r="G9" s="190" t="s">
        <v>110</v>
      </c>
    </row>
    <row r="10" ht="4.5" customHeight="1">
      <c r="A10" s="4"/>
    </row>
    <row r="11" spans="1:7" ht="13.5" customHeight="1">
      <c r="A11" s="331" t="s">
        <v>245</v>
      </c>
      <c r="B11" s="332">
        <v>48289</v>
      </c>
      <c r="C11" s="338">
        <f>B11/'- 3 -'!D11*100</f>
        <v>0.39999251122968893</v>
      </c>
      <c r="D11" s="332">
        <v>761494</v>
      </c>
      <c r="E11" s="338">
        <f>D11/'- 3 -'!D11*100</f>
        <v>6.307686995927451</v>
      </c>
      <c r="F11" s="332">
        <v>3369</v>
      </c>
      <c r="G11" s="338">
        <f>F11/'- 3 -'!D11*100</f>
        <v>0.027906454271838764</v>
      </c>
    </row>
    <row r="12" spans="1:7" ht="13.5" customHeight="1">
      <c r="A12" s="25" t="s">
        <v>246</v>
      </c>
      <c r="B12" s="26">
        <v>73923</v>
      </c>
      <c r="C12" s="78">
        <f>B12/'- 3 -'!D12*100</f>
        <v>0.33605838773159247</v>
      </c>
      <c r="D12" s="26">
        <v>1435387</v>
      </c>
      <c r="E12" s="78">
        <f>D12/'- 3 -'!D12*100</f>
        <v>6.525355315543028</v>
      </c>
      <c r="F12" s="26">
        <v>0</v>
      </c>
      <c r="G12" s="78">
        <f>F12/'- 3 -'!D12*100</f>
        <v>0</v>
      </c>
    </row>
    <row r="13" spans="1:7" ht="13.5" customHeight="1">
      <c r="A13" s="331" t="s">
        <v>247</v>
      </c>
      <c r="B13" s="332">
        <v>104904</v>
      </c>
      <c r="C13" s="338">
        <f>B13/'- 3 -'!D13*100</f>
        <v>0.19537673941059341</v>
      </c>
      <c r="D13" s="332">
        <v>1242198</v>
      </c>
      <c r="E13" s="338">
        <f>D13/'- 3 -'!D13*100</f>
        <v>2.3135113526877937</v>
      </c>
      <c r="F13" s="332">
        <v>0</v>
      </c>
      <c r="G13" s="338">
        <f>F13/'- 3 -'!D13*100</f>
        <v>0</v>
      </c>
    </row>
    <row r="14" spans="1:7" ht="13.5" customHeight="1">
      <c r="A14" s="25" t="s">
        <v>283</v>
      </c>
      <c r="B14" s="26">
        <v>125038</v>
      </c>
      <c r="C14" s="78">
        <f>B14/'- 3 -'!D14*100</f>
        <v>0.2545503589341653</v>
      </c>
      <c r="D14" s="26">
        <v>4435776</v>
      </c>
      <c r="E14" s="78">
        <f>D14/'- 3 -'!D14*100</f>
        <v>9.03028177795195</v>
      </c>
      <c r="F14" s="26">
        <v>226033</v>
      </c>
      <c r="G14" s="78">
        <f>F14/'- 3 -'!D14*100</f>
        <v>0.4601543633212798</v>
      </c>
    </row>
    <row r="15" spans="1:7" ht="13.5" customHeight="1">
      <c r="A15" s="331" t="s">
        <v>248</v>
      </c>
      <c r="B15" s="332">
        <v>54805</v>
      </c>
      <c r="C15" s="338">
        <f>B15/'- 3 -'!D15*100</f>
        <v>0.3875504414878741</v>
      </c>
      <c r="D15" s="332">
        <v>812946</v>
      </c>
      <c r="E15" s="338">
        <f>D15/'- 3 -'!D15*100</f>
        <v>5.748701417859707</v>
      </c>
      <c r="F15" s="332">
        <v>4625</v>
      </c>
      <c r="G15" s="338">
        <f>F15/'- 3 -'!D15*100</f>
        <v>0.03270542453939271</v>
      </c>
    </row>
    <row r="16" spans="1:7" ht="13.5" customHeight="1">
      <c r="A16" s="25" t="s">
        <v>249</v>
      </c>
      <c r="B16" s="26">
        <v>0</v>
      </c>
      <c r="C16" s="78">
        <f>B16/'- 3 -'!D16*100</f>
        <v>0</v>
      </c>
      <c r="D16" s="26">
        <v>247694</v>
      </c>
      <c r="E16" s="78">
        <f>D16/'- 3 -'!D16*100</f>
        <v>2.227978192911104</v>
      </c>
      <c r="F16" s="26">
        <v>270</v>
      </c>
      <c r="G16" s="78">
        <f>F16/'- 3 -'!D16*100</f>
        <v>0.002428618020969414</v>
      </c>
    </row>
    <row r="17" spans="1:7" ht="13.5" customHeight="1">
      <c r="A17" s="331" t="s">
        <v>250</v>
      </c>
      <c r="B17" s="332">
        <v>44020</v>
      </c>
      <c r="C17" s="338">
        <f>B17/'- 3 -'!D17*100</f>
        <v>0.32960378884122704</v>
      </c>
      <c r="D17" s="332">
        <v>1085125</v>
      </c>
      <c r="E17" s="338">
        <f>D17/'- 3 -'!D17*100</f>
        <v>8.124972997872252</v>
      </c>
      <c r="F17" s="332">
        <v>878</v>
      </c>
      <c r="G17" s="338">
        <f>F17/'- 3 -'!D17*100</f>
        <v>0.006574105556624202</v>
      </c>
    </row>
    <row r="18" spans="1:7" ht="13.5" customHeight="1">
      <c r="A18" s="25" t="s">
        <v>251</v>
      </c>
      <c r="B18" s="26">
        <v>157349</v>
      </c>
      <c r="C18" s="78">
        <f>B18/'- 3 -'!D18*100</f>
        <v>0.1808850375452359</v>
      </c>
      <c r="D18" s="26">
        <v>3512873</v>
      </c>
      <c r="E18" s="78">
        <f>D18/'- 3 -'!D18*100</f>
        <v>4.038323500604679</v>
      </c>
      <c r="F18" s="26">
        <v>64846</v>
      </c>
      <c r="G18" s="78">
        <f>F18/'- 3 -'!D18*100</f>
        <v>0.07454557159345385</v>
      </c>
    </row>
    <row r="19" spans="1:7" ht="13.5" customHeight="1">
      <c r="A19" s="331" t="s">
        <v>252</v>
      </c>
      <c r="B19" s="332">
        <v>31102</v>
      </c>
      <c r="C19" s="338">
        <f>B19/'- 3 -'!D19*100</f>
        <v>0.12559684446711414</v>
      </c>
      <c r="D19" s="332">
        <v>844355</v>
      </c>
      <c r="E19" s="338">
        <f>D19/'- 3 -'!D19*100</f>
        <v>3.409694669475601</v>
      </c>
      <c r="F19" s="332">
        <v>22109</v>
      </c>
      <c r="G19" s="338">
        <f>F19/'- 3 -'!D19*100</f>
        <v>0.08928109556695475</v>
      </c>
    </row>
    <row r="20" spans="1:7" ht="13.5" customHeight="1">
      <c r="A20" s="25" t="s">
        <v>253</v>
      </c>
      <c r="B20" s="26">
        <v>143982</v>
      </c>
      <c r="C20" s="78">
        <f>B20/'- 3 -'!D20*100</f>
        <v>0.31212464487047464</v>
      </c>
      <c r="D20" s="26">
        <v>2139673</v>
      </c>
      <c r="E20" s="78">
        <f>D20/'- 3 -'!D20*100</f>
        <v>4.638390043643949</v>
      </c>
      <c r="F20" s="26">
        <v>10521</v>
      </c>
      <c r="G20" s="78">
        <f>F20/'- 3 -'!D20*100</f>
        <v>0.02280745779807381</v>
      </c>
    </row>
    <row r="21" spans="1:7" ht="13.5" customHeight="1">
      <c r="A21" s="331" t="s">
        <v>254</v>
      </c>
      <c r="B21" s="332">
        <v>126053</v>
      </c>
      <c r="C21" s="338">
        <f>B21/'- 3 -'!D21*100</f>
        <v>0.4763776358399787</v>
      </c>
      <c r="D21" s="332">
        <v>1574158</v>
      </c>
      <c r="E21" s="338">
        <f>D21/'- 3 -'!D21*100</f>
        <v>5.949034663820688</v>
      </c>
      <c r="F21" s="332">
        <v>6872</v>
      </c>
      <c r="G21" s="338">
        <f>F21/'- 3 -'!D21*100</f>
        <v>0.025970560902892702</v>
      </c>
    </row>
    <row r="22" spans="1:7" ht="13.5" customHeight="1">
      <c r="A22" s="25" t="s">
        <v>255</v>
      </c>
      <c r="B22" s="26">
        <v>58058</v>
      </c>
      <c r="C22" s="78">
        <f>B22/'- 3 -'!D22*100</f>
        <v>0.3875048798529967</v>
      </c>
      <c r="D22" s="26">
        <v>364167</v>
      </c>
      <c r="E22" s="78">
        <f>D22/'- 3 -'!D22*100</f>
        <v>2.430612311506188</v>
      </c>
      <c r="F22" s="26">
        <v>1046</v>
      </c>
      <c r="G22" s="78">
        <f>F22/'- 3 -'!D22*100</f>
        <v>0.0069814686059842665</v>
      </c>
    </row>
    <row r="23" spans="1:7" ht="13.5" customHeight="1">
      <c r="A23" s="331" t="s">
        <v>256</v>
      </c>
      <c r="B23" s="332">
        <v>52027</v>
      </c>
      <c r="C23" s="338">
        <f>B23/'- 3 -'!D23*100</f>
        <v>0.4154321625956146</v>
      </c>
      <c r="D23" s="332">
        <v>1179494</v>
      </c>
      <c r="E23" s="338">
        <f>D23/'- 3 -'!D23*100</f>
        <v>9.418181774627632</v>
      </c>
      <c r="F23" s="332">
        <v>0</v>
      </c>
      <c r="G23" s="338">
        <f>F23/'- 3 -'!D23*100</f>
        <v>0</v>
      </c>
    </row>
    <row r="24" spans="1:7" ht="13.5" customHeight="1">
      <c r="A24" s="25" t="s">
        <v>257</v>
      </c>
      <c r="B24" s="26">
        <v>127104</v>
      </c>
      <c r="C24" s="78">
        <f>B24/'- 3 -'!D24*100</f>
        <v>0.31792939278047344</v>
      </c>
      <c r="D24" s="26">
        <v>1796916</v>
      </c>
      <c r="E24" s="78">
        <f>D24/'- 3 -'!D24*100</f>
        <v>4.494684768044414</v>
      </c>
      <c r="F24" s="26">
        <v>4535</v>
      </c>
      <c r="G24" s="78">
        <f>F24/'- 3 -'!D24*100</f>
        <v>0.011343543840158036</v>
      </c>
    </row>
    <row r="25" spans="1:7" ht="13.5" customHeight="1">
      <c r="A25" s="331" t="s">
        <v>258</v>
      </c>
      <c r="B25" s="332">
        <v>217175</v>
      </c>
      <c r="C25" s="338">
        <f>B25/'- 3 -'!D25*100</f>
        <v>0.1743768549646574</v>
      </c>
      <c r="D25" s="332">
        <v>1772063</v>
      </c>
      <c r="E25" s="338">
        <f>D25/'- 3 -'!D25*100</f>
        <v>1.4228468872533013</v>
      </c>
      <c r="F25" s="332">
        <v>6400</v>
      </c>
      <c r="G25" s="338">
        <f>F25/'- 3 -'!D25*100</f>
        <v>0.005138767684005099</v>
      </c>
    </row>
    <row r="26" spans="1:7" ht="13.5" customHeight="1">
      <c r="A26" s="25" t="s">
        <v>259</v>
      </c>
      <c r="B26" s="26">
        <v>111630</v>
      </c>
      <c r="C26" s="78">
        <f>B26/'- 3 -'!D26*100</f>
        <v>0.3697438565731684</v>
      </c>
      <c r="D26" s="26">
        <v>1921139</v>
      </c>
      <c r="E26" s="78">
        <f>D26/'- 3 -'!D26*100</f>
        <v>6.363247719010302</v>
      </c>
      <c r="F26" s="26">
        <v>20977</v>
      </c>
      <c r="G26" s="78">
        <f>F26/'- 3 -'!D26*100</f>
        <v>0.0694805776165489</v>
      </c>
    </row>
    <row r="27" spans="1:7" ht="13.5" customHeight="1">
      <c r="A27" s="331" t="s">
        <v>260</v>
      </c>
      <c r="B27" s="332">
        <v>0</v>
      </c>
      <c r="C27" s="338">
        <f>B27/'- 3 -'!D27*100</f>
        <v>0</v>
      </c>
      <c r="D27" s="332">
        <v>2446</v>
      </c>
      <c r="E27" s="338">
        <f>D27/'- 3 -'!D27*100</f>
        <v>0.007718823762338994</v>
      </c>
      <c r="F27" s="332">
        <v>109413</v>
      </c>
      <c r="G27" s="338">
        <f>F27/'- 3 -'!D27*100</f>
        <v>0.34527377935764364</v>
      </c>
    </row>
    <row r="28" spans="1:7" ht="13.5" customHeight="1">
      <c r="A28" s="25" t="s">
        <v>261</v>
      </c>
      <c r="B28" s="26">
        <v>47327</v>
      </c>
      <c r="C28" s="78">
        <f>B28/'- 3 -'!D28*100</f>
        <v>0.27130765739163315</v>
      </c>
      <c r="D28" s="26">
        <v>1652420</v>
      </c>
      <c r="E28" s="78">
        <f>D28/'- 3 -'!D28*100</f>
        <v>9.47269421740407</v>
      </c>
      <c r="F28" s="26">
        <v>13491</v>
      </c>
      <c r="G28" s="78">
        <f>F28/'- 3 -'!D28*100</f>
        <v>0.07733876235279065</v>
      </c>
    </row>
    <row r="29" spans="1:7" ht="13.5" customHeight="1">
      <c r="A29" s="331" t="s">
        <v>262</v>
      </c>
      <c r="B29" s="332">
        <v>158617</v>
      </c>
      <c r="C29" s="338">
        <f>B29/'- 3 -'!D29*100</f>
        <v>0.13917426597215915</v>
      </c>
      <c r="D29" s="332">
        <v>1163071</v>
      </c>
      <c r="E29" s="338">
        <f>D29/'- 3 -'!D29*100</f>
        <v>1.0205057005144789</v>
      </c>
      <c r="F29" s="332">
        <v>42063</v>
      </c>
      <c r="G29" s="338">
        <f>F29/'- 3 -'!D29*100</f>
        <v>0.036907060085532635</v>
      </c>
    </row>
    <row r="30" spans="1:7" ht="13.5" customHeight="1">
      <c r="A30" s="25" t="s">
        <v>263</v>
      </c>
      <c r="B30" s="26">
        <v>44042</v>
      </c>
      <c r="C30" s="78">
        <f>B30/'- 3 -'!D30*100</f>
        <v>0.39230476242054946</v>
      </c>
      <c r="D30" s="26">
        <v>969853</v>
      </c>
      <c r="E30" s="78">
        <f>D30/'- 3 -'!D30*100</f>
        <v>8.638979854408452</v>
      </c>
      <c r="F30" s="26">
        <v>0</v>
      </c>
      <c r="G30" s="78">
        <f>F30/'- 3 -'!D30*100</f>
        <v>0</v>
      </c>
    </row>
    <row r="31" spans="1:7" ht="13.5" customHeight="1">
      <c r="A31" s="331" t="s">
        <v>264</v>
      </c>
      <c r="B31" s="332">
        <v>59722</v>
      </c>
      <c r="C31" s="338">
        <f>B31/'- 3 -'!D31*100</f>
        <v>0.21573066707413496</v>
      </c>
      <c r="D31" s="332">
        <v>767682</v>
      </c>
      <c r="E31" s="338">
        <f>D31/'- 3 -'!D31*100</f>
        <v>2.773057666535047</v>
      </c>
      <c r="F31" s="332">
        <v>4348</v>
      </c>
      <c r="G31" s="338">
        <f>F31/'- 3 -'!D31*100</f>
        <v>0.01570605372288836</v>
      </c>
    </row>
    <row r="32" spans="1:7" ht="13.5" customHeight="1">
      <c r="A32" s="25" t="s">
        <v>265</v>
      </c>
      <c r="B32" s="26">
        <v>41448</v>
      </c>
      <c r="C32" s="78">
        <f>B32/'- 3 -'!D32*100</f>
        <v>0.20511501866240836</v>
      </c>
      <c r="D32" s="26">
        <v>1444470</v>
      </c>
      <c r="E32" s="78">
        <f>D32/'- 3 -'!D32*100</f>
        <v>7.148294031250941</v>
      </c>
      <c r="F32" s="26">
        <v>9733</v>
      </c>
      <c r="G32" s="78">
        <f>F32/'- 3 -'!D32*100</f>
        <v>0.048166002621145065</v>
      </c>
    </row>
    <row r="33" spans="1:7" ht="13.5" customHeight="1">
      <c r="A33" s="331" t="s">
        <v>266</v>
      </c>
      <c r="B33" s="332">
        <v>56816</v>
      </c>
      <c r="C33" s="338">
        <f>B33/'- 3 -'!D33*100</f>
        <v>0.24977040123151367</v>
      </c>
      <c r="D33" s="332">
        <v>1853663</v>
      </c>
      <c r="E33" s="338">
        <f>D33/'- 3 -'!D33*100</f>
        <v>8.148939581420926</v>
      </c>
      <c r="F33" s="332">
        <v>0</v>
      </c>
      <c r="G33" s="338">
        <f>F33/'- 3 -'!D33*100</f>
        <v>0</v>
      </c>
    </row>
    <row r="34" spans="1:7" ht="13.5" customHeight="1">
      <c r="A34" s="25" t="s">
        <v>267</v>
      </c>
      <c r="B34" s="26">
        <v>38888</v>
      </c>
      <c r="C34" s="78">
        <f>B34/'- 3 -'!D34*100</f>
        <v>0.20238071075764225</v>
      </c>
      <c r="D34" s="26">
        <v>1708640</v>
      </c>
      <c r="E34" s="78">
        <f>D34/'- 3 -'!D34*100</f>
        <v>8.892094672622347</v>
      </c>
      <c r="F34" s="26">
        <v>0</v>
      </c>
      <c r="G34" s="78">
        <f>F34/'- 3 -'!D34*100</f>
        <v>0</v>
      </c>
    </row>
    <row r="35" spans="1:7" ht="13.5" customHeight="1">
      <c r="A35" s="331" t="s">
        <v>268</v>
      </c>
      <c r="B35" s="332">
        <v>290498</v>
      </c>
      <c r="C35" s="338">
        <f>B35/'- 3 -'!D35*100</f>
        <v>0.20377506314605837</v>
      </c>
      <c r="D35" s="332">
        <v>2350786</v>
      </c>
      <c r="E35" s="338">
        <f>D35/'- 3 -'!D35*100</f>
        <v>1.6490012516191848</v>
      </c>
      <c r="F35" s="332">
        <v>36155</v>
      </c>
      <c r="G35" s="338">
        <f>F35/'- 3 -'!D35*100</f>
        <v>0.025361577043717137</v>
      </c>
    </row>
    <row r="36" spans="1:7" ht="13.5" customHeight="1">
      <c r="A36" s="25" t="s">
        <v>269</v>
      </c>
      <c r="B36" s="26">
        <v>47065</v>
      </c>
      <c r="C36" s="78">
        <f>B36/'- 3 -'!D36*100</f>
        <v>0.26226164434178234</v>
      </c>
      <c r="D36" s="26">
        <v>1181071</v>
      </c>
      <c r="E36" s="78">
        <f>D36/'- 3 -'!D36*100</f>
        <v>6.581315681385173</v>
      </c>
      <c r="F36" s="26">
        <v>6923</v>
      </c>
      <c r="G36" s="78">
        <f>F36/'- 3 -'!D36*100</f>
        <v>0.03857723071875404</v>
      </c>
    </row>
    <row r="37" spans="1:7" ht="13.5" customHeight="1">
      <c r="A37" s="331" t="s">
        <v>270</v>
      </c>
      <c r="B37" s="332">
        <v>131440</v>
      </c>
      <c r="C37" s="338">
        <f>B37/'- 3 -'!D37*100</f>
        <v>0.44036753803756695</v>
      </c>
      <c r="D37" s="332">
        <v>1694643</v>
      </c>
      <c r="E37" s="338">
        <f>D37/'- 3 -'!D37*100</f>
        <v>5.677615381638744</v>
      </c>
      <c r="F37" s="332">
        <v>1725</v>
      </c>
      <c r="G37" s="338">
        <f>F37/'- 3 -'!D37*100</f>
        <v>0.005779321387057235</v>
      </c>
    </row>
    <row r="38" spans="1:7" ht="13.5" customHeight="1">
      <c r="A38" s="25" t="s">
        <v>271</v>
      </c>
      <c r="B38" s="26">
        <v>173057</v>
      </c>
      <c r="C38" s="78">
        <f>B38/'- 3 -'!D38*100</f>
        <v>0.2332475557069473</v>
      </c>
      <c r="D38" s="26">
        <v>1885371</v>
      </c>
      <c r="E38" s="78">
        <f>D38/'- 3 -'!D38*100</f>
        <v>2.5411175355562787</v>
      </c>
      <c r="F38" s="26">
        <v>34917</v>
      </c>
      <c r="G38" s="78">
        <f>F38/'- 3 -'!D38*100</f>
        <v>0.047061401171980786</v>
      </c>
    </row>
    <row r="39" spans="1:7" ht="13.5" customHeight="1">
      <c r="A39" s="331" t="s">
        <v>272</v>
      </c>
      <c r="B39" s="332">
        <v>53489</v>
      </c>
      <c r="C39" s="338">
        <f>B39/'- 3 -'!D39*100</f>
        <v>0.3272455589151518</v>
      </c>
      <c r="D39" s="332">
        <v>1343710</v>
      </c>
      <c r="E39" s="338">
        <f>D39/'- 3 -'!D39*100</f>
        <v>8.220814185531205</v>
      </c>
      <c r="F39" s="332">
        <v>0</v>
      </c>
      <c r="G39" s="338">
        <f>F39/'- 3 -'!D39*100</f>
        <v>0</v>
      </c>
    </row>
    <row r="40" spans="1:7" ht="13.5" customHeight="1">
      <c r="A40" s="25" t="s">
        <v>273</v>
      </c>
      <c r="B40" s="26">
        <v>87965</v>
      </c>
      <c r="C40" s="78">
        <f>B40/'- 3 -'!D40*100</f>
        <v>0.11511706907976856</v>
      </c>
      <c r="D40" s="26">
        <v>1098222</v>
      </c>
      <c r="E40" s="78">
        <f>D40/'- 3 -'!D40*100</f>
        <v>1.4372090926950671</v>
      </c>
      <c r="F40" s="26">
        <v>27500</v>
      </c>
      <c r="G40" s="78">
        <f>F40/'- 3 -'!D40*100</f>
        <v>0.03598839765467669</v>
      </c>
    </row>
    <row r="41" spans="1:7" ht="13.5" customHeight="1">
      <c r="A41" s="331" t="s">
        <v>274</v>
      </c>
      <c r="B41" s="332">
        <v>260436</v>
      </c>
      <c r="C41" s="338">
        <f>B41/'- 3 -'!D41*100</f>
        <v>0.5587387893585272</v>
      </c>
      <c r="D41" s="332">
        <v>3210833</v>
      </c>
      <c r="E41" s="338">
        <f>D41/'- 3 -'!D41*100</f>
        <v>6.8885136588352145</v>
      </c>
      <c r="F41" s="332">
        <v>6720</v>
      </c>
      <c r="G41" s="338">
        <f>F41/'- 3 -'!D41*100</f>
        <v>0.014417072388184824</v>
      </c>
    </row>
    <row r="42" spans="1:7" ht="13.5" customHeight="1">
      <c r="A42" s="25" t="s">
        <v>275</v>
      </c>
      <c r="B42" s="26">
        <v>66446</v>
      </c>
      <c r="C42" s="78">
        <f>B42/'- 3 -'!D42*100</f>
        <v>0.4022899394881971</v>
      </c>
      <c r="D42" s="26">
        <v>1119281</v>
      </c>
      <c r="E42" s="78">
        <f>D42/'- 3 -'!D42*100</f>
        <v>6.776562708971025</v>
      </c>
      <c r="F42" s="26">
        <v>0</v>
      </c>
      <c r="G42" s="78">
        <f>F42/'- 3 -'!D42*100</f>
        <v>0</v>
      </c>
    </row>
    <row r="43" spans="1:7" ht="13.5" customHeight="1">
      <c r="A43" s="331" t="s">
        <v>276</v>
      </c>
      <c r="B43" s="332">
        <v>11311</v>
      </c>
      <c r="C43" s="338">
        <f>B43/'- 3 -'!D43*100</f>
        <v>0.11108519461515232</v>
      </c>
      <c r="D43" s="332">
        <v>750411</v>
      </c>
      <c r="E43" s="338">
        <f>D43/'- 3 -'!D43*100</f>
        <v>7.369777382755818</v>
      </c>
      <c r="F43" s="332">
        <v>0</v>
      </c>
      <c r="G43" s="338">
        <f>F43/'- 3 -'!D43*100</f>
        <v>0</v>
      </c>
    </row>
    <row r="44" spans="1:7" ht="13.5" customHeight="1">
      <c r="A44" s="25" t="s">
        <v>277</v>
      </c>
      <c r="B44" s="26">
        <v>21164</v>
      </c>
      <c r="C44" s="78">
        <f>B44/'- 3 -'!D44*100</f>
        <v>0.2737687520729277</v>
      </c>
      <c r="D44" s="26">
        <v>727159</v>
      </c>
      <c r="E44" s="78">
        <f>D44/'- 3 -'!D44*100</f>
        <v>9.406228122689381</v>
      </c>
      <c r="F44" s="26">
        <v>294</v>
      </c>
      <c r="G44" s="78">
        <f>F44/'- 3 -'!D44*100</f>
        <v>0.003803062422483498</v>
      </c>
    </row>
    <row r="45" spans="1:7" ht="13.5" customHeight="1">
      <c r="A45" s="331" t="s">
        <v>278</v>
      </c>
      <c r="B45" s="332">
        <v>22575</v>
      </c>
      <c r="C45" s="338">
        <f>B45/'- 3 -'!D45*100</f>
        <v>0.1937568225092314</v>
      </c>
      <c r="D45" s="332">
        <v>388723</v>
      </c>
      <c r="E45" s="338">
        <f>D45/'- 3 -'!D45*100</f>
        <v>3.336333701716765</v>
      </c>
      <c r="F45" s="332">
        <v>8603</v>
      </c>
      <c r="G45" s="338">
        <f>F45/'- 3 -'!D45*100</f>
        <v>0.07383787127561098</v>
      </c>
    </row>
    <row r="46" spans="1:7" ht="13.5" customHeight="1">
      <c r="A46" s="25" t="s">
        <v>279</v>
      </c>
      <c r="B46" s="26">
        <v>238931</v>
      </c>
      <c r="C46" s="78">
        <f>B46/'- 3 -'!D46*100</f>
        <v>0.08228576351596212</v>
      </c>
      <c r="D46" s="26">
        <v>3432475</v>
      </c>
      <c r="E46" s="78">
        <f>D46/'- 3 -'!D46*100</f>
        <v>1.1821146110151135</v>
      </c>
      <c r="F46" s="26">
        <v>0</v>
      </c>
      <c r="G46" s="78">
        <f>F46/'- 3 -'!D46*100</f>
        <v>0</v>
      </c>
    </row>
    <row r="47" spans="1:7" ht="4.5" customHeight="1">
      <c r="A47"/>
      <c r="B47" s="28"/>
      <c r="C47"/>
      <c r="D47" s="28"/>
      <c r="E47"/>
      <c r="F47" s="28"/>
      <c r="G47"/>
    </row>
    <row r="48" spans="1:7" ht="13.5" customHeight="1">
      <c r="A48" s="333" t="s">
        <v>280</v>
      </c>
      <c r="B48" s="334">
        <f>SUM(B11:B46)</f>
        <v>3326696</v>
      </c>
      <c r="C48" s="341">
        <f>B48/'- 3 -'!D48*100</f>
        <v>0.20967356479130575</v>
      </c>
      <c r="D48" s="334">
        <f>SUM(D11:D46)</f>
        <v>53870388</v>
      </c>
      <c r="E48" s="341">
        <f>D48/'- 3 -'!D48*100</f>
        <v>3.3953196470764926</v>
      </c>
      <c r="F48" s="334">
        <f>SUM(F11:F46)</f>
        <v>674366</v>
      </c>
      <c r="G48" s="341">
        <f>F48/'- 3 -'!D48*100</f>
        <v>0.04250365022654721</v>
      </c>
    </row>
    <row r="49" spans="1:7" ht="4.5" customHeight="1">
      <c r="A49" s="27" t="s">
        <v>32</v>
      </c>
      <c r="B49" s="28"/>
      <c r="C49"/>
      <c r="D49" s="28"/>
      <c r="E49"/>
      <c r="F49" s="28"/>
      <c r="G49"/>
    </row>
    <row r="50" spans="1:7" ht="13.5" customHeight="1">
      <c r="A50" s="25" t="s">
        <v>281</v>
      </c>
      <c r="B50" s="26">
        <v>0</v>
      </c>
      <c r="C50" s="78">
        <f>B50/'- 3 -'!D50*100</f>
        <v>0</v>
      </c>
      <c r="D50" s="26">
        <v>12250</v>
      </c>
      <c r="E50" s="78">
        <f>D50/'- 3 -'!D50*100</f>
        <v>0.46473302320781873</v>
      </c>
      <c r="F50" s="26">
        <v>0</v>
      </c>
      <c r="G50" s="78">
        <f>F50/'- 3 -'!D50*100</f>
        <v>0</v>
      </c>
    </row>
    <row r="51" spans="1:7" ht="13.5" customHeight="1">
      <c r="A51" s="331" t="s">
        <v>282</v>
      </c>
      <c r="B51" s="332">
        <v>0</v>
      </c>
      <c r="C51" s="338">
        <f>B51/'- 3 -'!D51*100</f>
        <v>0</v>
      </c>
      <c r="D51" s="332">
        <v>0</v>
      </c>
      <c r="E51" s="338">
        <f>D51/'- 3 -'!D51*100</f>
        <v>0</v>
      </c>
      <c r="F51" s="332">
        <v>0</v>
      </c>
      <c r="G51" s="338">
        <f>F51/'- 3 -'!D51*100</f>
        <v>0</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G51"/>
  <sheetViews>
    <sheetView showGridLines="0" showZeros="0" workbookViewId="0" topLeftCell="A1">
      <selection activeCell="A1" sqref="A1"/>
    </sheetView>
  </sheetViews>
  <sheetFormatPr defaultColWidth="15.83203125" defaultRowHeight="12"/>
  <cols>
    <col min="1" max="1" width="33.83203125" style="1" customWidth="1"/>
    <col min="2" max="2" width="19.83203125" style="1" customWidth="1"/>
    <col min="3" max="3" width="15.83203125" style="1" customWidth="1"/>
    <col min="4" max="4" width="19.83203125" style="1" customWidth="1"/>
    <col min="5" max="5" width="15.83203125" style="1" customWidth="1"/>
    <col min="6" max="6" width="11.83203125" style="1" customWidth="1"/>
    <col min="7" max="16384" width="15.83203125" style="1" customWidth="1"/>
  </cols>
  <sheetData>
    <row r="1" spans="1:7" ht="6.75" customHeight="1">
      <c r="A1" s="5"/>
      <c r="B1" s="6"/>
      <c r="C1" s="6"/>
      <c r="D1" s="6"/>
      <c r="E1" s="6"/>
      <c r="F1" s="6"/>
      <c r="G1" s="6"/>
    </row>
    <row r="2" spans="1:7" ht="15.75" customHeight="1">
      <c r="A2" s="154"/>
      <c r="B2" s="7" t="s">
        <v>528</v>
      </c>
      <c r="C2" s="8"/>
      <c r="D2" s="8"/>
      <c r="E2" s="8"/>
      <c r="F2" s="81"/>
      <c r="G2" s="496" t="s">
        <v>481</v>
      </c>
    </row>
    <row r="3" spans="1:7" ht="15.75" customHeight="1">
      <c r="A3" s="156"/>
      <c r="B3" s="9" t="str">
        <f>OPYEAR</f>
        <v>OPERATING FUND 2006/2007 ACTUAL</v>
      </c>
      <c r="C3" s="10"/>
      <c r="D3" s="10"/>
      <c r="E3" s="10"/>
      <c r="F3" s="83"/>
      <c r="G3" s="73"/>
    </row>
    <row r="4" spans="2:7" ht="15.75" customHeight="1">
      <c r="B4" s="6"/>
      <c r="C4" s="6"/>
      <c r="D4" s="6"/>
      <c r="E4" s="6"/>
      <c r="F4" s="6"/>
      <c r="G4" s="6"/>
    </row>
    <row r="5" spans="2:7" ht="15.75" customHeight="1">
      <c r="B5" s="6"/>
      <c r="C5" s="6"/>
      <c r="D5" s="6"/>
      <c r="E5" s="6"/>
      <c r="F5" s="6"/>
      <c r="G5" s="6"/>
    </row>
    <row r="6" spans="2:7" ht="15.75" customHeight="1">
      <c r="B6" s="186" t="s">
        <v>48</v>
      </c>
      <c r="C6" s="194"/>
      <c r="D6" s="195"/>
      <c r="E6" s="196"/>
      <c r="F6" s="6"/>
      <c r="G6" s="49"/>
    </row>
    <row r="7" spans="2:7" ht="15.75" customHeight="1">
      <c r="B7" s="359" t="s">
        <v>76</v>
      </c>
      <c r="C7" s="360"/>
      <c r="D7" s="359" t="s">
        <v>285</v>
      </c>
      <c r="E7" s="360"/>
      <c r="F7" s="77"/>
      <c r="G7" s="6"/>
    </row>
    <row r="8" spans="1:7" ht="15.75" customHeight="1">
      <c r="A8" s="74"/>
      <c r="B8" s="346" t="s">
        <v>94</v>
      </c>
      <c r="C8" s="347"/>
      <c r="D8" s="345" t="s">
        <v>229</v>
      </c>
      <c r="E8" s="347"/>
      <c r="F8" s="6"/>
      <c r="G8" s="6"/>
    </row>
    <row r="9" spans="1:5" ht="15.75" customHeight="1">
      <c r="A9" s="41" t="s">
        <v>108</v>
      </c>
      <c r="B9" s="190" t="s">
        <v>109</v>
      </c>
      <c r="C9" s="190" t="s">
        <v>110</v>
      </c>
      <c r="D9" s="190" t="s">
        <v>109</v>
      </c>
      <c r="E9" s="190" t="s">
        <v>110</v>
      </c>
    </row>
    <row r="10" ht="4.5" customHeight="1">
      <c r="A10" s="4"/>
    </row>
    <row r="11" spans="1:5" ht="13.5" customHeight="1">
      <c r="A11" s="331" t="s">
        <v>245</v>
      </c>
      <c r="B11" s="332">
        <v>0</v>
      </c>
      <c r="C11" s="338">
        <f>B11/'- 3 -'!D11*100</f>
        <v>0</v>
      </c>
      <c r="D11" s="332">
        <v>93182</v>
      </c>
      <c r="E11" s="338">
        <f>D11/'- 3 -'!D11*100</f>
        <v>0.7718549189547282</v>
      </c>
    </row>
    <row r="12" spans="1:5" ht="13.5" customHeight="1">
      <c r="A12" s="25" t="s">
        <v>246</v>
      </c>
      <c r="B12" s="26">
        <v>0</v>
      </c>
      <c r="C12" s="78">
        <f>B12/'- 3 -'!D12*100</f>
        <v>0</v>
      </c>
      <c r="D12" s="26">
        <v>142375</v>
      </c>
      <c r="E12" s="78">
        <f>D12/'- 3 -'!D12*100</f>
        <v>0.6472452816212204</v>
      </c>
    </row>
    <row r="13" spans="1:5" ht="13.5" customHeight="1">
      <c r="A13" s="331" t="s">
        <v>247</v>
      </c>
      <c r="B13" s="332">
        <v>4800</v>
      </c>
      <c r="C13" s="338">
        <f>B13/'- 3 -'!D13*100</f>
        <v>0.008939681510436668</v>
      </c>
      <c r="D13" s="332">
        <v>32139</v>
      </c>
      <c r="E13" s="338">
        <f>D13/'- 3 -'!D13*100</f>
        <v>0.05985675501331752</v>
      </c>
    </row>
    <row r="14" spans="1:5" ht="13.5" customHeight="1">
      <c r="A14" s="25" t="s">
        <v>283</v>
      </c>
      <c r="B14" s="26">
        <v>16320</v>
      </c>
      <c r="C14" s="78">
        <f>B14/'- 3 -'!D14*100</f>
        <v>0.033223994768035135</v>
      </c>
      <c r="D14" s="26">
        <v>148873</v>
      </c>
      <c r="E14" s="78">
        <f>D14/'- 3 -'!D14*100</f>
        <v>0.3030732704106431</v>
      </c>
    </row>
    <row r="15" spans="1:5" ht="13.5" customHeight="1">
      <c r="A15" s="331" t="s">
        <v>248</v>
      </c>
      <c r="B15" s="332">
        <v>0</v>
      </c>
      <c r="C15" s="338">
        <f>B15/'- 3 -'!D15*100</f>
        <v>0</v>
      </c>
      <c r="D15" s="332">
        <v>35612</v>
      </c>
      <c r="E15" s="338">
        <f>D15/'- 3 -'!D15*100</f>
        <v>0.251828233231752</v>
      </c>
    </row>
    <row r="16" spans="1:5" ht="13.5" customHeight="1">
      <c r="A16" s="25" t="s">
        <v>249</v>
      </c>
      <c r="B16" s="26">
        <v>0</v>
      </c>
      <c r="C16" s="78">
        <f>B16/'- 3 -'!D16*100</f>
        <v>0</v>
      </c>
      <c r="D16" s="26">
        <v>39523</v>
      </c>
      <c r="E16" s="78">
        <f>D16/'- 3 -'!D16*100</f>
        <v>0.35550470386212657</v>
      </c>
    </row>
    <row r="17" spans="1:5" ht="13.5" customHeight="1">
      <c r="A17" s="331" t="s">
        <v>250</v>
      </c>
      <c r="B17" s="332">
        <v>0</v>
      </c>
      <c r="C17" s="338">
        <f>B17/'- 3 -'!D17*100</f>
        <v>0</v>
      </c>
      <c r="D17" s="332">
        <v>30105</v>
      </c>
      <c r="E17" s="338">
        <f>D17/'- 3 -'!D17*100</f>
        <v>0.22541394963800865</v>
      </c>
    </row>
    <row r="18" spans="1:5" ht="13.5" customHeight="1">
      <c r="A18" s="25" t="s">
        <v>251</v>
      </c>
      <c r="B18" s="26">
        <v>1853392</v>
      </c>
      <c r="C18" s="78">
        <f>B18/'- 3 -'!D18*100</f>
        <v>2.13061971481255</v>
      </c>
      <c r="D18" s="26">
        <v>534247</v>
      </c>
      <c r="E18" s="78">
        <f>D18/'- 3 -'!D18*100</f>
        <v>0.6141588993474992</v>
      </c>
    </row>
    <row r="19" spans="1:5" ht="13.5" customHeight="1">
      <c r="A19" s="331" t="s">
        <v>252</v>
      </c>
      <c r="B19" s="332">
        <v>0</v>
      </c>
      <c r="C19" s="338">
        <f>B19/'- 3 -'!D19*100</f>
        <v>0</v>
      </c>
      <c r="D19" s="332">
        <v>85432</v>
      </c>
      <c r="E19" s="338">
        <f>D19/'- 3 -'!D19*100</f>
        <v>0.3449935572154362</v>
      </c>
    </row>
    <row r="20" spans="1:5" ht="13.5" customHeight="1">
      <c r="A20" s="25" t="s">
        <v>253</v>
      </c>
      <c r="B20" s="26">
        <v>0</v>
      </c>
      <c r="C20" s="78">
        <f>B20/'- 3 -'!D20*100</f>
        <v>0</v>
      </c>
      <c r="D20" s="26">
        <v>248645</v>
      </c>
      <c r="E20" s="78">
        <f>D20/'- 3 -'!D20*100</f>
        <v>0.5390134344836102</v>
      </c>
    </row>
    <row r="21" spans="1:5" ht="13.5" customHeight="1">
      <c r="A21" s="331" t="s">
        <v>254</v>
      </c>
      <c r="B21" s="332">
        <v>0</v>
      </c>
      <c r="C21" s="338">
        <f>B21/'- 3 -'!D21*100</f>
        <v>0</v>
      </c>
      <c r="D21" s="332">
        <v>82156</v>
      </c>
      <c r="E21" s="338">
        <f>D21/'- 3 -'!D21*100</f>
        <v>0.3104827417837679</v>
      </c>
    </row>
    <row r="22" spans="1:5" ht="13.5" customHeight="1">
      <c r="A22" s="25" t="s">
        <v>255</v>
      </c>
      <c r="B22" s="26">
        <v>0</v>
      </c>
      <c r="C22" s="78">
        <f>B22/'- 3 -'!D22*100</f>
        <v>0</v>
      </c>
      <c r="D22" s="26">
        <v>42504</v>
      </c>
      <c r="E22" s="78">
        <f>D22/'- 3 -'!D22*100</f>
        <v>0.28369057517089413</v>
      </c>
    </row>
    <row r="23" spans="1:5" ht="13.5" customHeight="1">
      <c r="A23" s="331" t="s">
        <v>256</v>
      </c>
      <c r="B23" s="332">
        <v>0</v>
      </c>
      <c r="C23" s="338">
        <f>B23/'- 3 -'!D23*100</f>
        <v>0</v>
      </c>
      <c r="D23" s="332">
        <v>0</v>
      </c>
      <c r="E23" s="338">
        <f>D23/'- 3 -'!D23*100</f>
        <v>0</v>
      </c>
    </row>
    <row r="24" spans="1:5" ht="13.5" customHeight="1">
      <c r="A24" s="25" t="s">
        <v>257</v>
      </c>
      <c r="B24" s="26">
        <v>0</v>
      </c>
      <c r="C24" s="78">
        <f>B24/'- 3 -'!D24*100</f>
        <v>0</v>
      </c>
      <c r="D24" s="26">
        <v>85724</v>
      </c>
      <c r="E24" s="78">
        <f>D24/'- 3 -'!D24*100</f>
        <v>0.21442424523786274</v>
      </c>
    </row>
    <row r="25" spans="1:5" ht="13.5" customHeight="1">
      <c r="A25" s="331" t="s">
        <v>258</v>
      </c>
      <c r="B25" s="332">
        <v>0</v>
      </c>
      <c r="C25" s="338">
        <f>B25/'- 3 -'!D25*100</f>
        <v>0</v>
      </c>
      <c r="D25" s="332">
        <v>150116</v>
      </c>
      <c r="E25" s="338">
        <f>D25/'- 3 -'!D25*100</f>
        <v>0.1205330077581421</v>
      </c>
    </row>
    <row r="26" spans="1:5" ht="13.5" customHeight="1">
      <c r="A26" s="25" t="s">
        <v>259</v>
      </c>
      <c r="B26" s="26">
        <v>0</v>
      </c>
      <c r="C26" s="78">
        <f>B26/'- 3 -'!D26*100</f>
        <v>0</v>
      </c>
      <c r="D26" s="26">
        <v>179525</v>
      </c>
      <c r="E26" s="78">
        <f>D26/'- 3 -'!D26*100</f>
        <v>0.5946274823192516</v>
      </c>
    </row>
    <row r="27" spans="1:5" ht="13.5" customHeight="1">
      <c r="A27" s="331" t="s">
        <v>260</v>
      </c>
      <c r="B27" s="332">
        <v>0</v>
      </c>
      <c r="C27" s="338">
        <f>B27/'- 3 -'!D27*100</f>
        <v>0</v>
      </c>
      <c r="D27" s="332">
        <v>53928</v>
      </c>
      <c r="E27" s="338">
        <f>D27/'- 3 -'!D27*100</f>
        <v>0.17018018309706348</v>
      </c>
    </row>
    <row r="28" spans="1:5" ht="13.5" customHeight="1">
      <c r="A28" s="25" t="s">
        <v>261</v>
      </c>
      <c r="B28" s="26">
        <v>4800</v>
      </c>
      <c r="C28" s="78">
        <f>B28/'- 3 -'!D28*100</f>
        <v>0.027516570994988887</v>
      </c>
      <c r="D28" s="26">
        <v>66843</v>
      </c>
      <c r="E28" s="78">
        <f>D28/'- 3 -'!D28*100</f>
        <v>0.38318544896209217</v>
      </c>
    </row>
    <row r="29" spans="1:5" ht="13.5" customHeight="1">
      <c r="A29" s="331" t="s">
        <v>262</v>
      </c>
      <c r="B29" s="332">
        <v>0</v>
      </c>
      <c r="C29" s="338">
        <f>B29/'- 3 -'!D29*100</f>
        <v>0</v>
      </c>
      <c r="D29" s="332">
        <v>240450</v>
      </c>
      <c r="E29" s="338">
        <f>D29/'- 3 -'!D29*100</f>
        <v>0.21097645430821202</v>
      </c>
    </row>
    <row r="30" spans="1:5" ht="13.5" customHeight="1">
      <c r="A30" s="25" t="s">
        <v>263</v>
      </c>
      <c r="B30" s="26">
        <v>0</v>
      </c>
      <c r="C30" s="78">
        <f>B30/'- 3 -'!D30*100</f>
        <v>0</v>
      </c>
      <c r="D30" s="26">
        <v>24149</v>
      </c>
      <c r="E30" s="78">
        <f>D30/'- 3 -'!D30*100</f>
        <v>0.2151075724920269</v>
      </c>
    </row>
    <row r="31" spans="1:5" ht="13.5" customHeight="1">
      <c r="A31" s="331" t="s">
        <v>264</v>
      </c>
      <c r="B31" s="332">
        <v>0</v>
      </c>
      <c r="C31" s="338">
        <f>B31/'- 3 -'!D31*100</f>
        <v>0</v>
      </c>
      <c r="D31" s="332">
        <v>32713</v>
      </c>
      <c r="E31" s="338">
        <f>D31/'- 3 -'!D31*100</f>
        <v>0.11816746445189674</v>
      </c>
    </row>
    <row r="32" spans="1:5" ht="13.5" customHeight="1">
      <c r="A32" s="25" t="s">
        <v>265</v>
      </c>
      <c r="B32" s="26">
        <v>0</v>
      </c>
      <c r="C32" s="78">
        <f>B32/'- 3 -'!D32*100</f>
        <v>0</v>
      </c>
      <c r="D32" s="26">
        <v>70953</v>
      </c>
      <c r="E32" s="78">
        <f>D32/'- 3 -'!D32*100</f>
        <v>0.3511273383312551</v>
      </c>
    </row>
    <row r="33" spans="1:5" ht="13.5" customHeight="1">
      <c r="A33" s="331" t="s">
        <v>266</v>
      </c>
      <c r="B33" s="332">
        <v>0</v>
      </c>
      <c r="C33" s="338">
        <f>B33/'- 3 -'!D33*100</f>
        <v>0</v>
      </c>
      <c r="D33" s="332">
        <v>59526</v>
      </c>
      <c r="E33" s="338">
        <f>D33/'- 3 -'!D33*100</f>
        <v>0.26168390776730294</v>
      </c>
    </row>
    <row r="34" spans="1:5" ht="13.5" customHeight="1">
      <c r="A34" s="25" t="s">
        <v>267</v>
      </c>
      <c r="B34" s="26">
        <v>0</v>
      </c>
      <c r="C34" s="78">
        <f>B34/'- 3 -'!D34*100</f>
        <v>0</v>
      </c>
      <c r="D34" s="26">
        <v>112360</v>
      </c>
      <c r="E34" s="78">
        <f>D34/'- 3 -'!D34*100</f>
        <v>0.584743279693702</v>
      </c>
    </row>
    <row r="35" spans="1:5" ht="13.5" customHeight="1">
      <c r="A35" s="331" t="s">
        <v>268</v>
      </c>
      <c r="B35" s="332">
        <v>0</v>
      </c>
      <c r="C35" s="338">
        <f>B35/'- 3 -'!D35*100</f>
        <v>0</v>
      </c>
      <c r="D35" s="332">
        <v>22818</v>
      </c>
      <c r="E35" s="338">
        <f>D35/'- 3 -'!D35*100</f>
        <v>0.01600609777301999</v>
      </c>
    </row>
    <row r="36" spans="1:5" ht="13.5" customHeight="1">
      <c r="A36" s="25" t="s">
        <v>269</v>
      </c>
      <c r="B36" s="26">
        <v>0</v>
      </c>
      <c r="C36" s="78">
        <f>B36/'- 3 -'!D36*100</f>
        <v>0</v>
      </c>
      <c r="D36" s="26">
        <v>56001</v>
      </c>
      <c r="E36" s="78">
        <f>D36/'- 3 -'!D36*100</f>
        <v>0.3120559724802752</v>
      </c>
    </row>
    <row r="37" spans="1:5" ht="13.5" customHeight="1">
      <c r="A37" s="331" t="s">
        <v>270</v>
      </c>
      <c r="B37" s="332">
        <v>0</v>
      </c>
      <c r="C37" s="338">
        <f>B37/'- 3 -'!D37*100</f>
        <v>0</v>
      </c>
      <c r="D37" s="332">
        <v>44536</v>
      </c>
      <c r="E37" s="338">
        <f>D37/'- 3 -'!D37*100</f>
        <v>0.14921035205448174</v>
      </c>
    </row>
    <row r="38" spans="1:5" ht="13.5" customHeight="1">
      <c r="A38" s="25" t="s">
        <v>271</v>
      </c>
      <c r="B38" s="26">
        <v>0</v>
      </c>
      <c r="C38" s="78">
        <f>B38/'- 3 -'!D38*100</f>
        <v>0</v>
      </c>
      <c r="D38" s="26">
        <v>189005</v>
      </c>
      <c r="E38" s="78">
        <f>D38/'- 3 -'!D38*100</f>
        <v>0.25474239277458627</v>
      </c>
    </row>
    <row r="39" spans="1:5" ht="13.5" customHeight="1">
      <c r="A39" s="331" t="s">
        <v>272</v>
      </c>
      <c r="B39" s="332">
        <v>0</v>
      </c>
      <c r="C39" s="338">
        <f>B39/'- 3 -'!D39*100</f>
        <v>0</v>
      </c>
      <c r="D39" s="332">
        <v>39181</v>
      </c>
      <c r="E39" s="338">
        <f>D39/'- 3 -'!D39*100</f>
        <v>0.23970925318952613</v>
      </c>
    </row>
    <row r="40" spans="1:5" ht="13.5" customHeight="1">
      <c r="A40" s="25" t="s">
        <v>273</v>
      </c>
      <c r="B40" s="26">
        <v>0</v>
      </c>
      <c r="C40" s="78">
        <f>B40/'- 3 -'!D40*100</f>
        <v>0</v>
      </c>
      <c r="D40" s="26">
        <v>32204</v>
      </c>
      <c r="E40" s="78">
        <f>D40/'- 3 -'!D40*100</f>
        <v>0.042144376657134844</v>
      </c>
    </row>
    <row r="41" spans="1:5" ht="13.5" customHeight="1">
      <c r="A41" s="331" t="s">
        <v>274</v>
      </c>
      <c r="B41" s="332">
        <v>0</v>
      </c>
      <c r="C41" s="338">
        <f>B41/'- 3 -'!D41*100</f>
        <v>0</v>
      </c>
      <c r="D41" s="332">
        <v>94767</v>
      </c>
      <c r="E41" s="338">
        <f>D41/'- 3 -'!D41*100</f>
        <v>0.2033129016385582</v>
      </c>
    </row>
    <row r="42" spans="1:5" ht="13.5" customHeight="1">
      <c r="A42" s="25" t="s">
        <v>275</v>
      </c>
      <c r="B42" s="26">
        <v>0</v>
      </c>
      <c r="C42" s="78">
        <f>B42/'- 3 -'!D42*100</f>
        <v>0</v>
      </c>
      <c r="D42" s="26">
        <v>41908</v>
      </c>
      <c r="E42" s="78">
        <f>D42/'- 3 -'!D42*100</f>
        <v>0.2537273392540012</v>
      </c>
    </row>
    <row r="43" spans="1:5" ht="13.5" customHeight="1">
      <c r="A43" s="331" t="s">
        <v>276</v>
      </c>
      <c r="B43" s="332">
        <v>0</v>
      </c>
      <c r="C43" s="338">
        <f>B43/'- 3 -'!D43*100</f>
        <v>0</v>
      </c>
      <c r="D43" s="332">
        <v>9970</v>
      </c>
      <c r="E43" s="338">
        <f>D43/'- 3 -'!D43*100</f>
        <v>0.09791524978455207</v>
      </c>
    </row>
    <row r="44" spans="1:5" ht="13.5" customHeight="1">
      <c r="A44" s="25" t="s">
        <v>277</v>
      </c>
      <c r="B44" s="26">
        <v>0</v>
      </c>
      <c r="C44" s="78">
        <f>B44/'- 3 -'!D44*100</f>
        <v>0</v>
      </c>
      <c r="D44" s="26">
        <v>35985</v>
      </c>
      <c r="E44" s="78">
        <f>D44/'- 3 -'!D44*100</f>
        <v>0.4654870791600975</v>
      </c>
    </row>
    <row r="45" spans="1:5" ht="13.5" customHeight="1">
      <c r="A45" s="331" t="s">
        <v>278</v>
      </c>
      <c r="B45" s="332">
        <v>0</v>
      </c>
      <c r="C45" s="338">
        <f>B45/'- 3 -'!D45*100</f>
        <v>0</v>
      </c>
      <c r="D45" s="332">
        <v>43428</v>
      </c>
      <c r="E45" s="338">
        <f>D45/'- 3 -'!D45*100</f>
        <v>0.3727340548363633</v>
      </c>
    </row>
    <row r="46" spans="1:5" ht="13.5" customHeight="1">
      <c r="A46" s="25" t="s">
        <v>279</v>
      </c>
      <c r="B46" s="26">
        <v>0</v>
      </c>
      <c r="C46" s="78">
        <f>B46/'- 3 -'!D46*100</f>
        <v>0</v>
      </c>
      <c r="D46" s="26">
        <v>372744</v>
      </c>
      <c r="E46" s="78">
        <f>D46/'- 3 -'!D46*100</f>
        <v>0.12836979979991622</v>
      </c>
    </row>
    <row r="47" spans="1:5" ht="4.5" customHeight="1">
      <c r="A47"/>
      <c r="B47" s="28"/>
      <c r="C47"/>
      <c r="D47" s="28"/>
      <c r="E47"/>
    </row>
    <row r="48" spans="1:6" ht="13.5" customHeight="1">
      <c r="A48" s="333" t="s">
        <v>280</v>
      </c>
      <c r="B48" s="334">
        <f>SUM(B11:B46)</f>
        <v>1879312</v>
      </c>
      <c r="C48" s="341">
        <f>B48/'- 3 -'!D48*100</f>
        <v>0.11844846850901868</v>
      </c>
      <c r="D48" s="334">
        <f>SUM(D11:D46)</f>
        <v>3573627</v>
      </c>
      <c r="E48" s="341">
        <f>D48/'- 3 -'!D48*100</f>
        <v>0.2252370256628377</v>
      </c>
      <c r="F48" s="4"/>
    </row>
    <row r="49" spans="1:5" ht="4.5" customHeight="1">
      <c r="A49" s="27" t="s">
        <v>32</v>
      </c>
      <c r="B49" s="28"/>
      <c r="C49"/>
      <c r="D49" s="28"/>
      <c r="E49"/>
    </row>
    <row r="50" spans="1:5" ht="13.5" customHeight="1">
      <c r="A50" s="25" t="s">
        <v>281</v>
      </c>
      <c r="B50" s="26">
        <v>0</v>
      </c>
      <c r="C50" s="78">
        <f>B50/'- 3 -'!D50*100</f>
        <v>0</v>
      </c>
      <c r="D50" s="26">
        <v>14597</v>
      </c>
      <c r="E50" s="78">
        <f>D50/'- 3 -'!D50*100</f>
        <v>0.5537720767154719</v>
      </c>
    </row>
    <row r="51" spans="1:5" ht="13.5" customHeight="1">
      <c r="A51" s="331" t="s">
        <v>282</v>
      </c>
      <c r="B51" s="332">
        <v>0</v>
      </c>
      <c r="C51" s="338">
        <f>B51/'- 3 -'!D51*100</f>
        <v>0</v>
      </c>
      <c r="D51" s="332">
        <v>0</v>
      </c>
      <c r="E51" s="338">
        <f>D51/'- 3 -'!D51*100</f>
        <v>0</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1"/>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3" width="14.83203125" style="1" customWidth="1"/>
    <col min="4" max="4" width="18.83203125" style="1" customWidth="1"/>
    <col min="5" max="5" width="14.83203125" style="1" customWidth="1"/>
    <col min="6" max="6" width="17.83203125" style="1" customWidth="1"/>
    <col min="7" max="7" width="14.83203125" style="1" customWidth="1"/>
    <col min="8" max="16384" width="15.83203125" style="1" customWidth="1"/>
  </cols>
  <sheetData>
    <row r="1" spans="1:7" ht="6.75" customHeight="1">
      <c r="A1" s="5"/>
      <c r="B1" s="6"/>
      <c r="C1" s="6"/>
      <c r="D1" s="6"/>
      <c r="E1" s="6"/>
      <c r="F1" s="6"/>
      <c r="G1" s="6"/>
    </row>
    <row r="2" spans="1:7" ht="15.75" customHeight="1">
      <c r="A2" s="154"/>
      <c r="B2" s="7" t="s">
        <v>528</v>
      </c>
      <c r="C2" s="8"/>
      <c r="D2" s="179"/>
      <c r="E2" s="8"/>
      <c r="F2" s="81"/>
      <c r="G2" s="496" t="s">
        <v>480</v>
      </c>
    </row>
    <row r="3" spans="1:7" ht="15.75" customHeight="1">
      <c r="A3" s="156"/>
      <c r="B3" s="9" t="str">
        <f>OPYEAR</f>
        <v>OPERATING FUND 2006/2007 ACTUAL</v>
      </c>
      <c r="C3" s="10"/>
      <c r="D3" s="180"/>
      <c r="E3" s="10"/>
      <c r="F3" s="83"/>
      <c r="G3" s="83"/>
    </row>
    <row r="4" spans="2:7" ht="15.75" customHeight="1">
      <c r="B4" s="6"/>
      <c r="C4" s="6"/>
      <c r="D4" s="6"/>
      <c r="E4" s="6"/>
      <c r="F4" s="6"/>
      <c r="G4" s="6"/>
    </row>
    <row r="5" spans="2:7" ht="15.75" customHeight="1">
      <c r="B5" s="6"/>
      <c r="C5" s="6"/>
      <c r="D5" s="6"/>
      <c r="E5" s="6"/>
      <c r="F5" s="6"/>
      <c r="G5" s="6"/>
    </row>
    <row r="6" spans="2:7" ht="15.75" customHeight="1">
      <c r="B6" s="175" t="s">
        <v>49</v>
      </c>
      <c r="C6" s="187"/>
      <c r="D6" s="188"/>
      <c r="E6" s="188"/>
      <c r="F6" s="188"/>
      <c r="G6" s="189"/>
    </row>
    <row r="7" spans="2:7" ht="15.75" customHeight="1">
      <c r="B7" s="368"/>
      <c r="C7" s="360"/>
      <c r="D7" s="362" t="s">
        <v>77</v>
      </c>
      <c r="E7" s="362"/>
      <c r="F7" s="362"/>
      <c r="G7" s="360"/>
    </row>
    <row r="8" spans="1:7" ht="15.75" customHeight="1">
      <c r="A8" s="74"/>
      <c r="B8" s="346" t="s">
        <v>59</v>
      </c>
      <c r="C8" s="347"/>
      <c r="D8" s="345" t="s">
        <v>81</v>
      </c>
      <c r="E8" s="347"/>
      <c r="F8" s="345" t="s">
        <v>242</v>
      </c>
      <c r="G8" s="347"/>
    </row>
    <row r="9" spans="1:7" ht="15.75" customHeight="1">
      <c r="A9" s="41" t="s">
        <v>108</v>
      </c>
      <c r="B9" s="190" t="s">
        <v>109</v>
      </c>
      <c r="C9" s="190" t="s">
        <v>110</v>
      </c>
      <c r="D9" s="190" t="s">
        <v>109</v>
      </c>
      <c r="E9" s="190" t="s">
        <v>110</v>
      </c>
      <c r="F9" s="190" t="s">
        <v>109</v>
      </c>
      <c r="G9" s="190" t="s">
        <v>110</v>
      </c>
    </row>
    <row r="10" ht="4.5" customHeight="1">
      <c r="A10" s="4"/>
    </row>
    <row r="11" spans="1:7" ht="13.5" customHeight="1">
      <c r="A11" s="331" t="s">
        <v>245</v>
      </c>
      <c r="B11" s="332">
        <v>51048</v>
      </c>
      <c r="C11" s="338">
        <f>B11/'- 3 -'!D11*100</f>
        <v>0.42284614950098703</v>
      </c>
      <c r="D11" s="332">
        <v>1067325</v>
      </c>
      <c r="E11" s="338">
        <f>D11/'- 3 -'!D11*100</f>
        <v>8.840978422585428</v>
      </c>
      <c r="F11" s="332">
        <v>155938</v>
      </c>
      <c r="G11" s="338">
        <f>F11/'- 3 -'!D11*100</f>
        <v>1.291682002446421</v>
      </c>
    </row>
    <row r="12" spans="1:7" ht="13.5" customHeight="1">
      <c r="A12" s="25" t="s">
        <v>246</v>
      </c>
      <c r="B12" s="26">
        <v>58663</v>
      </c>
      <c r="C12" s="78">
        <f>B12/'- 3 -'!D12*100</f>
        <v>0.266685513297599</v>
      </c>
      <c r="D12" s="26">
        <v>1887046</v>
      </c>
      <c r="E12" s="78">
        <f>D12/'- 3 -'!D12*100</f>
        <v>8.578624194572063</v>
      </c>
      <c r="F12" s="26">
        <v>249268</v>
      </c>
      <c r="G12" s="78">
        <f>F12/'- 3 -'!D12*100</f>
        <v>1.133187265033597</v>
      </c>
    </row>
    <row r="13" spans="1:7" ht="13.5" customHeight="1">
      <c r="A13" s="331" t="s">
        <v>247</v>
      </c>
      <c r="B13" s="332">
        <v>189033</v>
      </c>
      <c r="C13" s="338">
        <f>B13/'- 3 -'!D13*100</f>
        <v>0.35206141978382804</v>
      </c>
      <c r="D13" s="332">
        <v>4691244</v>
      </c>
      <c r="E13" s="338">
        <f>D13/'- 3 -'!D13*100</f>
        <v>8.73713067661395</v>
      </c>
      <c r="F13" s="332">
        <v>373110</v>
      </c>
      <c r="G13" s="338">
        <f>F13/'- 3 -'!D13*100</f>
        <v>0.6948926184081302</v>
      </c>
    </row>
    <row r="14" spans="1:7" ht="13.5" customHeight="1">
      <c r="A14" s="25" t="s">
        <v>283</v>
      </c>
      <c r="B14" s="26">
        <v>157063</v>
      </c>
      <c r="C14" s="78">
        <f>B14/'- 3 -'!D14*100</f>
        <v>0.31974634131445484</v>
      </c>
      <c r="D14" s="26">
        <v>4685125</v>
      </c>
      <c r="E14" s="78">
        <f>D14/'- 3 -'!D14*100</f>
        <v>9.53790248085727</v>
      </c>
      <c r="F14" s="26">
        <v>341599</v>
      </c>
      <c r="G14" s="78">
        <f>F14/'- 3 -'!D14*100</f>
        <v>0.6954217762724286</v>
      </c>
    </row>
    <row r="15" spans="1:7" ht="13.5" customHeight="1">
      <c r="A15" s="331" t="s">
        <v>248</v>
      </c>
      <c r="B15" s="332">
        <v>55734</v>
      </c>
      <c r="C15" s="338">
        <f>B15/'- 3 -'!D15*100</f>
        <v>0.3941198121683272</v>
      </c>
      <c r="D15" s="332">
        <v>1405657</v>
      </c>
      <c r="E15" s="338">
        <f>D15/'- 3 -'!D15*100</f>
        <v>9.940023554977111</v>
      </c>
      <c r="F15" s="332">
        <v>167749</v>
      </c>
      <c r="G15" s="338">
        <f>F15/'- 3 -'!D15*100</f>
        <v>1.1862275159045597</v>
      </c>
    </row>
    <row r="16" spans="1:7" ht="13.5" customHeight="1">
      <c r="A16" s="25" t="s">
        <v>249</v>
      </c>
      <c r="B16" s="26">
        <v>62089</v>
      </c>
      <c r="C16" s="78">
        <f>B16/'- 3 -'!D16*100</f>
        <v>0.5584832011258147</v>
      </c>
      <c r="D16" s="26">
        <v>1456640</v>
      </c>
      <c r="E16" s="78">
        <f>D16/'- 3 -'!D16*100</f>
        <v>13.102304274314399</v>
      </c>
      <c r="F16" s="26">
        <v>89775</v>
      </c>
      <c r="G16" s="78">
        <f>F16/'- 3 -'!D16*100</f>
        <v>0.8075154919723302</v>
      </c>
    </row>
    <row r="17" spans="1:7" ht="13.5" customHeight="1">
      <c r="A17" s="331" t="s">
        <v>250</v>
      </c>
      <c r="B17" s="332">
        <v>61976</v>
      </c>
      <c r="C17" s="338">
        <f>B17/'- 3 -'!D17*100</f>
        <v>0.46405098630676705</v>
      </c>
      <c r="D17" s="332">
        <v>1248246</v>
      </c>
      <c r="E17" s="338">
        <f>D17/'- 3 -'!D17*100</f>
        <v>9.346356451747075</v>
      </c>
      <c r="F17" s="332">
        <v>279295</v>
      </c>
      <c r="G17" s="338">
        <f>F17/'- 3 -'!D17*100</f>
        <v>2.0912469378557588</v>
      </c>
    </row>
    <row r="18" spans="1:7" ht="13.5" customHeight="1">
      <c r="A18" s="25" t="s">
        <v>251</v>
      </c>
      <c r="B18" s="26">
        <v>209770</v>
      </c>
      <c r="C18" s="78">
        <f>B18/'- 3 -'!D18*100</f>
        <v>0.24114709547479893</v>
      </c>
      <c r="D18" s="26">
        <v>11930038</v>
      </c>
      <c r="E18" s="78">
        <f>D18/'- 3 -'!D18*100</f>
        <v>13.714515958449633</v>
      </c>
      <c r="F18" s="26">
        <v>688113</v>
      </c>
      <c r="G18" s="78">
        <f>F18/'- 3 -'!D18*100</f>
        <v>0.7910399547525877</v>
      </c>
    </row>
    <row r="19" spans="1:7" ht="13.5" customHeight="1">
      <c r="A19" s="331" t="s">
        <v>252</v>
      </c>
      <c r="B19" s="332">
        <v>90449</v>
      </c>
      <c r="C19" s="338">
        <f>B19/'- 3 -'!D19*100</f>
        <v>0.36525332728461213</v>
      </c>
      <c r="D19" s="332">
        <v>2026059</v>
      </c>
      <c r="E19" s="338">
        <f>D19/'- 3 -'!D19*100</f>
        <v>8.181680184688984</v>
      </c>
      <c r="F19" s="332">
        <v>91687</v>
      </c>
      <c r="G19" s="338">
        <f>F19/'- 3 -'!D19*100</f>
        <v>0.37025264866106017</v>
      </c>
    </row>
    <row r="20" spans="1:7" ht="13.5" customHeight="1">
      <c r="A20" s="25" t="s">
        <v>253</v>
      </c>
      <c r="B20" s="26">
        <v>108017</v>
      </c>
      <c r="C20" s="78">
        <f>B20/'- 3 -'!D20*100</f>
        <v>0.23415960165141517</v>
      </c>
      <c r="D20" s="26">
        <v>4061783</v>
      </c>
      <c r="E20" s="78">
        <f>D20/'- 3 -'!D20*100</f>
        <v>8.805146312844183</v>
      </c>
      <c r="F20" s="26">
        <v>518685</v>
      </c>
      <c r="G20" s="78">
        <f>F20/'- 3 -'!D20*100</f>
        <v>1.1244070191040696</v>
      </c>
    </row>
    <row r="21" spans="1:7" ht="13.5" customHeight="1">
      <c r="A21" s="331" t="s">
        <v>254</v>
      </c>
      <c r="B21" s="332">
        <v>152621</v>
      </c>
      <c r="C21" s="338">
        <f>B21/'- 3 -'!D21*100</f>
        <v>0.5767830290396373</v>
      </c>
      <c r="D21" s="332">
        <v>2141653</v>
      </c>
      <c r="E21" s="338">
        <f>D21/'- 3 -'!D21*100</f>
        <v>8.093703386112175</v>
      </c>
      <c r="F21" s="332">
        <v>518674</v>
      </c>
      <c r="G21" s="338">
        <f>F21/'- 3 -'!D21*100</f>
        <v>1.9601651201610841</v>
      </c>
    </row>
    <row r="22" spans="1:7" ht="13.5" customHeight="1">
      <c r="A22" s="25" t="s">
        <v>255</v>
      </c>
      <c r="B22" s="26">
        <v>61766</v>
      </c>
      <c r="C22" s="78">
        <f>B22/'- 3 -'!D22*100</f>
        <v>0.41225371885011874</v>
      </c>
      <c r="D22" s="26">
        <v>1809268</v>
      </c>
      <c r="E22" s="78">
        <f>D22/'- 3 -'!D22*100</f>
        <v>12.075858261770499</v>
      </c>
      <c r="F22" s="26">
        <v>67258</v>
      </c>
      <c r="G22" s="78">
        <f>F22/'- 3 -'!D22*100</f>
        <v>0.44890976625362317</v>
      </c>
    </row>
    <row r="23" spans="1:7" ht="13.5" customHeight="1">
      <c r="A23" s="331" t="s">
        <v>256</v>
      </c>
      <c r="B23" s="332">
        <v>45954</v>
      </c>
      <c r="C23" s="338">
        <f>B23/'- 3 -'!D23*100</f>
        <v>0.3669396582528086</v>
      </c>
      <c r="D23" s="332">
        <v>897734</v>
      </c>
      <c r="E23" s="338">
        <f>D23/'- 3 -'!D23*100</f>
        <v>7.168346763326955</v>
      </c>
      <c r="F23" s="332">
        <v>124428</v>
      </c>
      <c r="G23" s="338">
        <f>F23/'- 3 -'!D23*100</f>
        <v>0.9935493710467092</v>
      </c>
    </row>
    <row r="24" spans="1:7" ht="13.5" customHeight="1">
      <c r="A24" s="25" t="s">
        <v>257</v>
      </c>
      <c r="B24" s="26">
        <v>147696</v>
      </c>
      <c r="C24" s="78">
        <f>B24/'- 3 -'!D24*100</f>
        <v>0.3694368359461921</v>
      </c>
      <c r="D24" s="26">
        <v>3620737</v>
      </c>
      <c r="E24" s="78">
        <f>D24/'- 3 -'!D24*100</f>
        <v>9.056667892653206</v>
      </c>
      <c r="F24" s="26">
        <v>198065</v>
      </c>
      <c r="G24" s="78">
        <f>F24/'- 3 -'!D24*100</f>
        <v>0.49542646321960343</v>
      </c>
    </row>
    <row r="25" spans="1:7" ht="13.5" customHeight="1">
      <c r="A25" s="331" t="s">
        <v>258</v>
      </c>
      <c r="B25" s="332">
        <v>523605</v>
      </c>
      <c r="C25" s="338">
        <f>B25/'- 3 -'!D25*100</f>
        <v>0.4204194458099203</v>
      </c>
      <c r="D25" s="332">
        <v>12675612</v>
      </c>
      <c r="E25" s="338">
        <f>D25/'- 3 -'!D25*100</f>
        <v>10.177660206341757</v>
      </c>
      <c r="F25" s="332">
        <v>713586</v>
      </c>
      <c r="G25" s="338">
        <f>F25/'- 3 -'!D25*100</f>
        <v>0.5729613557122598</v>
      </c>
    </row>
    <row r="26" spans="1:7" ht="13.5" customHeight="1">
      <c r="A26" s="25" t="s">
        <v>259</v>
      </c>
      <c r="B26" s="26">
        <v>118112</v>
      </c>
      <c r="C26" s="78">
        <f>B26/'- 3 -'!D26*100</f>
        <v>0.39121370946492934</v>
      </c>
      <c r="D26" s="26">
        <v>3145478</v>
      </c>
      <c r="E26" s="78">
        <f>D26/'- 3 -'!D26*100</f>
        <v>10.418535935555465</v>
      </c>
      <c r="F26" s="26">
        <v>162229</v>
      </c>
      <c r="G26" s="78">
        <f>F26/'- 3 -'!D26*100</f>
        <v>0.5373392108573728</v>
      </c>
    </row>
    <row r="27" spans="1:7" ht="13.5" customHeight="1">
      <c r="A27" s="331" t="s">
        <v>260</v>
      </c>
      <c r="B27" s="332">
        <v>168989</v>
      </c>
      <c r="C27" s="338">
        <f>B27/'- 3 -'!D27*100</f>
        <v>0.5332773134807458</v>
      </c>
      <c r="D27" s="332">
        <v>3299817</v>
      </c>
      <c r="E27" s="338">
        <f>D27/'- 3 -'!D27*100</f>
        <v>10.413207633266628</v>
      </c>
      <c r="F27" s="332">
        <v>303133</v>
      </c>
      <c r="G27" s="338">
        <f>F27/'- 3 -'!D27*100</f>
        <v>0.9565945231190133</v>
      </c>
    </row>
    <row r="28" spans="1:7" ht="13.5" customHeight="1">
      <c r="A28" s="25" t="s">
        <v>261</v>
      </c>
      <c r="B28" s="26">
        <v>48324</v>
      </c>
      <c r="C28" s="78">
        <f>B28/'- 3 -'!D28*100</f>
        <v>0.27702307849205066</v>
      </c>
      <c r="D28" s="26">
        <v>1750109</v>
      </c>
      <c r="E28" s="78">
        <f>D28/'- 3 -'!D28*100</f>
        <v>10.032708030722711</v>
      </c>
      <c r="F28" s="26">
        <v>103473</v>
      </c>
      <c r="G28" s="78">
        <f>F28/'- 3 -'!D28*100</f>
        <v>0.5931712813676011</v>
      </c>
    </row>
    <row r="29" spans="1:7" ht="13.5" customHeight="1">
      <c r="A29" s="331" t="s">
        <v>262</v>
      </c>
      <c r="B29" s="332">
        <v>703604</v>
      </c>
      <c r="C29" s="338">
        <f>B29/'- 3 -'!D29*100</f>
        <v>0.6173586074322114</v>
      </c>
      <c r="D29" s="332">
        <v>8853848</v>
      </c>
      <c r="E29" s="338">
        <f>D29/'- 3 -'!D29*100</f>
        <v>7.768573333432541</v>
      </c>
      <c r="F29" s="332">
        <v>1226446</v>
      </c>
      <c r="G29" s="338">
        <f>F29/'- 3 -'!D29*100</f>
        <v>1.0761124079038862</v>
      </c>
    </row>
    <row r="30" spans="1:7" ht="13.5" customHeight="1">
      <c r="A30" s="25" t="s">
        <v>263</v>
      </c>
      <c r="B30" s="26">
        <v>41754</v>
      </c>
      <c r="C30" s="78">
        <f>B30/'- 3 -'!D30*100</f>
        <v>0.3719243687867858</v>
      </c>
      <c r="D30" s="26">
        <v>864153</v>
      </c>
      <c r="E30" s="78">
        <f>D30/'- 3 -'!D30*100</f>
        <v>7.697455550610894</v>
      </c>
      <c r="F30" s="26">
        <v>253077</v>
      </c>
      <c r="G30" s="78">
        <f>F30/'- 3 -'!D30*100</f>
        <v>2.254287097749997</v>
      </c>
    </row>
    <row r="31" spans="1:7" ht="13.5" customHeight="1">
      <c r="A31" s="331" t="s">
        <v>264</v>
      </c>
      <c r="B31" s="332">
        <v>161088</v>
      </c>
      <c r="C31" s="338">
        <f>B31/'- 3 -'!D31*100</f>
        <v>0.5818897842945356</v>
      </c>
      <c r="D31" s="332">
        <v>2979985</v>
      </c>
      <c r="E31" s="338">
        <f>D31/'- 3 -'!D31*100</f>
        <v>10.76444445800402</v>
      </c>
      <c r="F31" s="332">
        <v>140368</v>
      </c>
      <c r="G31" s="338">
        <f>F31/'- 3 -'!D31*100</f>
        <v>0.5070440085037704</v>
      </c>
    </row>
    <row r="32" spans="1:7" ht="13.5" customHeight="1">
      <c r="A32" s="25" t="s">
        <v>265</v>
      </c>
      <c r="B32" s="26">
        <v>39356</v>
      </c>
      <c r="C32" s="78">
        <f>B32/'- 3 -'!D32*100</f>
        <v>0.19476227259403936</v>
      </c>
      <c r="D32" s="26">
        <v>1712600</v>
      </c>
      <c r="E32" s="78">
        <f>D32/'- 3 -'!D32*100</f>
        <v>8.475197378914316</v>
      </c>
      <c r="F32" s="26">
        <v>284300</v>
      </c>
      <c r="G32" s="78">
        <f>F32/'- 3 -'!D32*100</f>
        <v>1.4069243342434545</v>
      </c>
    </row>
    <row r="33" spans="1:7" ht="13.5" customHeight="1">
      <c r="A33" s="331" t="s">
        <v>266</v>
      </c>
      <c r="B33" s="332">
        <v>71956</v>
      </c>
      <c r="C33" s="338">
        <f>B33/'- 3 -'!D33*100</f>
        <v>0.316327777228506</v>
      </c>
      <c r="D33" s="332">
        <v>2331291</v>
      </c>
      <c r="E33" s="338">
        <f>D33/'- 3 -'!D33*100</f>
        <v>10.248653345138989</v>
      </c>
      <c r="F33" s="332">
        <v>231510</v>
      </c>
      <c r="G33" s="338">
        <f>F33/'- 3 -'!D33*100</f>
        <v>1.0177475638747489</v>
      </c>
    </row>
    <row r="34" spans="1:7" ht="13.5" customHeight="1">
      <c r="A34" s="25" t="s">
        <v>267</v>
      </c>
      <c r="B34" s="26">
        <v>51108</v>
      </c>
      <c r="C34" s="78">
        <f>B34/'- 3 -'!D34*100</f>
        <v>0.2659759659895489</v>
      </c>
      <c r="D34" s="26">
        <v>1678616</v>
      </c>
      <c r="E34" s="78">
        <f>D34/'- 3 -'!D34*100</f>
        <v>8.735843940782512</v>
      </c>
      <c r="F34" s="26">
        <v>265817</v>
      </c>
      <c r="G34" s="78">
        <f>F34/'- 3 -'!D34*100</f>
        <v>1.3833633355138908</v>
      </c>
    </row>
    <row r="35" spans="1:7" ht="13.5" customHeight="1">
      <c r="A35" s="331" t="s">
        <v>268</v>
      </c>
      <c r="B35" s="332">
        <v>681247</v>
      </c>
      <c r="C35" s="338">
        <f>B35/'- 3 -'!D35*100</f>
        <v>0.4778729989296409</v>
      </c>
      <c r="D35" s="332">
        <v>15355136</v>
      </c>
      <c r="E35" s="338">
        <f>D35/'- 3 -'!D35*100</f>
        <v>10.771137178281139</v>
      </c>
      <c r="F35" s="332">
        <v>744949</v>
      </c>
      <c r="G35" s="338">
        <f>F35/'- 3 -'!D35*100</f>
        <v>0.5225579161150612</v>
      </c>
    </row>
    <row r="36" spans="1:7" ht="13.5" customHeight="1">
      <c r="A36" s="25" t="s">
        <v>269</v>
      </c>
      <c r="B36" s="26">
        <v>49796</v>
      </c>
      <c r="C36" s="78">
        <f>B36/'- 3 -'!D36*100</f>
        <v>0.2774796736777519</v>
      </c>
      <c r="D36" s="26">
        <v>1779338</v>
      </c>
      <c r="E36" s="78">
        <f>D36/'- 3 -'!D36*100</f>
        <v>9.915055980448704</v>
      </c>
      <c r="F36" s="26">
        <v>109141</v>
      </c>
      <c r="G36" s="78">
        <f>F36/'- 3 -'!D36*100</f>
        <v>0.6081695129099429</v>
      </c>
    </row>
    <row r="37" spans="1:7" ht="13.5" customHeight="1">
      <c r="A37" s="331" t="s">
        <v>270</v>
      </c>
      <c r="B37" s="332">
        <v>82786</v>
      </c>
      <c r="C37" s="338">
        <f>B37/'- 3 -'!D37*100</f>
        <v>0.27736052194140304</v>
      </c>
      <c r="D37" s="332">
        <v>2758185</v>
      </c>
      <c r="E37" s="338">
        <f>D37/'- 3 -'!D37*100</f>
        <v>9.24083336809302</v>
      </c>
      <c r="F37" s="332">
        <v>185383</v>
      </c>
      <c r="G37" s="338">
        <f>F37/'- 3 -'!D37*100</f>
        <v>0.6210944560561341</v>
      </c>
    </row>
    <row r="38" spans="1:7" ht="13.5" customHeight="1">
      <c r="A38" s="25" t="s">
        <v>271</v>
      </c>
      <c r="B38" s="26">
        <v>335768</v>
      </c>
      <c r="C38" s="78">
        <f>B38/'- 3 -'!D38*100</f>
        <v>0.45255069303530215</v>
      </c>
      <c r="D38" s="26">
        <v>6770402</v>
      </c>
      <c r="E38" s="78">
        <f>D38/'- 3 -'!D38*100</f>
        <v>9.125199891674</v>
      </c>
      <c r="F38" s="26">
        <v>525152</v>
      </c>
      <c r="G38" s="78">
        <f>F38/'- 3 -'!D38*100</f>
        <v>0.7078039049250524</v>
      </c>
    </row>
    <row r="39" spans="1:7" ht="13.5" customHeight="1">
      <c r="A39" s="331" t="s">
        <v>272</v>
      </c>
      <c r="B39" s="332">
        <v>50554</v>
      </c>
      <c r="C39" s="338">
        <f>B39/'- 3 -'!D39*100</f>
        <v>0.30928923676637415</v>
      </c>
      <c r="D39" s="332">
        <v>1597796</v>
      </c>
      <c r="E39" s="338">
        <f>D39/'- 3 -'!D39*100</f>
        <v>9.775311653842733</v>
      </c>
      <c r="F39" s="332">
        <v>124735</v>
      </c>
      <c r="G39" s="338">
        <f>F39/'- 3 -'!D39*100</f>
        <v>0.76312839632974</v>
      </c>
    </row>
    <row r="40" spans="1:7" ht="13.5" customHeight="1">
      <c r="A40" s="25" t="s">
        <v>273</v>
      </c>
      <c r="B40" s="26">
        <v>277956</v>
      </c>
      <c r="C40" s="78">
        <f>B40/'- 3 -'!D40*100</f>
        <v>0.3637524021273933</v>
      </c>
      <c r="D40" s="26">
        <v>7024206</v>
      </c>
      <c r="E40" s="78">
        <f>D40/'- 3 -'!D40*100</f>
        <v>9.192360681322398</v>
      </c>
      <c r="F40" s="26">
        <v>1458154</v>
      </c>
      <c r="G40" s="78">
        <f>F40/'- 3 -'!D40*100</f>
        <v>1.9082409452275435</v>
      </c>
    </row>
    <row r="41" spans="1:7" ht="13.5" customHeight="1">
      <c r="A41" s="331" t="s">
        <v>274</v>
      </c>
      <c r="B41" s="332">
        <v>202969</v>
      </c>
      <c r="C41" s="338">
        <f>B41/'- 3 -'!D41*100</f>
        <v>0.435449221065102</v>
      </c>
      <c r="D41" s="332">
        <v>3601039</v>
      </c>
      <c r="E41" s="338">
        <f>D41/'- 3 -'!D41*100</f>
        <v>7.725660704713793</v>
      </c>
      <c r="F41" s="332">
        <v>567042</v>
      </c>
      <c r="G41" s="338">
        <f>F41/'- 3 -'!D41*100</f>
        <v>1.2165305894555205</v>
      </c>
    </row>
    <row r="42" spans="1:7" ht="13.5" customHeight="1">
      <c r="A42" s="25" t="s">
        <v>275</v>
      </c>
      <c r="B42" s="26">
        <v>56792</v>
      </c>
      <c r="C42" s="78">
        <f>B42/'- 3 -'!D42*100</f>
        <v>0.34384086692071286</v>
      </c>
      <c r="D42" s="26">
        <v>1419502</v>
      </c>
      <c r="E42" s="78">
        <f>D42/'- 3 -'!D42*100</f>
        <v>8.59421746505997</v>
      </c>
      <c r="F42" s="26">
        <v>112017</v>
      </c>
      <c r="G42" s="78">
        <f>F42/'- 3 -'!D42*100</f>
        <v>0.6781945060898982</v>
      </c>
    </row>
    <row r="43" spans="1:7" ht="13.5" customHeight="1">
      <c r="A43" s="331" t="s">
        <v>276</v>
      </c>
      <c r="B43" s="332">
        <v>41717</v>
      </c>
      <c r="C43" s="338">
        <f>B43/'- 3 -'!D43*100</f>
        <v>0.40970215398818044</v>
      </c>
      <c r="D43" s="332">
        <v>695114</v>
      </c>
      <c r="E43" s="338">
        <f>D43/'- 3 -'!D43*100</f>
        <v>6.826706212511448</v>
      </c>
      <c r="F43" s="332">
        <v>272535</v>
      </c>
      <c r="G43" s="338">
        <f>F43/'- 3 -'!D43*100</f>
        <v>2.6765629488498397</v>
      </c>
    </row>
    <row r="44" spans="1:7" ht="13.5" customHeight="1">
      <c r="A44" s="25" t="s">
        <v>277</v>
      </c>
      <c r="B44" s="26">
        <v>19663</v>
      </c>
      <c r="C44" s="78">
        <f>B44/'- 3 -'!D44*100</f>
        <v>0.25435243677990826</v>
      </c>
      <c r="D44" s="26">
        <v>678743</v>
      </c>
      <c r="E44" s="78">
        <f>D44/'- 3 -'!D44*100</f>
        <v>8.77993876810788</v>
      </c>
      <c r="F44" s="26">
        <v>111907</v>
      </c>
      <c r="G44" s="78">
        <f>F44/'- 3 -'!D44*100</f>
        <v>1.4475826752138123</v>
      </c>
    </row>
    <row r="45" spans="1:7" ht="13.5" customHeight="1">
      <c r="A45" s="331" t="s">
        <v>278</v>
      </c>
      <c r="B45" s="332">
        <v>69003</v>
      </c>
      <c r="C45" s="338">
        <f>B45/'- 3 -'!D45*100</f>
        <v>0.5922392922969876</v>
      </c>
      <c r="D45" s="332">
        <v>972167</v>
      </c>
      <c r="E45" s="338">
        <f>D45/'- 3 -'!D45*100</f>
        <v>8.343919772683586</v>
      </c>
      <c r="F45" s="332">
        <v>122626</v>
      </c>
      <c r="G45" s="338">
        <f>F45/'- 3 -'!D45*100</f>
        <v>1.0524750439431676</v>
      </c>
    </row>
    <row r="46" spans="1:7" ht="13.5" customHeight="1">
      <c r="A46" s="25" t="s">
        <v>279</v>
      </c>
      <c r="B46" s="26">
        <v>1060738</v>
      </c>
      <c r="C46" s="78">
        <f>B46/'- 3 -'!D46*100</f>
        <v>0.36530896459812506</v>
      </c>
      <c r="D46" s="26">
        <v>29628414</v>
      </c>
      <c r="E46" s="78">
        <f>D46/'- 3 -'!D46*100</f>
        <v>10.203768735563912</v>
      </c>
      <c r="F46" s="26">
        <v>6377024</v>
      </c>
      <c r="G46" s="78">
        <f>F46/'- 3 -'!D46*100</f>
        <v>2.1961917407101414</v>
      </c>
    </row>
    <row r="47" spans="1:7" ht="4.5" customHeight="1">
      <c r="A47"/>
      <c r="B47" s="28"/>
      <c r="C47"/>
      <c r="D47" s="28"/>
      <c r="E47"/>
      <c r="F47" s="28"/>
      <c r="G47"/>
    </row>
    <row r="48" spans="1:7" ht="13.5" customHeight="1">
      <c r="A48" s="333" t="s">
        <v>280</v>
      </c>
      <c r="B48" s="334">
        <f>SUM(B11:B46)</f>
        <v>6308764</v>
      </c>
      <c r="C48" s="341">
        <f>B48/'- 3 -'!D48*100</f>
        <v>0.39762606421117447</v>
      </c>
      <c r="D48" s="334">
        <f>SUM(D11:D46)</f>
        <v>154500106</v>
      </c>
      <c r="E48" s="341">
        <f>D48/'- 3 -'!D48*100</f>
        <v>9.737766235825157</v>
      </c>
      <c r="F48" s="334">
        <f>SUM(F11:F46)</f>
        <v>18258248</v>
      </c>
      <c r="G48" s="341">
        <f>F48/'- 3 -'!D48*100</f>
        <v>1.150773002704103</v>
      </c>
    </row>
    <row r="49" spans="1:7" ht="4.5" customHeight="1">
      <c r="A49" s="27" t="s">
        <v>32</v>
      </c>
      <c r="B49" s="28"/>
      <c r="C49"/>
      <c r="D49" s="28"/>
      <c r="E49"/>
      <c r="F49" s="28"/>
      <c r="G49"/>
    </row>
    <row r="50" spans="1:7" ht="13.5" customHeight="1">
      <c r="A50" s="25" t="s">
        <v>281</v>
      </c>
      <c r="B50" s="26">
        <v>5054</v>
      </c>
      <c r="C50" s="78">
        <f>B50/'- 3 -'!D50*100</f>
        <v>0.19173556728916866</v>
      </c>
      <c r="D50" s="26">
        <v>300274</v>
      </c>
      <c r="E50" s="78">
        <f>D50/'- 3 -'!D50*100</f>
        <v>11.391611739649353</v>
      </c>
      <c r="F50" s="26">
        <v>0</v>
      </c>
      <c r="G50" s="78">
        <f>F50/'- 3 -'!D50*100</f>
        <v>0</v>
      </c>
    </row>
    <row r="51" spans="1:7" ht="13.5" customHeight="1">
      <c r="A51" s="331" t="s">
        <v>282</v>
      </c>
      <c r="B51" s="332">
        <v>9470</v>
      </c>
      <c r="C51" s="338">
        <f>B51/'- 3 -'!D51*100</f>
        <v>0.0935887366993061</v>
      </c>
      <c r="D51" s="332">
        <v>857052</v>
      </c>
      <c r="E51" s="338">
        <f>D51/'- 3 -'!D51*100</f>
        <v>8.46994867641116</v>
      </c>
      <c r="F51" s="332">
        <v>29607</v>
      </c>
      <c r="G51" s="338">
        <f>F51/'- 3 -'!D51*100</f>
        <v>0.29259574735547583</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1"/>
  <sheetViews>
    <sheetView showGridLines="0" showZeros="0" workbookViewId="0" topLeftCell="A1">
      <selection activeCell="A1" sqref="A1"/>
    </sheetView>
  </sheetViews>
  <sheetFormatPr defaultColWidth="15.83203125" defaultRowHeight="12"/>
  <cols>
    <col min="1" max="1" width="32.83203125" style="1" customWidth="1"/>
    <col min="2" max="2" width="19.83203125" style="1" customWidth="1"/>
    <col min="3" max="3" width="15.83203125" style="1" customWidth="1"/>
    <col min="4" max="4" width="19.83203125" style="1" customWidth="1"/>
    <col min="5" max="5" width="15.83203125" style="1" customWidth="1"/>
    <col min="6" max="6" width="28.83203125" style="1" customWidth="1"/>
    <col min="7" max="16384" width="15.83203125" style="1" customWidth="1"/>
  </cols>
  <sheetData>
    <row r="1" spans="1:6" ht="6.75" customHeight="1">
      <c r="A1" s="5"/>
      <c r="B1" s="5"/>
      <c r="C1" s="5"/>
      <c r="D1" s="6"/>
      <c r="E1" s="6"/>
      <c r="F1" s="6"/>
    </row>
    <row r="2" spans="1:6" ht="15.75" customHeight="1">
      <c r="A2" s="154"/>
      <c r="B2" s="7" t="s">
        <v>528</v>
      </c>
      <c r="C2" s="191"/>
      <c r="D2" s="179"/>
      <c r="E2" s="8"/>
      <c r="F2" s="496" t="s">
        <v>479</v>
      </c>
    </row>
    <row r="3" spans="1:6" ht="15.75" customHeight="1">
      <c r="A3" s="156"/>
      <c r="B3" s="9" t="str">
        <f>OPYEAR</f>
        <v>OPERATING FUND 2006/2007 ACTUAL</v>
      </c>
      <c r="C3" s="35"/>
      <c r="D3" s="180"/>
      <c r="E3" s="10"/>
      <c r="F3" s="73"/>
    </row>
    <row r="4" spans="4:6" ht="15.75" customHeight="1">
      <c r="D4" s="6"/>
      <c r="E4" s="6"/>
      <c r="F4" s="6"/>
    </row>
    <row r="5" spans="4:6" ht="15.75" customHeight="1">
      <c r="D5" s="6"/>
      <c r="E5" s="6"/>
      <c r="F5" s="6"/>
    </row>
    <row r="6" spans="2:6" ht="15.75" customHeight="1">
      <c r="B6" s="175" t="s">
        <v>49</v>
      </c>
      <c r="C6" s="188"/>
      <c r="D6" s="45"/>
      <c r="E6" s="192"/>
      <c r="F6" s="49"/>
    </row>
    <row r="7" spans="2:6" ht="15.75" customHeight="1">
      <c r="B7" s="421"/>
      <c r="C7" s="360"/>
      <c r="D7" s="421"/>
      <c r="E7" s="360"/>
      <c r="F7" s="6"/>
    </row>
    <row r="8" spans="1:6" ht="15.75" customHeight="1">
      <c r="A8" s="74"/>
      <c r="B8" s="346" t="s">
        <v>95</v>
      </c>
      <c r="C8" s="347"/>
      <c r="D8" s="345" t="s">
        <v>96</v>
      </c>
      <c r="E8" s="347"/>
      <c r="F8" s="6"/>
    </row>
    <row r="9" spans="1:5" ht="15.75" customHeight="1">
      <c r="A9" s="41" t="s">
        <v>108</v>
      </c>
      <c r="B9" s="190" t="s">
        <v>109</v>
      </c>
      <c r="C9" s="190" t="s">
        <v>110</v>
      </c>
      <c r="D9" s="193" t="s">
        <v>109</v>
      </c>
      <c r="E9" s="190" t="s">
        <v>110</v>
      </c>
    </row>
    <row r="10" ht="4.5" customHeight="1">
      <c r="A10" s="4"/>
    </row>
    <row r="11" spans="1:5" ht="13.5" customHeight="1">
      <c r="A11" s="331" t="s">
        <v>245</v>
      </c>
      <c r="B11" s="332">
        <v>47851</v>
      </c>
      <c r="C11" s="338">
        <f>B11/'- 3 -'!D11*100</f>
        <v>0.3963644236752023</v>
      </c>
      <c r="D11" s="332">
        <v>19518</v>
      </c>
      <c r="E11" s="338">
        <f>D11/'- 3 -'!D11*100</f>
        <v>0.1616735454074648</v>
      </c>
    </row>
    <row r="12" spans="1:5" ht="13.5" customHeight="1">
      <c r="A12" s="25" t="s">
        <v>246</v>
      </c>
      <c r="B12" s="26">
        <v>160211</v>
      </c>
      <c r="C12" s="78">
        <f>B12/'- 3 -'!D12*100</f>
        <v>0.7283288064183834</v>
      </c>
      <c r="D12" s="26">
        <v>54963</v>
      </c>
      <c r="E12" s="78">
        <f>D12/'- 3 -'!D12*100</f>
        <v>0.24986509158031353</v>
      </c>
    </row>
    <row r="13" spans="1:5" ht="13.5" customHeight="1">
      <c r="A13" s="331" t="s">
        <v>247</v>
      </c>
      <c r="B13" s="332">
        <v>200513</v>
      </c>
      <c r="C13" s="338">
        <f>B13/'- 3 -'!D13*100</f>
        <v>0.3734421580629558</v>
      </c>
      <c r="D13" s="332">
        <v>75536</v>
      </c>
      <c r="E13" s="338">
        <f>D13/'- 3 -'!D13*100</f>
        <v>0.14068078803590503</v>
      </c>
    </row>
    <row r="14" spans="1:5" ht="13.5" customHeight="1">
      <c r="A14" s="25" t="s">
        <v>283</v>
      </c>
      <c r="B14" s="26">
        <v>117480</v>
      </c>
      <c r="C14" s="78">
        <f>B14/'- 3 -'!D14*100</f>
        <v>0.23916390351401765</v>
      </c>
      <c r="D14" s="26">
        <v>206491</v>
      </c>
      <c r="E14" s="78">
        <f>D14/'- 3 -'!D14*100</f>
        <v>0.4203710725273495</v>
      </c>
    </row>
    <row r="15" spans="1:5" ht="13.5" customHeight="1">
      <c r="A15" s="331" t="s">
        <v>248</v>
      </c>
      <c r="B15" s="332">
        <v>91258</v>
      </c>
      <c r="C15" s="338">
        <f>B15/'- 3 -'!D15*100</f>
        <v>0.6453257584034379</v>
      </c>
      <c r="D15" s="332">
        <v>42429</v>
      </c>
      <c r="E15" s="338">
        <f>D15/'- 3 -'!D15*100</f>
        <v>0.30003426114203097</v>
      </c>
    </row>
    <row r="16" spans="1:5" ht="13.5" customHeight="1">
      <c r="A16" s="25" t="s">
        <v>249</v>
      </c>
      <c r="B16" s="26">
        <v>5726</v>
      </c>
      <c r="C16" s="78">
        <f>B16/'- 3 -'!D16*100</f>
        <v>0.05150469180766988</v>
      </c>
      <c r="D16" s="26">
        <v>42556</v>
      </c>
      <c r="E16" s="78">
        <f>D16/'- 3 -'!D16*100</f>
        <v>0.3827861796310163</v>
      </c>
    </row>
    <row r="17" spans="1:5" ht="13.5" customHeight="1">
      <c r="A17" s="331" t="s">
        <v>250</v>
      </c>
      <c r="B17" s="332">
        <v>43825</v>
      </c>
      <c r="C17" s="338">
        <f>B17/'- 3 -'!D17*100</f>
        <v>0.32814370844994944</v>
      </c>
      <c r="D17" s="332">
        <v>37029</v>
      </c>
      <c r="E17" s="338">
        <f>D17/'- 3 -'!D17*100</f>
        <v>0.2772580349159881</v>
      </c>
    </row>
    <row r="18" spans="1:5" ht="13.5" customHeight="1">
      <c r="A18" s="25" t="s">
        <v>251</v>
      </c>
      <c r="B18" s="26">
        <v>2056226</v>
      </c>
      <c r="C18" s="78">
        <f>B18/'- 3 -'!D18*100</f>
        <v>2.3637933333639887</v>
      </c>
      <c r="D18" s="26">
        <v>36195</v>
      </c>
      <c r="E18" s="78">
        <f>D18/'- 3 -'!D18*100</f>
        <v>0.04160899614201434</v>
      </c>
    </row>
    <row r="19" spans="1:5" ht="13.5" customHeight="1">
      <c r="A19" s="331" t="s">
        <v>252</v>
      </c>
      <c r="B19" s="332">
        <v>23437</v>
      </c>
      <c r="C19" s="338">
        <f>B19/'- 3 -'!D19*100</f>
        <v>0.09464385710808804</v>
      </c>
      <c r="D19" s="332">
        <v>23596</v>
      </c>
      <c r="E19" s="338">
        <f>D19/'- 3 -'!D19*100</f>
        <v>0.09528593473236528</v>
      </c>
    </row>
    <row r="20" spans="1:5" ht="13.5" customHeight="1">
      <c r="A20" s="25" t="s">
        <v>253</v>
      </c>
      <c r="B20" s="26">
        <v>142506</v>
      </c>
      <c r="C20" s="78">
        <f>B20/'- 3 -'!D20*100</f>
        <v>0.30892496730085606</v>
      </c>
      <c r="D20" s="26">
        <v>155508</v>
      </c>
      <c r="E20" s="78">
        <f>D20/'- 3 -'!D20*100</f>
        <v>0.33711074491615456</v>
      </c>
    </row>
    <row r="21" spans="1:5" ht="13.5" customHeight="1">
      <c r="A21" s="331" t="s">
        <v>254</v>
      </c>
      <c r="B21" s="332">
        <v>176000</v>
      </c>
      <c r="C21" s="338">
        <f>B21/'- 3 -'!D21*100</f>
        <v>0.6651366005397432</v>
      </c>
      <c r="D21" s="332">
        <v>102398</v>
      </c>
      <c r="E21" s="338">
        <f>D21/'- 3 -'!D21*100</f>
        <v>0.386981009216299</v>
      </c>
    </row>
    <row r="22" spans="1:5" ht="13.5" customHeight="1">
      <c r="A22" s="25" t="s">
        <v>255</v>
      </c>
      <c r="B22" s="26">
        <v>36852</v>
      </c>
      <c r="C22" s="78">
        <f>B22/'- 3 -'!D22*100</f>
        <v>0.24596661669955278</v>
      </c>
      <c r="D22" s="26">
        <v>1867</v>
      </c>
      <c r="E22" s="78">
        <f>D22/'- 3 -'!D22*100</f>
        <v>0.012461187272822777</v>
      </c>
    </row>
    <row r="23" spans="1:5" ht="13.5" customHeight="1">
      <c r="A23" s="331" t="s">
        <v>256</v>
      </c>
      <c r="B23" s="332">
        <v>53780</v>
      </c>
      <c r="C23" s="338">
        <f>B23/'- 3 -'!D23*100</f>
        <v>0.429429751944032</v>
      </c>
      <c r="D23" s="332">
        <v>0</v>
      </c>
      <c r="E23" s="338">
        <f>D23/'- 3 -'!D23*100</f>
        <v>0</v>
      </c>
    </row>
    <row r="24" spans="1:5" ht="13.5" customHeight="1">
      <c r="A24" s="25" t="s">
        <v>257</v>
      </c>
      <c r="B24" s="26">
        <v>175940</v>
      </c>
      <c r="C24" s="78">
        <f>B24/'- 3 -'!D24*100</f>
        <v>0.44008447700935055</v>
      </c>
      <c r="D24" s="26">
        <v>12193</v>
      </c>
      <c r="E24" s="78">
        <f>D24/'- 3 -'!D24*100</f>
        <v>0.0304987497338582</v>
      </c>
    </row>
    <row r="25" spans="1:5" ht="13.5" customHeight="1">
      <c r="A25" s="331" t="s">
        <v>258</v>
      </c>
      <c r="B25" s="332">
        <v>53529</v>
      </c>
      <c r="C25" s="338">
        <f>B25/'- 3 -'!D25*100</f>
        <v>0.04298017114954827</v>
      </c>
      <c r="D25" s="332">
        <v>387355</v>
      </c>
      <c r="E25" s="338">
        <f>D25/'- 3 -'!D25*100</f>
        <v>0.31101989941215546</v>
      </c>
    </row>
    <row r="26" spans="1:5" ht="13.5" customHeight="1">
      <c r="A26" s="25" t="s">
        <v>259</v>
      </c>
      <c r="B26" s="26">
        <v>305410</v>
      </c>
      <c r="C26" s="78">
        <f>B26/'- 3 -'!D26*100</f>
        <v>1.0115871292305951</v>
      </c>
      <c r="D26" s="26">
        <v>37502</v>
      </c>
      <c r="E26" s="78">
        <f>D26/'- 3 -'!D26*100</f>
        <v>0.12421512236143474</v>
      </c>
    </row>
    <row r="27" spans="1:5" ht="13.5" customHeight="1">
      <c r="A27" s="331" t="s">
        <v>260</v>
      </c>
      <c r="B27" s="332">
        <v>154409</v>
      </c>
      <c r="C27" s="338">
        <f>B27/'- 3 -'!D27*100</f>
        <v>0.4872673173830751</v>
      </c>
      <c r="D27" s="332">
        <v>212383</v>
      </c>
      <c r="E27" s="338">
        <f>D27/'- 3 -'!D27*100</f>
        <v>0.6702154321818653</v>
      </c>
    </row>
    <row r="28" spans="1:5" ht="13.5" customHeight="1">
      <c r="A28" s="25" t="s">
        <v>261</v>
      </c>
      <c r="B28" s="26">
        <v>52548</v>
      </c>
      <c r="C28" s="78">
        <f>B28/'- 3 -'!D28*100</f>
        <v>0.3012376609676409</v>
      </c>
      <c r="D28" s="26">
        <v>46263</v>
      </c>
      <c r="E28" s="78">
        <f>D28/'- 3 -'!D28*100</f>
        <v>0.2652081508210773</v>
      </c>
    </row>
    <row r="29" spans="1:5" ht="13.5" customHeight="1">
      <c r="A29" s="331" t="s">
        <v>262</v>
      </c>
      <c r="B29" s="332">
        <v>417880</v>
      </c>
      <c r="C29" s="338">
        <f>B29/'- 3 -'!D29*100</f>
        <v>0.3666576865307367</v>
      </c>
      <c r="D29" s="332">
        <v>362926</v>
      </c>
      <c r="E29" s="338">
        <f>D29/'- 3 -'!D29*100</f>
        <v>0.31843976151491854</v>
      </c>
    </row>
    <row r="30" spans="1:5" ht="13.5" customHeight="1">
      <c r="A30" s="25" t="s">
        <v>263</v>
      </c>
      <c r="B30" s="26">
        <v>45109</v>
      </c>
      <c r="C30" s="78">
        <f>B30/'- 3 -'!D30*100</f>
        <v>0.4018090806055257</v>
      </c>
      <c r="D30" s="26">
        <v>15422</v>
      </c>
      <c r="E30" s="78">
        <f>D30/'- 3 -'!D30*100</f>
        <v>0.1373716917045028</v>
      </c>
    </row>
    <row r="31" spans="1:5" ht="13.5" customHeight="1">
      <c r="A31" s="331" t="s">
        <v>264</v>
      </c>
      <c r="B31" s="332">
        <v>51624</v>
      </c>
      <c r="C31" s="338">
        <f>B31/'- 3 -'!D31*100</f>
        <v>0.18647868385243535</v>
      </c>
      <c r="D31" s="332">
        <v>49801</v>
      </c>
      <c r="E31" s="338">
        <f>D31/'- 3 -'!D31*100</f>
        <v>0.1798935559920799</v>
      </c>
    </row>
    <row r="32" spans="1:5" ht="13.5" customHeight="1">
      <c r="A32" s="25" t="s">
        <v>265</v>
      </c>
      <c r="B32" s="26">
        <v>107937</v>
      </c>
      <c r="C32" s="78">
        <f>B32/'- 3 -'!D32*100</f>
        <v>0.5341512200676601</v>
      </c>
      <c r="D32" s="26">
        <v>33957</v>
      </c>
      <c r="E32" s="78">
        <f>D32/'- 3 -'!D32*100</f>
        <v>0.16804407181816736</v>
      </c>
    </row>
    <row r="33" spans="1:5" ht="13.5" customHeight="1">
      <c r="A33" s="331" t="s">
        <v>266</v>
      </c>
      <c r="B33" s="332">
        <v>93621</v>
      </c>
      <c r="C33" s="338">
        <f>B33/'- 3 -'!D33*100</f>
        <v>0.4115698875967253</v>
      </c>
      <c r="D33" s="332">
        <v>88331</v>
      </c>
      <c r="E33" s="338">
        <f>D33/'- 3 -'!D33*100</f>
        <v>0.3883143711486348</v>
      </c>
    </row>
    <row r="34" spans="1:5" ht="13.5" customHeight="1">
      <c r="A34" s="25" t="s">
        <v>267</v>
      </c>
      <c r="B34" s="26">
        <v>93514</v>
      </c>
      <c r="C34" s="78">
        <f>B34/'- 3 -'!D34*100</f>
        <v>0.48666503254963367</v>
      </c>
      <c r="D34" s="26">
        <v>123680</v>
      </c>
      <c r="E34" s="78">
        <f>D34/'- 3 -'!D34*100</f>
        <v>0.6436547599903618</v>
      </c>
    </row>
    <row r="35" spans="1:5" ht="13.5" customHeight="1">
      <c r="A35" s="331" t="s">
        <v>268</v>
      </c>
      <c r="B35" s="332">
        <v>414616</v>
      </c>
      <c r="C35" s="338">
        <f>B35/'- 3 -'!D35*100</f>
        <v>0.29083987353223134</v>
      </c>
      <c r="D35" s="332">
        <v>295534</v>
      </c>
      <c r="E35" s="338">
        <f>D35/'- 3 -'!D35*100</f>
        <v>0.2073076562035099</v>
      </c>
    </row>
    <row r="36" spans="1:5" ht="13.5" customHeight="1">
      <c r="A36" s="25" t="s">
        <v>269</v>
      </c>
      <c r="B36" s="26">
        <v>109569</v>
      </c>
      <c r="C36" s="78">
        <f>B36/'- 3 -'!D36*100</f>
        <v>0.6105544695396738</v>
      </c>
      <c r="D36" s="26">
        <v>55516</v>
      </c>
      <c r="E36" s="78">
        <f>D36/'- 3 -'!D36*100</f>
        <v>0.30935339312181853</v>
      </c>
    </row>
    <row r="37" spans="1:5" ht="13.5" customHeight="1">
      <c r="A37" s="331" t="s">
        <v>270</v>
      </c>
      <c r="B37" s="332">
        <v>112827</v>
      </c>
      <c r="C37" s="338">
        <f>B37/'- 3 -'!D37*100</f>
        <v>0.37800782268840966</v>
      </c>
      <c r="D37" s="332">
        <v>94283</v>
      </c>
      <c r="E37" s="338">
        <f>D37/'- 3 -'!D37*100</f>
        <v>0.31587928019473466</v>
      </c>
    </row>
    <row r="38" spans="1:5" ht="13.5" customHeight="1">
      <c r="A38" s="25" t="s">
        <v>271</v>
      </c>
      <c r="B38" s="26">
        <v>382011</v>
      </c>
      <c r="C38" s="78">
        <f>B38/'- 3 -'!D38*100</f>
        <v>0.5148773641237664</v>
      </c>
      <c r="D38" s="26">
        <v>208396</v>
      </c>
      <c r="E38" s="78">
        <f>D38/'- 3 -'!D38*100</f>
        <v>0.28087773172483627</v>
      </c>
    </row>
    <row r="39" spans="1:5" ht="13.5" customHeight="1">
      <c r="A39" s="331" t="s">
        <v>272</v>
      </c>
      <c r="B39" s="332">
        <v>22182</v>
      </c>
      <c r="C39" s="338">
        <f>B39/'- 3 -'!D39*100</f>
        <v>0.13570941666241468</v>
      </c>
      <c r="D39" s="332">
        <v>40075</v>
      </c>
      <c r="E39" s="338">
        <f>D39/'- 3 -'!D39*100</f>
        <v>0.2451787427980465</v>
      </c>
    </row>
    <row r="40" spans="1:5" ht="13.5" customHeight="1">
      <c r="A40" s="25" t="s">
        <v>273</v>
      </c>
      <c r="B40" s="26">
        <v>408441</v>
      </c>
      <c r="C40" s="78">
        <f>B40/'- 3 -'!D40*100</f>
        <v>0.5345140773263201</v>
      </c>
      <c r="D40" s="26">
        <v>224974</v>
      </c>
      <c r="E40" s="78">
        <f>D40/'- 3 -'!D40*100</f>
        <v>0.2944165008713904</v>
      </c>
    </row>
    <row r="41" spans="1:5" ht="13.5" customHeight="1">
      <c r="A41" s="331" t="s">
        <v>274</v>
      </c>
      <c r="B41" s="332">
        <v>189636</v>
      </c>
      <c r="C41" s="338">
        <f>B41/'- 3 -'!D41*100</f>
        <v>0.40684463384015135</v>
      </c>
      <c r="D41" s="332">
        <v>111339</v>
      </c>
      <c r="E41" s="338">
        <f>D41/'- 3 -'!D41*100</f>
        <v>0.23886643193870685</v>
      </c>
    </row>
    <row r="42" spans="1:5" ht="13.5" customHeight="1">
      <c r="A42" s="25" t="s">
        <v>275</v>
      </c>
      <c r="B42" s="26">
        <v>98836</v>
      </c>
      <c r="C42" s="78">
        <f>B42/'- 3 -'!D42*100</f>
        <v>0.5983916030950763</v>
      </c>
      <c r="D42" s="26">
        <v>67925</v>
      </c>
      <c r="E42" s="78">
        <f>D42/'- 3 -'!D42*100</f>
        <v>0.41124438099713734</v>
      </c>
    </row>
    <row r="43" spans="1:5" ht="13.5" customHeight="1">
      <c r="A43" s="331" t="s">
        <v>276</v>
      </c>
      <c r="B43" s="332">
        <v>41867</v>
      </c>
      <c r="C43" s="338">
        <f>B43/'- 3 -'!D43*100</f>
        <v>0.4111753021795227</v>
      </c>
      <c r="D43" s="332">
        <v>6786</v>
      </c>
      <c r="E43" s="338">
        <f>D43/'- 3 -'!D43*100</f>
        <v>0.06664522417632601</v>
      </c>
    </row>
    <row r="44" spans="1:5" ht="13.5" customHeight="1">
      <c r="A44" s="25" t="s">
        <v>277</v>
      </c>
      <c r="B44" s="26">
        <v>19840</v>
      </c>
      <c r="C44" s="78">
        <f>B44/'- 3 -'!D44*100</f>
        <v>0.256642035585281</v>
      </c>
      <c r="D44" s="26">
        <v>10513</v>
      </c>
      <c r="E44" s="78">
        <f>D44/'- 3 -'!D44*100</f>
        <v>0.13599182056996262</v>
      </c>
    </row>
    <row r="45" spans="1:5" ht="13.5" customHeight="1">
      <c r="A45" s="331" t="s">
        <v>278</v>
      </c>
      <c r="B45" s="332">
        <v>17708</v>
      </c>
      <c r="C45" s="338">
        <f>B45/'- 3 -'!D45*100</f>
        <v>0.15198431065308837</v>
      </c>
      <c r="D45" s="332">
        <v>6603</v>
      </c>
      <c r="E45" s="338">
        <f>D45/'- 3 -'!D45*100</f>
        <v>0.056672261308015726</v>
      </c>
    </row>
    <row r="46" spans="1:5" ht="13.5" customHeight="1">
      <c r="A46" s="25" t="s">
        <v>279</v>
      </c>
      <c r="B46" s="26">
        <v>1927620</v>
      </c>
      <c r="C46" s="78">
        <f>B46/'- 3 -'!D46*100</f>
        <v>0.663855604624929</v>
      </c>
      <c r="D46" s="26">
        <v>719467</v>
      </c>
      <c r="E46" s="78">
        <f>D46/'- 3 -'!D46*100</f>
        <v>0.24777819294917242</v>
      </c>
    </row>
    <row r="47" spans="1:5" ht="4.5" customHeight="1">
      <c r="A47"/>
      <c r="B47" s="28"/>
      <c r="C47"/>
      <c r="D47" s="28"/>
      <c r="E47"/>
    </row>
    <row r="48" spans="1:5" ht="13.5" customHeight="1">
      <c r="A48" s="333" t="s">
        <v>280</v>
      </c>
      <c r="B48" s="334">
        <f>SUM(B11:B46)</f>
        <v>8452339</v>
      </c>
      <c r="C48" s="341">
        <f>B48/'- 3 -'!D48*100</f>
        <v>0.5327303874338324</v>
      </c>
      <c r="D48" s="334">
        <f>SUM(D11:D46)</f>
        <v>4009310</v>
      </c>
      <c r="E48" s="341">
        <f>D48/'- 3 -'!D48*100</f>
        <v>0.25269706641467393</v>
      </c>
    </row>
    <row r="49" spans="1:5" ht="4.5" customHeight="1">
      <c r="A49" s="27" t="s">
        <v>32</v>
      </c>
      <c r="B49" s="28"/>
      <c r="C49"/>
      <c r="D49" s="28"/>
      <c r="E49"/>
    </row>
    <row r="50" spans="1:5" ht="13.5" customHeight="1">
      <c r="A50" s="25" t="s">
        <v>281</v>
      </c>
      <c r="B50" s="26">
        <v>0</v>
      </c>
      <c r="C50" s="78">
        <f>B50/'- 3 -'!D50*100</f>
        <v>0</v>
      </c>
      <c r="D50" s="26">
        <v>3117</v>
      </c>
      <c r="E50" s="78">
        <f>D50/'- 3 -'!D50*100</f>
        <v>0.11825084353785885</v>
      </c>
    </row>
    <row r="51" spans="1:5" ht="13.5" customHeight="1">
      <c r="A51" s="331" t="s">
        <v>282</v>
      </c>
      <c r="B51" s="332">
        <v>0</v>
      </c>
      <c r="C51" s="338">
        <f>B51/'- 3 -'!D51*100</f>
        <v>0</v>
      </c>
      <c r="D51" s="332">
        <v>44393</v>
      </c>
      <c r="E51" s="338">
        <f>D51/'- 3 -'!D51*100</f>
        <v>0.43872067458207986</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56"/>
  <sheetViews>
    <sheetView showGridLines="0" showZeros="0" workbookViewId="0" topLeftCell="A1">
      <selection activeCell="A1" sqref="A1"/>
    </sheetView>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ustomWidth="1"/>
  </cols>
  <sheetData>
    <row r="1" spans="1:5" ht="6.75" customHeight="1">
      <c r="A1" s="5"/>
      <c r="B1" s="6"/>
      <c r="C1" s="6"/>
      <c r="D1" s="6"/>
      <c r="E1" s="6"/>
    </row>
    <row r="2" spans="1:5" ht="15.75" customHeight="1">
      <c r="A2" s="33"/>
      <c r="B2" s="575" t="s">
        <v>531</v>
      </c>
      <c r="C2" s="576"/>
      <c r="D2" s="576"/>
      <c r="E2" s="34"/>
    </row>
    <row r="3" spans="1:5" ht="15.75" customHeight="1">
      <c r="A3" s="35"/>
      <c r="B3" s="577"/>
      <c r="C3" s="577"/>
      <c r="D3" s="577"/>
      <c r="E3" s="36"/>
    </row>
    <row r="4" spans="2:5" ht="15.75" customHeight="1">
      <c r="B4" s="6"/>
      <c r="C4" s="37"/>
      <c r="D4" s="38"/>
      <c r="E4" s="37"/>
    </row>
    <row r="5" spans="2:5" ht="15.75" customHeight="1">
      <c r="B5" s="6"/>
      <c r="C5" s="6"/>
      <c r="D5" s="6"/>
      <c r="E5" s="6"/>
    </row>
    <row r="6" spans="2:5" ht="15.75" customHeight="1">
      <c r="B6" s="6"/>
      <c r="C6" s="6"/>
      <c r="D6" s="6"/>
      <c r="E6" s="6"/>
    </row>
    <row r="7" spans="2:5" ht="15.75" customHeight="1">
      <c r="B7" s="328" t="s">
        <v>430</v>
      </c>
      <c r="C7" s="329"/>
      <c r="D7" s="328" t="s">
        <v>453</v>
      </c>
      <c r="E7" s="330"/>
    </row>
    <row r="8" spans="1:5" ht="15.75" customHeight="1">
      <c r="A8" s="39"/>
      <c r="B8" s="40"/>
      <c r="C8" s="321"/>
      <c r="D8" s="40"/>
      <c r="E8" s="321"/>
    </row>
    <row r="9" spans="1:5" ht="15.75" customHeight="1">
      <c r="A9" s="41" t="s">
        <v>108</v>
      </c>
      <c r="B9" s="509" t="s">
        <v>507</v>
      </c>
      <c r="C9" s="322" t="s">
        <v>120</v>
      </c>
      <c r="D9" s="509" t="s">
        <v>507</v>
      </c>
      <c r="E9" s="322" t="s">
        <v>120</v>
      </c>
    </row>
    <row r="10" ht="4.5" customHeight="1">
      <c r="A10" s="4"/>
    </row>
    <row r="11" spans="1:5" ht="13.5" customHeight="1">
      <c r="A11" s="331" t="s">
        <v>245</v>
      </c>
      <c r="B11" s="332">
        <v>12074566</v>
      </c>
      <c r="C11" s="332">
        <v>8044</v>
      </c>
      <c r="D11" s="332">
        <f>'- 3 -'!F11</f>
        <v>12059962.02</v>
      </c>
      <c r="E11" s="332">
        <f>ROUND(D11/'- 7 -'!F11,0)</f>
        <v>8291</v>
      </c>
    </row>
    <row r="12" spans="1:5" ht="13.5" customHeight="1">
      <c r="A12" s="25" t="s">
        <v>246</v>
      </c>
      <c r="B12" s="43">
        <v>20520635</v>
      </c>
      <c r="C12" s="43">
        <v>8750</v>
      </c>
      <c r="D12" s="26">
        <f>'- 3 -'!F12</f>
        <v>21524217.36</v>
      </c>
      <c r="E12" s="26">
        <f>ROUND(D12/'- 7 -'!F12,0)</f>
        <v>8986</v>
      </c>
    </row>
    <row r="13" spans="1:5" ht="13.5" customHeight="1">
      <c r="A13" s="331" t="s">
        <v>247</v>
      </c>
      <c r="B13" s="332">
        <v>51705966</v>
      </c>
      <c r="C13" s="332">
        <v>7468</v>
      </c>
      <c r="D13" s="332">
        <f>'- 3 -'!F13</f>
        <v>53540386</v>
      </c>
      <c r="E13" s="332">
        <f>ROUND(D13/'- 7 -'!F13,0)</f>
        <v>7940</v>
      </c>
    </row>
    <row r="14" spans="1:5" ht="13.5" customHeight="1">
      <c r="A14" s="25" t="s">
        <v>283</v>
      </c>
      <c r="B14" s="26">
        <v>46201616</v>
      </c>
      <c r="C14" s="26">
        <v>10088</v>
      </c>
      <c r="D14" s="26">
        <f>'- 3 -'!F14</f>
        <v>48509288</v>
      </c>
      <c r="E14" s="26">
        <f>ROUND(D14/'- 7 -'!F14,0)</f>
        <v>10363</v>
      </c>
    </row>
    <row r="15" spans="1:5" ht="13.5" customHeight="1">
      <c r="A15" s="331" t="s">
        <v>248</v>
      </c>
      <c r="B15" s="332">
        <v>13623731</v>
      </c>
      <c r="C15" s="332">
        <v>8478</v>
      </c>
      <c r="D15" s="332">
        <f>'- 3 -'!F15</f>
        <v>13947466</v>
      </c>
      <c r="E15" s="332">
        <f>ROUND(D15/'- 7 -'!F15,0)</f>
        <v>8583</v>
      </c>
    </row>
    <row r="16" spans="1:5" ht="13.5" customHeight="1">
      <c r="A16" s="25" t="s">
        <v>249</v>
      </c>
      <c r="B16" s="43">
        <v>11216611</v>
      </c>
      <c r="C16" s="43">
        <v>8998</v>
      </c>
      <c r="D16" s="26">
        <f>'- 3 -'!F16</f>
        <v>11023884</v>
      </c>
      <c r="E16" s="26">
        <f>ROUND(D16/'- 7 -'!F16,0)</f>
        <v>9900</v>
      </c>
    </row>
    <row r="17" spans="1:5" ht="13.5" customHeight="1">
      <c r="A17" s="331" t="s">
        <v>250</v>
      </c>
      <c r="B17" s="332">
        <v>13073419</v>
      </c>
      <c r="C17" s="332">
        <v>8720</v>
      </c>
      <c r="D17" s="332">
        <f>'- 3 -'!F17</f>
        <v>13232526</v>
      </c>
      <c r="E17" s="332">
        <f>ROUND(D17/'- 7 -'!F17,0)</f>
        <v>9061</v>
      </c>
    </row>
    <row r="18" spans="1:5" ht="13.5" customHeight="1">
      <c r="A18" s="25" t="s">
        <v>251</v>
      </c>
      <c r="B18" s="26">
        <v>78186885</v>
      </c>
      <c r="C18" s="26">
        <v>13836</v>
      </c>
      <c r="D18" s="26">
        <f>'- 3 -'!F18</f>
        <v>83745654</v>
      </c>
      <c r="E18" s="26">
        <f>ROUND(D18/'- 7 -'!F18,0)</f>
        <v>14644</v>
      </c>
    </row>
    <row r="19" spans="1:5" ht="13.5" customHeight="1">
      <c r="A19" s="331" t="s">
        <v>252</v>
      </c>
      <c r="B19" s="332">
        <v>21685950</v>
      </c>
      <c r="C19" s="332">
        <v>6537</v>
      </c>
      <c r="D19" s="332">
        <f>'- 3 -'!F19</f>
        <v>24738274</v>
      </c>
      <c r="E19" s="332">
        <f>ROUND(D19/'- 7 -'!F19,0)</f>
        <v>7190</v>
      </c>
    </row>
    <row r="20" spans="1:5" ht="13.5" customHeight="1">
      <c r="A20" s="25" t="s">
        <v>253</v>
      </c>
      <c r="B20" s="43">
        <v>42130540</v>
      </c>
      <c r="C20" s="43">
        <v>6336</v>
      </c>
      <c r="D20" s="26">
        <f>'- 3 -'!F20</f>
        <v>45983120</v>
      </c>
      <c r="E20" s="26">
        <f>ROUND(D20/'- 7 -'!F20,0)</f>
        <v>6772</v>
      </c>
    </row>
    <row r="21" spans="1:5" ht="13.5" customHeight="1">
      <c r="A21" s="331" t="s">
        <v>254</v>
      </c>
      <c r="B21" s="332">
        <v>25755546</v>
      </c>
      <c r="C21" s="332">
        <v>7955</v>
      </c>
      <c r="D21" s="332">
        <f>'- 3 -'!F21</f>
        <v>26363872</v>
      </c>
      <c r="E21" s="332">
        <f>ROUND(D21/'- 7 -'!F21,0)</f>
        <v>8451</v>
      </c>
    </row>
    <row r="22" spans="1:5" ht="13.5" customHeight="1">
      <c r="A22" s="25" t="s">
        <v>255</v>
      </c>
      <c r="B22" s="26">
        <v>13794849</v>
      </c>
      <c r="C22" s="26">
        <v>8274</v>
      </c>
      <c r="D22" s="26">
        <f>'- 3 -'!F22</f>
        <v>14444821</v>
      </c>
      <c r="E22" s="26">
        <f>ROUND(D22/'- 7 -'!F22,0)</f>
        <v>8881</v>
      </c>
    </row>
    <row r="23" spans="1:5" ht="13.5" customHeight="1">
      <c r="A23" s="331" t="s">
        <v>256</v>
      </c>
      <c r="B23" s="332">
        <v>11203587</v>
      </c>
      <c r="C23" s="332">
        <v>8440</v>
      </c>
      <c r="D23" s="332">
        <f>'- 3 -'!F23</f>
        <v>12074071</v>
      </c>
      <c r="E23" s="332">
        <f>ROUND(D23/'- 7 -'!F23,0)</f>
        <v>9273</v>
      </c>
    </row>
    <row r="24" spans="1:5" ht="13.5" customHeight="1">
      <c r="A24" s="25" t="s">
        <v>257</v>
      </c>
      <c r="B24" s="43">
        <v>37723763</v>
      </c>
      <c r="C24" s="43">
        <v>8189</v>
      </c>
      <c r="D24" s="26">
        <f>'- 3 -'!F24</f>
        <v>39335259</v>
      </c>
      <c r="E24" s="26">
        <f>ROUND(D24/'- 7 -'!F24,0)</f>
        <v>8637</v>
      </c>
    </row>
    <row r="25" spans="1:5" ht="13.5" customHeight="1">
      <c r="A25" s="331" t="s">
        <v>258</v>
      </c>
      <c r="B25" s="332">
        <v>119376149</v>
      </c>
      <c r="C25" s="332">
        <v>8161</v>
      </c>
      <c r="D25" s="332">
        <f>'- 3 -'!F25</f>
        <v>123762221</v>
      </c>
      <c r="E25" s="332">
        <f>ROUND(D25/'- 7 -'!F25,0)</f>
        <v>8575</v>
      </c>
    </row>
    <row r="26" spans="1:5" ht="13.5" customHeight="1">
      <c r="A26" s="25" t="s">
        <v>259</v>
      </c>
      <c r="B26" s="26">
        <v>28938918</v>
      </c>
      <c r="C26" s="26">
        <v>8870</v>
      </c>
      <c r="D26" s="26">
        <f>'- 3 -'!F26</f>
        <v>30020947</v>
      </c>
      <c r="E26" s="26">
        <f>ROUND(D26/'- 7 -'!F26,0)</f>
        <v>9377</v>
      </c>
    </row>
    <row r="27" spans="1:5" ht="13.5" customHeight="1">
      <c r="A27" s="331" t="s">
        <v>260</v>
      </c>
      <c r="B27" s="332">
        <v>29324399</v>
      </c>
      <c r="C27" s="332">
        <v>8655</v>
      </c>
      <c r="D27" s="332">
        <f>'- 3 -'!F27</f>
        <v>31525181</v>
      </c>
      <c r="E27" s="332">
        <f>ROUND(D27/'- 7 -'!F27,0)</f>
        <v>9552</v>
      </c>
    </row>
    <row r="28" spans="1:5" ht="13.5" customHeight="1">
      <c r="A28" s="25" t="s">
        <v>261</v>
      </c>
      <c r="B28" s="43">
        <v>17977934</v>
      </c>
      <c r="C28" s="43">
        <v>8776</v>
      </c>
      <c r="D28" s="26">
        <f>'- 3 -'!F28</f>
        <v>17428809</v>
      </c>
      <c r="E28" s="26">
        <f>ROUND(D28/'- 7 -'!F28,0)</f>
        <v>9151</v>
      </c>
    </row>
    <row r="29" spans="1:5" ht="13.5" customHeight="1">
      <c r="A29" s="331" t="s">
        <v>262</v>
      </c>
      <c r="B29" s="332">
        <v>109822727</v>
      </c>
      <c r="C29" s="332">
        <v>8541</v>
      </c>
      <c r="D29" s="332">
        <f>'- 3 -'!F29</f>
        <v>113402170</v>
      </c>
      <c r="E29" s="332">
        <f>ROUND(D29/'- 7 -'!F29,0)</f>
        <v>9017</v>
      </c>
    </row>
    <row r="30" spans="1:5" ht="13.5" customHeight="1">
      <c r="A30" s="25" t="s">
        <v>263</v>
      </c>
      <c r="B30" s="26">
        <v>10351621</v>
      </c>
      <c r="C30" s="26">
        <v>8413</v>
      </c>
      <c r="D30" s="26">
        <f>'- 3 -'!F30</f>
        <v>11214250</v>
      </c>
      <c r="E30" s="26">
        <f>ROUND(D30/'- 7 -'!F30,0)</f>
        <v>9353</v>
      </c>
    </row>
    <row r="31" spans="1:5" ht="13.5" customHeight="1">
      <c r="A31" s="331" t="s">
        <v>264</v>
      </c>
      <c r="B31" s="332">
        <v>26972547</v>
      </c>
      <c r="C31" s="332">
        <v>7952</v>
      </c>
      <c r="D31" s="332">
        <f>'- 3 -'!F31</f>
        <v>27513946.07</v>
      </c>
      <c r="E31" s="332">
        <f>ROUND(D31/'- 7 -'!F31,0)</f>
        <v>8249</v>
      </c>
    </row>
    <row r="32" spans="1:5" ht="13.5" customHeight="1">
      <c r="A32" s="25" t="s">
        <v>265</v>
      </c>
      <c r="B32" s="43">
        <v>19237768</v>
      </c>
      <c r="C32" s="43">
        <v>8713</v>
      </c>
      <c r="D32" s="26">
        <f>'- 3 -'!F32</f>
        <v>19951750</v>
      </c>
      <c r="E32" s="26">
        <f>ROUND(D32/'- 7 -'!F32,0)</f>
        <v>9211</v>
      </c>
    </row>
    <row r="33" spans="1:5" ht="13.5" customHeight="1">
      <c r="A33" s="331" t="s">
        <v>266</v>
      </c>
      <c r="B33" s="332">
        <v>22512026</v>
      </c>
      <c r="C33" s="332">
        <v>9419</v>
      </c>
      <c r="D33" s="332">
        <f>'- 3 -'!F33</f>
        <v>22729176</v>
      </c>
      <c r="E33" s="332">
        <f>ROUND(D33/'- 7 -'!F33,0)</f>
        <v>9873</v>
      </c>
    </row>
    <row r="34" spans="1:5" ht="13.5" customHeight="1">
      <c r="A34" s="25" t="s">
        <v>267</v>
      </c>
      <c r="B34" s="26">
        <v>19107653</v>
      </c>
      <c r="C34" s="26">
        <v>8908</v>
      </c>
      <c r="D34" s="26">
        <f>'- 3 -'!F34</f>
        <v>19195256</v>
      </c>
      <c r="E34" s="26">
        <f>ROUND(D34/'- 7 -'!F34,0)</f>
        <v>9393</v>
      </c>
    </row>
    <row r="35" spans="1:5" ht="13.5" customHeight="1">
      <c r="A35" s="331" t="s">
        <v>268</v>
      </c>
      <c r="B35" s="332">
        <v>135603792</v>
      </c>
      <c r="C35" s="332">
        <v>7906</v>
      </c>
      <c r="D35" s="332">
        <f>'- 3 -'!F35</f>
        <v>140813326.54000002</v>
      </c>
      <c r="E35" s="332">
        <f>ROUND(D35/'- 7 -'!F35,0)</f>
        <v>8380</v>
      </c>
    </row>
    <row r="36" spans="1:5" ht="13.5" customHeight="1">
      <c r="A36" s="25" t="s">
        <v>269</v>
      </c>
      <c r="B36" s="43">
        <v>17233043</v>
      </c>
      <c r="C36" s="43">
        <v>8723</v>
      </c>
      <c r="D36" s="26">
        <f>'- 3 -'!F36</f>
        <v>17800075</v>
      </c>
      <c r="E36" s="26">
        <f>ROUND(D36/'- 7 -'!F36,0)</f>
        <v>9180</v>
      </c>
    </row>
    <row r="37" spans="1:5" ht="13.5" customHeight="1">
      <c r="A37" s="331" t="s">
        <v>270</v>
      </c>
      <c r="B37" s="332">
        <v>27531711</v>
      </c>
      <c r="C37" s="332">
        <v>8152</v>
      </c>
      <c r="D37" s="332">
        <f>'- 3 -'!F37</f>
        <v>29566760</v>
      </c>
      <c r="E37" s="332">
        <f>ROUND(D37/'- 7 -'!F37,0)</f>
        <v>8801</v>
      </c>
    </row>
    <row r="38" spans="1:5" ht="13.5" customHeight="1">
      <c r="A38" s="25" t="s">
        <v>271</v>
      </c>
      <c r="B38" s="26">
        <v>69075869</v>
      </c>
      <c r="C38" s="26">
        <v>7973</v>
      </c>
      <c r="D38" s="26">
        <f>'- 3 -'!F38</f>
        <v>73074065</v>
      </c>
      <c r="E38" s="26">
        <f>ROUND(D38/'- 7 -'!F38,0)</f>
        <v>8345</v>
      </c>
    </row>
    <row r="39" spans="1:5" ht="13.5" customHeight="1">
      <c r="A39" s="331" t="s">
        <v>272</v>
      </c>
      <c r="B39" s="332">
        <v>15968271</v>
      </c>
      <c r="C39" s="332">
        <v>9234</v>
      </c>
      <c r="D39" s="332">
        <f>'- 3 -'!F39</f>
        <v>16295140</v>
      </c>
      <c r="E39" s="332">
        <f>ROUND(D39/'- 7 -'!F39,0)</f>
        <v>9846</v>
      </c>
    </row>
    <row r="40" spans="1:5" ht="13.5" customHeight="1">
      <c r="A40" s="25" t="s">
        <v>273</v>
      </c>
      <c r="B40" s="43">
        <v>72374478</v>
      </c>
      <c r="C40" s="43">
        <v>8157</v>
      </c>
      <c r="D40" s="26">
        <f>'- 3 -'!F40</f>
        <v>75769362</v>
      </c>
      <c r="E40" s="26">
        <f>ROUND(D40/'- 7 -'!F40,0)</f>
        <v>8723</v>
      </c>
    </row>
    <row r="41" spans="1:5" ht="13.5" customHeight="1">
      <c r="A41" s="331" t="s">
        <v>450</v>
      </c>
      <c r="B41" s="332">
        <v>42719809</v>
      </c>
      <c r="C41" s="332">
        <v>9011</v>
      </c>
      <c r="D41" s="332">
        <f>'- 3 -'!F41</f>
        <v>45546686</v>
      </c>
      <c r="E41" s="332">
        <f>ROUND(D41/'- 7 -'!F41,0)</f>
        <v>9737</v>
      </c>
    </row>
    <row r="42" spans="1:5" ht="13.5" customHeight="1">
      <c r="A42" s="25" t="s">
        <v>275</v>
      </c>
      <c r="B42" s="26">
        <v>16153865</v>
      </c>
      <c r="C42" s="26">
        <v>9156</v>
      </c>
      <c r="D42" s="26">
        <f>'- 3 -'!F42</f>
        <v>16451255</v>
      </c>
      <c r="E42" s="26">
        <f>ROUND(D42/'- 7 -'!F42,0)</f>
        <v>9520</v>
      </c>
    </row>
    <row r="43" spans="1:5" ht="13.5" customHeight="1">
      <c r="A43" s="331" t="s">
        <v>276</v>
      </c>
      <c r="B43" s="332">
        <v>9401230</v>
      </c>
      <c r="C43" s="332">
        <v>8374</v>
      </c>
      <c r="D43" s="332">
        <f>'- 3 -'!F43</f>
        <v>10009638</v>
      </c>
      <c r="E43" s="332">
        <f>ROUND(D43/'- 7 -'!F43,0)</f>
        <v>9187</v>
      </c>
    </row>
    <row r="44" spans="1:5" ht="13.5" customHeight="1">
      <c r="A44" s="25" t="s">
        <v>277</v>
      </c>
      <c r="B44" s="43">
        <v>6933414</v>
      </c>
      <c r="C44" s="43">
        <v>8889</v>
      </c>
      <c r="D44" s="26">
        <f>'- 3 -'!F44</f>
        <v>7723870</v>
      </c>
      <c r="E44" s="26">
        <f>ROUND(D44/'- 7 -'!F44,0)</f>
        <v>9448</v>
      </c>
    </row>
    <row r="45" spans="1:5" ht="13.5" customHeight="1">
      <c r="A45" s="331" t="s">
        <v>278</v>
      </c>
      <c r="B45" s="332">
        <v>10797352</v>
      </c>
      <c r="C45" s="332">
        <v>7232</v>
      </c>
      <c r="D45" s="332">
        <f>'- 3 -'!F45</f>
        <v>11181783.999999998</v>
      </c>
      <c r="E45" s="332">
        <f>ROUND(D45/'- 7 -'!F45,0)</f>
        <v>7576</v>
      </c>
    </row>
    <row r="46" spans="1:5" ht="13.5" customHeight="1">
      <c r="A46" s="25" t="s">
        <v>279</v>
      </c>
      <c r="B46" s="26">
        <v>273887555</v>
      </c>
      <c r="C46" s="26">
        <v>8968</v>
      </c>
      <c r="D46" s="26">
        <f>'- 3 -'!F46</f>
        <v>283509752</v>
      </c>
      <c r="E46" s="26">
        <f>ROUND(D46/'- 7 -'!F46,0)</f>
        <v>9379</v>
      </c>
    </row>
    <row r="47" spans="1:6" ht="4.5" customHeight="1">
      <c r="A47"/>
      <c r="B47"/>
      <c r="C47"/>
      <c r="D47"/>
      <c r="E47"/>
      <c r="F47"/>
    </row>
    <row r="48" spans="1:6" ht="13.5" customHeight="1">
      <c r="A48" s="333" t="s">
        <v>280</v>
      </c>
      <c r="B48" s="334">
        <v>1500199795</v>
      </c>
      <c r="C48" s="334">
        <v>8528</v>
      </c>
      <c r="D48" s="334">
        <f>SUM(D11:D46)</f>
        <v>1565008219.99</v>
      </c>
      <c r="E48" s="334">
        <f>ROUND(D48/'- 7 -'!F48,0)</f>
        <v>9010</v>
      </c>
      <c r="F48" s="323"/>
    </row>
    <row r="49" spans="1:5" ht="4.5" customHeight="1">
      <c r="A49" s="27" t="s">
        <v>32</v>
      </c>
      <c r="B49" s="28"/>
      <c r="C49" s="28"/>
      <c r="D49" s="28"/>
      <c r="E49" s="28"/>
    </row>
    <row r="50" spans="1:5" ht="13.5" customHeight="1">
      <c r="A50" s="25" t="s">
        <v>281</v>
      </c>
      <c r="B50" s="43">
        <v>2543092</v>
      </c>
      <c r="C50" s="43">
        <v>11139</v>
      </c>
      <c r="D50" s="26">
        <f>'- 3 -'!F50</f>
        <v>2630922</v>
      </c>
      <c r="E50" s="26">
        <f>ROUND(D50/'- 7 -'!F50,0)</f>
        <v>11524</v>
      </c>
    </row>
    <row r="51" spans="1:5" ht="13.5" customHeight="1">
      <c r="A51" s="331" t="s">
        <v>282</v>
      </c>
      <c r="B51" s="332">
        <v>6922721</v>
      </c>
      <c r="C51" s="332">
        <v>9955</v>
      </c>
      <c r="D51" s="332">
        <f>'- 3 -'!F51</f>
        <v>7127540</v>
      </c>
      <c r="E51" s="332">
        <f>ROUND(D51/'- 7 -'!F51,0)</f>
        <v>10707</v>
      </c>
    </row>
    <row r="52" spans="1:5" ht="49.5" customHeight="1">
      <c r="A52" s="29"/>
      <c r="B52" s="29"/>
      <c r="C52" s="29"/>
      <c r="D52" s="29"/>
      <c r="E52" s="29"/>
    </row>
    <row r="53" spans="1:5" ht="15" customHeight="1">
      <c r="A53" s="126" t="s">
        <v>423</v>
      </c>
      <c r="B53" s="44"/>
      <c r="C53" s="44"/>
      <c r="D53" s="44"/>
      <c r="E53" s="44"/>
    </row>
    <row r="54" spans="1:5" ht="12" customHeight="1">
      <c r="A54" s="30" t="s">
        <v>427</v>
      </c>
      <c r="B54" s="44"/>
      <c r="C54" s="44"/>
      <c r="D54" s="44"/>
      <c r="E54" s="44"/>
    </row>
    <row r="55" spans="1:5" ht="12" customHeight="1">
      <c r="A55" s="30" t="s">
        <v>400</v>
      </c>
      <c r="B55" s="44"/>
      <c r="C55" s="44"/>
      <c r="D55" s="44"/>
      <c r="E55" s="44"/>
    </row>
    <row r="56" ht="12">
      <c r="A56" s="126"/>
    </row>
  </sheetData>
  <mergeCells count="1">
    <mergeCell ref="B2:D3"/>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G51"/>
  <sheetViews>
    <sheetView showGridLines="0" showZeros="0" workbookViewId="0" topLeftCell="A1">
      <selection activeCell="A1" sqref="A1"/>
    </sheetView>
  </sheetViews>
  <sheetFormatPr defaultColWidth="15.83203125" defaultRowHeight="12"/>
  <cols>
    <col min="1" max="1" width="34.83203125" style="1" customWidth="1"/>
    <col min="2" max="2" width="19.83203125" style="1" customWidth="1"/>
    <col min="3" max="3" width="12.83203125" style="1" customWidth="1"/>
    <col min="4" max="4" width="19.83203125" style="1" customWidth="1"/>
    <col min="5" max="5" width="12.83203125" style="1" customWidth="1"/>
    <col min="6" max="6" width="19.83203125" style="1" customWidth="1"/>
    <col min="7" max="7" width="12.83203125" style="1" customWidth="1"/>
    <col min="8" max="16384" width="15.83203125" style="1" customWidth="1"/>
  </cols>
  <sheetData>
    <row r="1" spans="1:7" ht="6.75" customHeight="1">
      <c r="A1" s="5"/>
      <c r="B1" s="6"/>
      <c r="C1" s="6"/>
      <c r="D1" s="6"/>
      <c r="E1" s="6"/>
      <c r="F1" s="6"/>
      <c r="G1" s="6"/>
    </row>
    <row r="2" spans="1:7" ht="15.75" customHeight="1">
      <c r="A2" s="154"/>
      <c r="B2" s="7" t="s">
        <v>528</v>
      </c>
      <c r="C2" s="8"/>
      <c r="D2" s="8"/>
      <c r="E2" s="8"/>
      <c r="F2" s="8"/>
      <c r="G2" s="496" t="s">
        <v>493</v>
      </c>
    </row>
    <row r="3" spans="1:7" ht="15.75" customHeight="1">
      <c r="A3" s="156"/>
      <c r="B3" s="9" t="str">
        <f>OPYEAR</f>
        <v>OPERATING FUND 2006/2007 ACTUAL</v>
      </c>
      <c r="C3" s="10"/>
      <c r="D3" s="10"/>
      <c r="E3" s="10"/>
      <c r="F3" s="10"/>
      <c r="G3" s="83"/>
    </row>
    <row r="4" spans="2:7" ht="15.75" customHeight="1">
      <c r="B4" s="6"/>
      <c r="C4" s="6"/>
      <c r="D4" s="6"/>
      <c r="E4" s="6"/>
      <c r="F4" s="6"/>
      <c r="G4" s="6"/>
    </row>
    <row r="5" spans="2:7" ht="15.75" customHeight="1">
      <c r="B5" s="6"/>
      <c r="C5" s="6"/>
      <c r="D5" s="6"/>
      <c r="E5" s="6"/>
      <c r="F5" s="6"/>
      <c r="G5" s="6"/>
    </row>
    <row r="6" spans="2:7" ht="15.75" customHeight="1">
      <c r="B6" s="186" t="s">
        <v>50</v>
      </c>
      <c r="C6" s="187"/>
      <c r="D6" s="187"/>
      <c r="E6" s="187"/>
      <c r="F6" s="188"/>
      <c r="G6" s="189"/>
    </row>
    <row r="7" spans="2:7" ht="15.75" customHeight="1">
      <c r="B7" s="589" t="s">
        <v>494</v>
      </c>
      <c r="C7" s="590"/>
      <c r="D7" s="362" t="s">
        <v>496</v>
      </c>
      <c r="E7" s="362"/>
      <c r="F7" s="359" t="s">
        <v>584</v>
      </c>
      <c r="G7" s="360"/>
    </row>
    <row r="8" spans="1:7" ht="15.75" customHeight="1">
      <c r="A8" s="74"/>
      <c r="B8" s="591" t="s">
        <v>495</v>
      </c>
      <c r="C8" s="592"/>
      <c r="D8" s="346" t="s">
        <v>156</v>
      </c>
      <c r="E8" s="346"/>
      <c r="F8" s="345" t="s">
        <v>585</v>
      </c>
      <c r="G8" s="347"/>
    </row>
    <row r="9" spans="1:7" ht="15.75" customHeight="1">
      <c r="A9" s="41" t="s">
        <v>108</v>
      </c>
      <c r="B9" s="190" t="s">
        <v>109</v>
      </c>
      <c r="C9" s="190" t="s">
        <v>110</v>
      </c>
      <c r="D9" s="193" t="s">
        <v>109</v>
      </c>
      <c r="E9" s="190" t="s">
        <v>110</v>
      </c>
      <c r="F9" s="193" t="s">
        <v>109</v>
      </c>
      <c r="G9" s="190" t="s">
        <v>110</v>
      </c>
    </row>
    <row r="10" ht="4.5" customHeight="1">
      <c r="A10" s="4"/>
    </row>
    <row r="11" spans="1:7" ht="13.5" customHeight="1">
      <c r="A11" s="331" t="s">
        <v>245</v>
      </c>
      <c r="B11" s="332">
        <v>22224</v>
      </c>
      <c r="C11" s="338">
        <f>B11/'- 3 -'!D11*100</f>
        <v>0.18408816851806015</v>
      </c>
      <c r="D11" s="332">
        <v>0</v>
      </c>
      <c r="E11" s="338">
        <f>D11/'- 3 -'!D11*100</f>
        <v>0</v>
      </c>
      <c r="F11" s="332">
        <v>197704</v>
      </c>
      <c r="G11" s="338">
        <f>F11/'- 3 -'!D11*100</f>
        <v>1.63764251569</v>
      </c>
    </row>
    <row r="12" spans="1:7" ht="13.5" customHeight="1">
      <c r="A12" s="25" t="s">
        <v>246</v>
      </c>
      <c r="B12" s="26">
        <v>64368</v>
      </c>
      <c r="C12" s="78">
        <f>B12/'- 3 -'!D12*100</f>
        <v>0.2926207851616837</v>
      </c>
      <c r="D12" s="26">
        <v>0</v>
      </c>
      <c r="E12" s="78">
        <f>D12/'- 3 -'!D12*100</f>
        <v>0</v>
      </c>
      <c r="F12" s="26">
        <v>359732</v>
      </c>
      <c r="G12" s="78">
        <f>F12/'- 3 -'!D12*100</f>
        <v>1.6353632284331159</v>
      </c>
    </row>
    <row r="13" spans="1:7" ht="13.5" customHeight="1">
      <c r="A13" s="331" t="s">
        <v>247</v>
      </c>
      <c r="B13" s="332">
        <v>10245</v>
      </c>
      <c r="C13" s="338">
        <f>B13/'- 3 -'!D13*100</f>
        <v>0.019080632723838264</v>
      </c>
      <c r="D13" s="332">
        <v>0</v>
      </c>
      <c r="E13" s="338">
        <f>D13/'- 3 -'!D13*100</f>
        <v>0</v>
      </c>
      <c r="F13" s="332">
        <v>915176</v>
      </c>
      <c r="G13" s="338">
        <f>F13/'- 3 -'!D13*100</f>
        <v>1.704454576249039</v>
      </c>
    </row>
    <row r="14" spans="1:7" ht="13.5" customHeight="1">
      <c r="A14" s="25" t="s">
        <v>283</v>
      </c>
      <c r="B14" s="26">
        <v>136044</v>
      </c>
      <c r="C14" s="78">
        <f>B14/'- 3 -'!D14*100</f>
        <v>0.27695619756265766</v>
      </c>
      <c r="D14" s="26">
        <v>39245</v>
      </c>
      <c r="E14" s="78">
        <f>D14/'- 3 -'!D14*100</f>
        <v>0.07989434281075607</v>
      </c>
      <c r="F14" s="26">
        <v>715797</v>
      </c>
      <c r="G14" s="78">
        <f>F14/'- 3 -'!D14*100</f>
        <v>1.4572080749372087</v>
      </c>
    </row>
    <row r="15" spans="1:7" ht="13.5" customHeight="1">
      <c r="A15" s="331" t="s">
        <v>248</v>
      </c>
      <c r="B15" s="332">
        <v>32447</v>
      </c>
      <c r="C15" s="338">
        <f>B15/'- 3 -'!D15*100</f>
        <v>0.22944711568209197</v>
      </c>
      <c r="D15" s="332">
        <v>0</v>
      </c>
      <c r="E15" s="338">
        <f>D15/'- 3 -'!D15*100</f>
        <v>0</v>
      </c>
      <c r="F15" s="332">
        <v>221209</v>
      </c>
      <c r="G15" s="338">
        <f>F15/'- 3 -'!D15*100</f>
        <v>1.564266866364221</v>
      </c>
    </row>
    <row r="16" spans="1:7" ht="13.5" customHeight="1">
      <c r="A16" s="25" t="s">
        <v>249</v>
      </c>
      <c r="B16" s="26">
        <v>42090</v>
      </c>
      <c r="C16" s="78">
        <f>B16/'- 3 -'!D16*100</f>
        <v>0.37859456482445425</v>
      </c>
      <c r="D16" s="26">
        <v>32487</v>
      </c>
      <c r="E16" s="78">
        <f>D16/'- 3 -'!D16*100</f>
        <v>0.2922167172119754</v>
      </c>
      <c r="F16" s="26">
        <v>180406</v>
      </c>
      <c r="G16" s="78">
        <f>F16/'- 3 -'!D16*100</f>
        <v>1.6227306025592896</v>
      </c>
    </row>
    <row r="17" spans="1:7" ht="13.5" customHeight="1">
      <c r="A17" s="331" t="s">
        <v>250</v>
      </c>
      <c r="B17" s="332">
        <v>81232</v>
      </c>
      <c r="C17" s="338">
        <f>B17/'- 3 -'!D17*100</f>
        <v>0.6082320530474911</v>
      </c>
      <c r="D17" s="332">
        <v>0</v>
      </c>
      <c r="E17" s="338">
        <f>D17/'- 3 -'!D17*100</f>
        <v>0</v>
      </c>
      <c r="F17" s="332">
        <v>211737</v>
      </c>
      <c r="G17" s="338">
        <f>F17/'- 3 -'!D17*100</f>
        <v>1.5854002143997021</v>
      </c>
    </row>
    <row r="18" spans="1:7" ht="13.5" customHeight="1">
      <c r="A18" s="25" t="s">
        <v>251</v>
      </c>
      <c r="B18" s="26">
        <v>333907</v>
      </c>
      <c r="C18" s="78">
        <f>B18/'- 3 -'!D18*100</f>
        <v>0.3838523297359188</v>
      </c>
      <c r="D18" s="26">
        <v>0</v>
      </c>
      <c r="E18" s="78">
        <f>D18/'- 3 -'!D18*100</f>
        <v>0</v>
      </c>
      <c r="F18" s="26">
        <v>1256434</v>
      </c>
      <c r="G18" s="78">
        <f>F18/'- 3 -'!D18*100</f>
        <v>1.4443695941068004</v>
      </c>
    </row>
    <row r="19" spans="1:7" ht="13.5" customHeight="1">
      <c r="A19" s="331" t="s">
        <v>252</v>
      </c>
      <c r="B19" s="332">
        <v>81200</v>
      </c>
      <c r="C19" s="338">
        <f>B19/'- 3 -'!D19*100</f>
        <v>0.32790379302712586</v>
      </c>
      <c r="D19" s="332">
        <v>0</v>
      </c>
      <c r="E19" s="338">
        <f>D19/'- 3 -'!D19*100</f>
        <v>0</v>
      </c>
      <c r="F19" s="332">
        <v>407004</v>
      </c>
      <c r="G19" s="338">
        <f>F19/'- 3 -'!D19*100</f>
        <v>1.6435733420838954</v>
      </c>
    </row>
    <row r="20" spans="1:7" ht="13.5" customHeight="1">
      <c r="A20" s="25" t="s">
        <v>253</v>
      </c>
      <c r="B20" s="26">
        <v>176548</v>
      </c>
      <c r="C20" s="78">
        <f>B20/'- 3 -'!D20*100</f>
        <v>0.3827213249058393</v>
      </c>
      <c r="D20" s="26">
        <v>0</v>
      </c>
      <c r="E20" s="78">
        <f>D20/'- 3 -'!D20*100</f>
        <v>0</v>
      </c>
      <c r="F20" s="26">
        <v>734363</v>
      </c>
      <c r="G20" s="78">
        <f>F20/'- 3 -'!D20*100</f>
        <v>1.5919544844565041</v>
      </c>
    </row>
    <row r="21" spans="1:7" ht="13.5" customHeight="1">
      <c r="A21" s="331" t="s">
        <v>254</v>
      </c>
      <c r="B21" s="332">
        <v>44544</v>
      </c>
      <c r="C21" s="338">
        <f>B21/'- 3 -'!D21*100</f>
        <v>0.16834002690024047</v>
      </c>
      <c r="D21" s="332">
        <v>0</v>
      </c>
      <c r="E21" s="338">
        <f>D21/'- 3 -'!D21*100</f>
        <v>0</v>
      </c>
      <c r="F21" s="332">
        <v>438137</v>
      </c>
      <c r="G21" s="338">
        <f>F21/'- 3 -'!D21*100</f>
        <v>1.6558008792652357</v>
      </c>
    </row>
    <row r="22" spans="1:7" ht="13.5" customHeight="1">
      <c r="A22" s="25" t="s">
        <v>255</v>
      </c>
      <c r="B22" s="26">
        <v>39218</v>
      </c>
      <c r="C22" s="78">
        <f>B22/'- 3 -'!D22*100</f>
        <v>0.2617583516151921</v>
      </c>
      <c r="D22" s="26">
        <v>0</v>
      </c>
      <c r="E22" s="78">
        <f>D22/'- 3 -'!D22*100</f>
        <v>0</v>
      </c>
      <c r="F22" s="26">
        <v>251800</v>
      </c>
      <c r="G22" s="78">
        <f>F22/'- 3 -'!D22*100</f>
        <v>1.6806250430084497</v>
      </c>
    </row>
    <row r="23" spans="1:7" ht="13.5" customHeight="1">
      <c r="A23" s="331" t="s">
        <v>256</v>
      </c>
      <c r="B23" s="332">
        <v>11089</v>
      </c>
      <c r="C23" s="338">
        <f>B23/'- 3 -'!D23*100</f>
        <v>0.08854493341962386</v>
      </c>
      <c r="D23" s="332">
        <v>0</v>
      </c>
      <c r="E23" s="338">
        <f>D23/'- 3 -'!D23*100</f>
        <v>0</v>
      </c>
      <c r="F23" s="332">
        <v>193253</v>
      </c>
      <c r="G23" s="338">
        <f>F23/'- 3 -'!D23*100</f>
        <v>1.5431124554191151</v>
      </c>
    </row>
    <row r="24" spans="1:7" ht="13.5" customHeight="1">
      <c r="A24" s="25" t="s">
        <v>257</v>
      </c>
      <c r="B24" s="26">
        <v>64755</v>
      </c>
      <c r="C24" s="78">
        <f>B24/'- 3 -'!D24*100</f>
        <v>0.16197379964044842</v>
      </c>
      <c r="D24" s="26">
        <v>0</v>
      </c>
      <c r="E24" s="78">
        <f>D24/'- 3 -'!D24*100</f>
        <v>0</v>
      </c>
      <c r="F24" s="26">
        <v>673872</v>
      </c>
      <c r="G24" s="78">
        <f>F24/'- 3 -'!D24*100</f>
        <v>1.6855780759988923</v>
      </c>
    </row>
    <row r="25" spans="1:7" ht="13.5" customHeight="1">
      <c r="A25" s="331" t="s">
        <v>258</v>
      </c>
      <c r="B25" s="332">
        <v>9815</v>
      </c>
      <c r="C25" s="338">
        <f>B25/'- 3 -'!D25*100</f>
        <v>0.007880782002892195</v>
      </c>
      <c r="D25" s="332">
        <v>0</v>
      </c>
      <c r="E25" s="338">
        <f>D25/'- 3 -'!D25*100</f>
        <v>0</v>
      </c>
      <c r="F25" s="332">
        <v>2043275</v>
      </c>
      <c r="G25" s="338">
        <f>F25/'- 3 -'!D25*100</f>
        <v>1.6406118030524248</v>
      </c>
    </row>
    <row r="26" spans="1:7" ht="13.5" customHeight="1">
      <c r="A26" s="25" t="s">
        <v>259</v>
      </c>
      <c r="B26" s="26">
        <v>126560</v>
      </c>
      <c r="C26" s="78">
        <f>B26/'- 3 -'!D26*100</f>
        <v>0.41919539987369153</v>
      </c>
      <c r="D26" s="26">
        <v>0</v>
      </c>
      <c r="E26" s="78">
        <f>D26/'- 3 -'!D26*100</f>
        <v>0</v>
      </c>
      <c r="F26" s="26">
        <v>482031</v>
      </c>
      <c r="G26" s="78">
        <f>F26/'- 3 -'!D26*100</f>
        <v>1.5965959054718346</v>
      </c>
    </row>
    <row r="27" spans="1:7" ht="13.5" customHeight="1">
      <c r="A27" s="331" t="s">
        <v>260</v>
      </c>
      <c r="B27" s="332">
        <v>15324</v>
      </c>
      <c r="C27" s="338">
        <f>B27/'- 3 -'!D27*100</f>
        <v>0.048357831289485995</v>
      </c>
      <c r="D27" s="332">
        <v>0</v>
      </c>
      <c r="E27" s="338">
        <f>D27/'- 3 -'!D27*100</f>
        <v>0</v>
      </c>
      <c r="F27" s="332">
        <v>511862</v>
      </c>
      <c r="G27" s="338">
        <f>F27/'- 3 -'!D27*100</f>
        <v>1.6152790550443017</v>
      </c>
    </row>
    <row r="28" spans="1:7" ht="13.5" customHeight="1">
      <c r="A28" s="25" t="s">
        <v>261</v>
      </c>
      <c r="B28" s="26">
        <v>48341</v>
      </c>
      <c r="C28" s="78">
        <f>B28/'- 3 -'!D28*100</f>
        <v>0.2771205330143246</v>
      </c>
      <c r="D28" s="26">
        <v>0</v>
      </c>
      <c r="E28" s="78">
        <f>D28/'- 3 -'!D28*100</f>
        <v>0</v>
      </c>
      <c r="F28" s="26">
        <v>265530</v>
      </c>
      <c r="G28" s="78">
        <f>F28/'- 3 -'!D28*100</f>
        <v>1.5221823117290416</v>
      </c>
    </row>
    <row r="29" spans="1:7" ht="13.5" customHeight="1">
      <c r="A29" s="331" t="s">
        <v>262</v>
      </c>
      <c r="B29" s="332">
        <v>192493</v>
      </c>
      <c r="C29" s="338">
        <f>B29/'- 3 -'!D29*100</f>
        <v>0.16889786075754068</v>
      </c>
      <c r="D29" s="332">
        <v>0</v>
      </c>
      <c r="E29" s="338">
        <f>D29/'- 3 -'!D29*100</f>
        <v>0</v>
      </c>
      <c r="F29" s="332">
        <v>1945474</v>
      </c>
      <c r="G29" s="338">
        <f>F29/'- 3 -'!D29*100</f>
        <v>1.7070043937151775</v>
      </c>
    </row>
    <row r="30" spans="1:7" ht="13.5" customHeight="1">
      <c r="A30" s="25" t="s">
        <v>263</v>
      </c>
      <c r="B30" s="26">
        <v>1229</v>
      </c>
      <c r="C30" s="78">
        <f>B30/'- 3 -'!D30*100</f>
        <v>0.010947335566387885</v>
      </c>
      <c r="D30" s="26">
        <v>0</v>
      </c>
      <c r="E30" s="78">
        <f>D30/'- 3 -'!D30*100</f>
        <v>0</v>
      </c>
      <c r="F30" s="26">
        <v>174249</v>
      </c>
      <c r="G30" s="78">
        <f>F30/'- 3 -'!D30*100</f>
        <v>1.5521255289727605</v>
      </c>
    </row>
    <row r="31" spans="1:7" ht="13.5" customHeight="1">
      <c r="A31" s="331" t="s">
        <v>264</v>
      </c>
      <c r="B31" s="332">
        <v>91790</v>
      </c>
      <c r="C31" s="338">
        <f>B31/'- 3 -'!D31*100</f>
        <v>0.33156823165223615</v>
      </c>
      <c r="D31" s="332">
        <v>0</v>
      </c>
      <c r="E31" s="338">
        <f>D31/'- 3 -'!D31*100</f>
        <v>0</v>
      </c>
      <c r="F31" s="332">
        <v>460781</v>
      </c>
      <c r="G31" s="338">
        <f>F31/'- 3 -'!D31*100</f>
        <v>1.6644551841044672</v>
      </c>
    </row>
    <row r="32" spans="1:7" ht="13.5" customHeight="1">
      <c r="A32" s="25" t="s">
        <v>265</v>
      </c>
      <c r="B32" s="26">
        <v>74507</v>
      </c>
      <c r="C32" s="78">
        <f>B32/'- 3 -'!D32*100</f>
        <v>0.3687151296921458</v>
      </c>
      <c r="D32" s="26">
        <v>0</v>
      </c>
      <c r="E32" s="78">
        <f>D32/'- 3 -'!D32*100</f>
        <v>0</v>
      </c>
      <c r="F32" s="26">
        <v>317383</v>
      </c>
      <c r="G32" s="78">
        <f>F32/'- 3 -'!D32*100</f>
        <v>1.5706432148265577</v>
      </c>
    </row>
    <row r="33" spans="1:7" ht="13.5" customHeight="1">
      <c r="A33" s="331" t="s">
        <v>266</v>
      </c>
      <c r="B33" s="332">
        <v>58397</v>
      </c>
      <c r="C33" s="338">
        <f>B33/'- 3 -'!D33*100</f>
        <v>0.2567206793987029</v>
      </c>
      <c r="D33" s="332">
        <v>0</v>
      </c>
      <c r="E33" s="338">
        <f>D33/'- 3 -'!D33*100</f>
        <v>0</v>
      </c>
      <c r="F33" s="332">
        <v>351042</v>
      </c>
      <c r="G33" s="338">
        <f>F33/'- 3 -'!D33*100</f>
        <v>1.5432255207883876</v>
      </c>
    </row>
    <row r="34" spans="1:7" ht="13.5" customHeight="1">
      <c r="A34" s="25" t="s">
        <v>267</v>
      </c>
      <c r="B34" s="26">
        <v>46036</v>
      </c>
      <c r="C34" s="78">
        <f>B34/'- 3 -'!D34*100</f>
        <v>0.2395802921322469</v>
      </c>
      <c r="D34" s="26">
        <v>0</v>
      </c>
      <c r="E34" s="78">
        <f>D34/'- 3 -'!D34*100</f>
        <v>0</v>
      </c>
      <c r="F34" s="26">
        <v>306924</v>
      </c>
      <c r="G34" s="78">
        <f>F34/'- 3 -'!D34*100</f>
        <v>1.5972921535841025</v>
      </c>
    </row>
    <row r="35" spans="1:7" ht="13.5" customHeight="1">
      <c r="A35" s="331" t="s">
        <v>268</v>
      </c>
      <c r="B35" s="332">
        <v>74887</v>
      </c>
      <c r="C35" s="338">
        <f>B35/'- 3 -'!D35*100</f>
        <v>0.052530837230613886</v>
      </c>
      <c r="D35" s="332">
        <v>0</v>
      </c>
      <c r="E35" s="338">
        <f>D35/'- 3 -'!D35*100</f>
        <v>0</v>
      </c>
      <c r="F35" s="332">
        <v>2363002</v>
      </c>
      <c r="G35" s="338">
        <f>F35/'- 3 -'!D35*100</f>
        <v>1.6575703852152588</v>
      </c>
    </row>
    <row r="36" spans="1:7" ht="13.5" customHeight="1">
      <c r="A36" s="25" t="s">
        <v>269</v>
      </c>
      <c r="B36" s="26">
        <v>74828</v>
      </c>
      <c r="C36" s="78">
        <f>B36/'- 3 -'!D36*100</f>
        <v>0.4169662025455623</v>
      </c>
      <c r="D36" s="26">
        <v>0</v>
      </c>
      <c r="E36" s="78">
        <f>D36/'- 3 -'!D36*100</f>
        <v>0</v>
      </c>
      <c r="F36" s="26">
        <v>279015</v>
      </c>
      <c r="G36" s="78">
        <f>F36/'- 3 -'!D36*100</f>
        <v>1.55476325711298</v>
      </c>
    </row>
    <row r="37" spans="1:7" ht="13.5" customHeight="1">
      <c r="A37" s="331" t="s">
        <v>270</v>
      </c>
      <c r="B37" s="332">
        <v>23737</v>
      </c>
      <c r="C37" s="338">
        <f>B37/'- 3 -'!D37*100</f>
        <v>0.07952681261714642</v>
      </c>
      <c r="D37" s="332">
        <v>0</v>
      </c>
      <c r="E37" s="338">
        <f>D37/'- 3 -'!D37*100</f>
        <v>0</v>
      </c>
      <c r="F37" s="332">
        <v>491985</v>
      </c>
      <c r="G37" s="338">
        <f>F37/'- 3 -'!D37*100</f>
        <v>1.6483127145573064</v>
      </c>
    </row>
    <row r="38" spans="1:7" ht="13.5" customHeight="1">
      <c r="A38" s="25" t="s">
        <v>271</v>
      </c>
      <c r="B38" s="26">
        <v>115941</v>
      </c>
      <c r="C38" s="78">
        <f>B38/'- 3 -'!D38*100</f>
        <v>0.15626617158635117</v>
      </c>
      <c r="D38" s="26">
        <v>0</v>
      </c>
      <c r="E38" s="78">
        <f>D38/'- 3 -'!D38*100</f>
        <v>0</v>
      </c>
      <c r="F38" s="26">
        <v>1245947</v>
      </c>
      <c r="G38" s="78">
        <f>F38/'- 3 -'!D38*100</f>
        <v>1.6792969500823651</v>
      </c>
    </row>
    <row r="39" spans="1:7" ht="13.5" customHeight="1">
      <c r="A39" s="331" t="s">
        <v>272</v>
      </c>
      <c r="B39" s="332">
        <v>51325</v>
      </c>
      <c r="C39" s="338">
        <f>B39/'- 3 -'!D39*100</f>
        <v>0.3140062127039236</v>
      </c>
      <c r="D39" s="332">
        <v>0</v>
      </c>
      <c r="E39" s="338">
        <f>D39/'- 3 -'!D39*100</f>
        <v>0</v>
      </c>
      <c r="F39" s="332">
        <v>258138</v>
      </c>
      <c r="G39" s="338">
        <f>F39/'- 3 -'!D39*100</f>
        <v>1.5792875934722925</v>
      </c>
    </row>
    <row r="40" spans="1:7" ht="13.5" customHeight="1">
      <c r="A40" s="25" t="s">
        <v>273</v>
      </c>
      <c r="B40" s="26">
        <v>62529</v>
      </c>
      <c r="C40" s="78">
        <f>B40/'- 3 -'!D40*100</f>
        <v>0.08182976425270105</v>
      </c>
      <c r="D40" s="26">
        <v>0</v>
      </c>
      <c r="E40" s="78">
        <f>D40/'- 3 -'!D40*100</f>
        <v>0</v>
      </c>
      <c r="F40" s="26">
        <v>1313979</v>
      </c>
      <c r="G40" s="78">
        <f>F40/'- 3 -'!D40*100</f>
        <v>1.7195635913416156</v>
      </c>
    </row>
    <row r="41" spans="1:7" ht="13.5" customHeight="1">
      <c r="A41" s="331" t="s">
        <v>274</v>
      </c>
      <c r="B41" s="332">
        <v>127466</v>
      </c>
      <c r="C41" s="338">
        <f>B41/'- 3 -'!D41*100</f>
        <v>0.2734652602726736</v>
      </c>
      <c r="D41" s="332">
        <v>0</v>
      </c>
      <c r="E41" s="338">
        <f>D41/'- 3 -'!D41*100</f>
        <v>0</v>
      </c>
      <c r="F41" s="332">
        <v>738519</v>
      </c>
      <c r="G41" s="338">
        <f>F41/'- 3 -'!D41*100</f>
        <v>1.5844169468824207</v>
      </c>
    </row>
    <row r="42" spans="1:7" ht="13.5" customHeight="1">
      <c r="A42" s="25" t="s">
        <v>275</v>
      </c>
      <c r="B42" s="26">
        <v>0</v>
      </c>
      <c r="C42" s="78">
        <f>B42/'- 3 -'!D42*100</f>
        <v>0</v>
      </c>
      <c r="D42" s="26">
        <v>0</v>
      </c>
      <c r="E42" s="78">
        <f>D42/'- 3 -'!D42*100</f>
        <v>0</v>
      </c>
      <c r="F42" s="26">
        <v>261928</v>
      </c>
      <c r="G42" s="78">
        <f>F42/'- 3 -'!D42*100</f>
        <v>1.5858140335048683</v>
      </c>
    </row>
    <row r="43" spans="1:7" ht="13.5" customHeight="1">
      <c r="A43" s="331" t="s">
        <v>276</v>
      </c>
      <c r="B43" s="332">
        <v>21657</v>
      </c>
      <c r="C43" s="338">
        <f>B43/'- 3 -'!D43*100</f>
        <v>0.21269313586600244</v>
      </c>
      <c r="D43" s="332">
        <v>0</v>
      </c>
      <c r="E43" s="338">
        <f>D43/'- 3 -'!D43*100</f>
        <v>0</v>
      </c>
      <c r="F43" s="332">
        <v>157359</v>
      </c>
      <c r="G43" s="338">
        <f>F43/'- 3 -'!D43*100</f>
        <v>1.5454208416095616</v>
      </c>
    </row>
    <row r="44" spans="1:7" ht="13.5" customHeight="1">
      <c r="A44" s="25" t="s">
        <v>277</v>
      </c>
      <c r="B44" s="26">
        <v>0</v>
      </c>
      <c r="C44" s="78">
        <f>B44/'- 3 -'!D44*100</f>
        <v>0</v>
      </c>
      <c r="D44" s="26">
        <v>0</v>
      </c>
      <c r="E44" s="78">
        <f>D44/'- 3 -'!D44*100</f>
        <v>0</v>
      </c>
      <c r="F44" s="26">
        <v>117378</v>
      </c>
      <c r="G44" s="78">
        <f>F44/'- 3 -'!D44*100</f>
        <v>1.51835326879683</v>
      </c>
    </row>
    <row r="45" spans="1:7" ht="13.5" customHeight="1">
      <c r="A45" s="331" t="s">
        <v>278</v>
      </c>
      <c r="B45" s="332">
        <v>32433.85</v>
      </c>
      <c r="C45" s="338">
        <f>B45/'- 3 -'!D45*100</f>
        <v>0.2783734094237446</v>
      </c>
      <c r="D45" s="332">
        <v>0</v>
      </c>
      <c r="E45" s="338">
        <f>D45/'- 3 -'!D45*100</f>
        <v>0</v>
      </c>
      <c r="F45" s="332">
        <v>199686.93</v>
      </c>
      <c r="G45" s="338">
        <f>F45/'- 3 -'!D45*100</f>
        <v>1.7138739780032477</v>
      </c>
    </row>
    <row r="46" spans="1:7" ht="13.5" customHeight="1">
      <c r="A46" s="25" t="s">
        <v>279</v>
      </c>
      <c r="B46" s="26">
        <v>205601</v>
      </c>
      <c r="C46" s="78">
        <f>B46/'- 3 -'!D46*100</f>
        <v>0.07080720067569853</v>
      </c>
      <c r="D46" s="26">
        <v>0</v>
      </c>
      <c r="E46" s="78">
        <f>D46/'- 3 -'!D46*100</f>
        <v>0</v>
      </c>
      <c r="F46" s="26">
        <v>4946213</v>
      </c>
      <c r="G46" s="78">
        <f>F46/'- 3 -'!D46*100</f>
        <v>1.703432845539413</v>
      </c>
    </row>
    <row r="47" spans="1:7" ht="4.5" customHeight="1">
      <c r="A47"/>
      <c r="B47" s="28"/>
      <c r="C47"/>
      <c r="D47" s="28"/>
      <c r="E47"/>
      <c r="F47" s="28"/>
      <c r="G47"/>
    </row>
    <row r="48" spans="1:7" ht="13.5" customHeight="1">
      <c r="A48" s="333" t="s">
        <v>280</v>
      </c>
      <c r="B48" s="334">
        <f>SUM(B11:B46)</f>
        <v>2594807.85</v>
      </c>
      <c r="C48" s="341">
        <f>B48/'- 3 -'!D48*100</f>
        <v>0.16354443323284237</v>
      </c>
      <c r="D48" s="334">
        <f>SUM(D11:D46)</f>
        <v>71732</v>
      </c>
      <c r="E48" s="341">
        <f>D48/'- 3 -'!F48*100</f>
        <v>0.0045834903027191995</v>
      </c>
      <c r="F48" s="334">
        <f>SUM(F11:F46)</f>
        <v>25988324.93</v>
      </c>
      <c r="G48" s="341">
        <f>F48/'- 3 -'!D48*100</f>
        <v>1.6379809670098684</v>
      </c>
    </row>
    <row r="49" spans="1:7" ht="4.5" customHeight="1">
      <c r="A49" s="27" t="s">
        <v>32</v>
      </c>
      <c r="B49" s="28"/>
      <c r="C49"/>
      <c r="D49" s="28"/>
      <c r="E49"/>
      <c r="F49" s="28"/>
      <c r="G49"/>
    </row>
    <row r="50" spans="1:7" ht="13.5" customHeight="1">
      <c r="A50" s="25" t="s">
        <v>281</v>
      </c>
      <c r="B50" s="26">
        <v>85</v>
      </c>
      <c r="C50" s="78">
        <f>B50/'- 3 -'!D50*100</f>
        <v>0.0032246781202175177</v>
      </c>
      <c r="D50" s="26">
        <v>0</v>
      </c>
      <c r="E50" s="78">
        <f>D50/'- 3 -'!D50*100</f>
        <v>0</v>
      </c>
      <c r="F50" s="26">
        <v>43360</v>
      </c>
      <c r="G50" s="78">
        <f>F50/'- 3 -'!D50*100</f>
        <v>1.6449652152074303</v>
      </c>
    </row>
    <row r="51" spans="1:7" ht="13.5" customHeight="1">
      <c r="A51" s="331" t="s">
        <v>282</v>
      </c>
      <c r="B51" s="332">
        <v>31275</v>
      </c>
      <c r="C51" s="338">
        <f>B51/'- 3 -'!D51*100</f>
        <v>0.30908001481212233</v>
      </c>
      <c r="D51" s="332">
        <v>0</v>
      </c>
      <c r="E51" s="338">
        <f>D51/'- 3 -'!D51*100</f>
        <v>0</v>
      </c>
      <c r="F51" s="332">
        <v>101998</v>
      </c>
      <c r="G51" s="338">
        <f>F51/'- 3 -'!D51*100</f>
        <v>1.0080109784430649</v>
      </c>
    </row>
    <row r="52" ht="49.5" customHeight="1"/>
  </sheetData>
  <mergeCells count="2">
    <mergeCell ref="B7:C7"/>
    <mergeCell ref="B8:C8"/>
  </mergeCells>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1"/>
  <sheetViews>
    <sheetView showGridLines="0" showZeros="0" workbookViewId="0" topLeftCell="A1">
      <selection activeCell="A1" sqref="A1"/>
    </sheetView>
  </sheetViews>
  <sheetFormatPr defaultColWidth="15.83203125" defaultRowHeight="12"/>
  <cols>
    <col min="1" max="1" width="32.83203125" style="1" customWidth="1"/>
    <col min="2" max="2" width="16.83203125" style="1" customWidth="1"/>
    <col min="3" max="3" width="17.83203125" style="1" customWidth="1"/>
    <col min="4" max="4" width="10.83203125" style="1" customWidth="1"/>
    <col min="5" max="5" width="15.83203125" style="1" customWidth="1"/>
    <col min="6" max="6" width="11.83203125" style="1" customWidth="1"/>
    <col min="7" max="7" width="14.83203125" style="1" customWidth="1"/>
    <col min="8" max="8" width="11.83203125" style="1" customWidth="1"/>
    <col min="9" max="16384" width="15.83203125" style="1" customWidth="1"/>
  </cols>
  <sheetData>
    <row r="1" spans="1:8" ht="6.75" customHeight="1">
      <c r="A1" s="5"/>
      <c r="B1" s="6"/>
      <c r="C1" s="6"/>
      <c r="D1" s="6"/>
      <c r="E1" s="6"/>
      <c r="F1" s="6"/>
      <c r="G1" s="6"/>
      <c r="H1" s="6"/>
    </row>
    <row r="2" spans="1:8" ht="15.75" customHeight="1">
      <c r="A2" s="154"/>
      <c r="B2" s="7" t="s">
        <v>540</v>
      </c>
      <c r="C2" s="8"/>
      <c r="D2" s="8"/>
      <c r="E2" s="8"/>
      <c r="F2" s="81"/>
      <c r="G2" s="81"/>
      <c r="H2" s="81"/>
    </row>
    <row r="3" spans="1:8" ht="15.75" customHeight="1">
      <c r="A3" s="156"/>
      <c r="B3" s="9" t="str">
        <f>OPYEAR</f>
        <v>OPERATING FUND 2006/2007 ACTUAL</v>
      </c>
      <c r="C3" s="10"/>
      <c r="D3" s="10"/>
      <c r="E3" s="10"/>
      <c r="F3" s="83"/>
      <c r="G3" s="83"/>
      <c r="H3" s="83"/>
    </row>
    <row r="4" spans="2:8" ht="15.75" customHeight="1">
      <c r="B4" s="6"/>
      <c r="C4" s="6"/>
      <c r="D4" s="6"/>
      <c r="E4" s="6"/>
      <c r="F4" s="6"/>
      <c r="G4" s="6"/>
      <c r="H4" s="6"/>
    </row>
    <row r="5" spans="2:8" ht="15.75" customHeight="1">
      <c r="B5" s="6"/>
      <c r="C5" s="6"/>
      <c r="D5" s="6"/>
      <c r="E5" s="6"/>
      <c r="F5" s="6"/>
      <c r="G5" s="6"/>
      <c r="H5" s="6"/>
    </row>
    <row r="6" spans="2:8" ht="15.75" customHeight="1">
      <c r="B6" s="359" t="s">
        <v>54</v>
      </c>
      <c r="C6" s="362"/>
      <c r="D6" s="366"/>
      <c r="E6" s="366"/>
      <c r="F6" s="366"/>
      <c r="G6" s="366"/>
      <c r="H6" s="356"/>
    </row>
    <row r="7" spans="2:8" ht="15.75" customHeight="1">
      <c r="B7" s="345" t="s">
        <v>84</v>
      </c>
      <c r="C7" s="346"/>
      <c r="D7" s="358"/>
      <c r="E7" s="358"/>
      <c r="F7" s="358"/>
      <c r="G7" s="358"/>
      <c r="H7" s="367"/>
    </row>
    <row r="8" spans="1:8" ht="15.75" customHeight="1">
      <c r="A8" s="74"/>
      <c r="B8" s="37"/>
      <c r="C8" s="84" t="s">
        <v>209</v>
      </c>
      <c r="D8" s="85" t="s">
        <v>89</v>
      </c>
      <c r="E8" s="184" t="s">
        <v>101</v>
      </c>
      <c r="F8" s="184" t="s">
        <v>102</v>
      </c>
      <c r="G8" s="184" t="s">
        <v>103</v>
      </c>
      <c r="H8" s="184" t="s">
        <v>102</v>
      </c>
    </row>
    <row r="9" spans="1:8" ht="15.75" customHeight="1">
      <c r="A9" s="41" t="s">
        <v>108</v>
      </c>
      <c r="B9" s="86" t="s">
        <v>109</v>
      </c>
      <c r="C9" s="86" t="s">
        <v>115</v>
      </c>
      <c r="D9" s="86" t="s">
        <v>111</v>
      </c>
      <c r="E9" s="86" t="s">
        <v>116</v>
      </c>
      <c r="F9" s="86" t="s">
        <v>117</v>
      </c>
      <c r="G9" s="86" t="s">
        <v>118</v>
      </c>
      <c r="H9" s="86" t="s">
        <v>117</v>
      </c>
    </row>
    <row r="10" ht="4.5" customHeight="1">
      <c r="A10" s="4"/>
    </row>
    <row r="11" spans="1:8" ht="13.5" customHeight="1">
      <c r="A11" s="331" t="s">
        <v>245</v>
      </c>
      <c r="B11" s="332">
        <f>'- 30 -'!D11</f>
        <v>761494</v>
      </c>
      <c r="C11" s="332">
        <v>739</v>
      </c>
      <c r="D11" s="332">
        <f ca="1">IF(AND(CELL("type",C11)="v",C11&gt;0),B11/C11,"")</f>
        <v>1030.4384303112313</v>
      </c>
      <c r="E11" s="332">
        <v>651898</v>
      </c>
      <c r="F11" s="422">
        <f ca="1">IF(AND(CELL("type",E11)="v",E11&gt;0),B11/E11,"")</f>
        <v>1.1681183252594731</v>
      </c>
      <c r="G11" s="332">
        <v>451831</v>
      </c>
      <c r="H11" s="422">
        <f ca="1">IF(AND(CELL("type",G11)="v",G11&gt;0),B11/G11,"")</f>
        <v>1.685351381379321</v>
      </c>
    </row>
    <row r="12" spans="1:8" ht="13.5" customHeight="1">
      <c r="A12" s="25" t="s">
        <v>246</v>
      </c>
      <c r="B12" s="26">
        <f>'- 30 -'!D12</f>
        <v>1435387</v>
      </c>
      <c r="C12" s="26">
        <v>1461</v>
      </c>
      <c r="D12" s="26">
        <f aca="true" ca="1" t="shared" si="0" ref="D12:D46">IF(AND(CELL("type",C12)="v",C12&gt;0),B12/C12,"")</f>
        <v>982.4688569472963</v>
      </c>
      <c r="E12" s="26">
        <v>1145329</v>
      </c>
      <c r="F12" s="423">
        <f aca="true" ca="1" t="shared" si="1" ref="F12:F46">IF(AND(CELL("type",E12)="v",E12&gt;0),B12/E12,"")</f>
        <v>1.2532529954275147</v>
      </c>
      <c r="G12" s="26">
        <v>712159</v>
      </c>
      <c r="H12" s="423">
        <f aca="true" ca="1" t="shared" si="2" ref="H12:H46">IF(AND(CELL("type",G12)="v",G12&gt;0),B12/G12,"")</f>
        <v>2.015542877363061</v>
      </c>
    </row>
    <row r="13" spans="1:8" ht="13.5" customHeight="1">
      <c r="A13" s="331" t="s">
        <v>247</v>
      </c>
      <c r="B13" s="332">
        <f>'- 30 -'!D13</f>
        <v>1242198</v>
      </c>
      <c r="C13" s="332">
        <v>1718</v>
      </c>
      <c r="D13" s="332">
        <f ca="1" t="shared" si="0"/>
        <v>723.0488940628638</v>
      </c>
      <c r="E13" s="332">
        <v>755811</v>
      </c>
      <c r="F13" s="422">
        <f ca="1" t="shared" si="1"/>
        <v>1.6435299301015731</v>
      </c>
      <c r="G13" s="332">
        <v>454167</v>
      </c>
      <c r="H13" s="422">
        <f ca="1" t="shared" si="2"/>
        <v>2.735112854963042</v>
      </c>
    </row>
    <row r="14" spans="1:8" ht="13.5" customHeight="1">
      <c r="A14" s="25" t="s">
        <v>283</v>
      </c>
      <c r="B14" s="26">
        <f>'- 30 -'!D14</f>
        <v>4435776</v>
      </c>
      <c r="C14" s="26">
        <v>3625</v>
      </c>
      <c r="D14" s="26">
        <f ca="1" t="shared" si="0"/>
        <v>1223.6623448275861</v>
      </c>
      <c r="E14" s="26">
        <v>2341632</v>
      </c>
      <c r="F14" s="423">
        <f ca="1" t="shared" si="1"/>
        <v>1.894309609708101</v>
      </c>
      <c r="G14" s="26">
        <v>1418304</v>
      </c>
      <c r="H14" s="423">
        <f ca="1" t="shared" si="2"/>
        <v>3.127521321240016</v>
      </c>
    </row>
    <row r="15" spans="1:8" ht="13.5" customHeight="1">
      <c r="A15" s="331" t="s">
        <v>248</v>
      </c>
      <c r="B15" s="332">
        <f>'- 30 -'!D15</f>
        <v>812946</v>
      </c>
      <c r="C15" s="332">
        <v>1063</v>
      </c>
      <c r="D15" s="332">
        <f ca="1" t="shared" si="0"/>
        <v>764.7657572906867</v>
      </c>
      <c r="E15" s="332">
        <v>630190</v>
      </c>
      <c r="F15" s="422">
        <f ca="1" t="shared" si="1"/>
        <v>1.2900014281407195</v>
      </c>
      <c r="G15" s="332">
        <v>467500</v>
      </c>
      <c r="H15" s="422">
        <f ca="1" t="shared" si="2"/>
        <v>1.7389219251336898</v>
      </c>
    </row>
    <row r="16" spans="1:8" ht="13.5" customHeight="1">
      <c r="A16" s="25" t="s">
        <v>249</v>
      </c>
      <c r="B16" s="26">
        <f>'- 30 -'!D16</f>
        <v>247694</v>
      </c>
      <c r="C16" s="26">
        <v>292</v>
      </c>
      <c r="D16" s="26">
        <f ca="1" t="shared" si="0"/>
        <v>848.2671232876712</v>
      </c>
      <c r="E16" s="26">
        <v>71424</v>
      </c>
      <c r="F16" s="423">
        <f ca="1" t="shared" si="1"/>
        <v>3.467937948028674</v>
      </c>
      <c r="G16" s="26">
        <v>47988</v>
      </c>
      <c r="H16" s="423">
        <f ca="1" t="shared" si="2"/>
        <v>5.161582062182212</v>
      </c>
    </row>
    <row r="17" spans="1:8" ht="13.5" customHeight="1">
      <c r="A17" s="331" t="s">
        <v>250</v>
      </c>
      <c r="B17" s="332">
        <f>'- 30 -'!D17</f>
        <v>1085125</v>
      </c>
      <c r="C17" s="332">
        <v>640</v>
      </c>
      <c r="D17" s="332">
        <f ca="1" t="shared" si="0"/>
        <v>1695.5078125</v>
      </c>
      <c r="E17" s="332">
        <v>1005628</v>
      </c>
      <c r="F17" s="422">
        <f ca="1" t="shared" si="1"/>
        <v>1.079052094810407</v>
      </c>
      <c r="G17" s="332">
        <v>644676</v>
      </c>
      <c r="H17" s="422">
        <f ca="1" t="shared" si="2"/>
        <v>1.6832098604570358</v>
      </c>
    </row>
    <row r="18" spans="1:8" ht="13.5" customHeight="1">
      <c r="A18" s="25" t="s">
        <v>251</v>
      </c>
      <c r="B18" s="26">
        <f>'- 30 -'!D18</f>
        <v>3512873</v>
      </c>
      <c r="C18" s="26">
        <v>4684.3</v>
      </c>
      <c r="D18" s="26">
        <f ca="1" t="shared" si="0"/>
        <v>749.9248553679312</v>
      </c>
      <c r="E18" s="26">
        <v>1040574</v>
      </c>
      <c r="F18" s="423">
        <f ca="1" t="shared" si="1"/>
        <v>3.375899263291222</v>
      </c>
      <c r="G18" s="26">
        <v>952450</v>
      </c>
      <c r="H18" s="423">
        <f ca="1" t="shared" si="2"/>
        <v>3.688249251929235</v>
      </c>
    </row>
    <row r="19" spans="1:8" ht="13.5" customHeight="1">
      <c r="A19" s="331" t="s">
        <v>252</v>
      </c>
      <c r="B19" s="332">
        <f>'- 30 -'!D19</f>
        <v>844355</v>
      </c>
      <c r="C19" s="332">
        <v>2036</v>
      </c>
      <c r="D19" s="332">
        <f ca="1" t="shared" si="0"/>
        <v>414.71267190569745</v>
      </c>
      <c r="E19" s="332">
        <v>523787</v>
      </c>
      <c r="F19" s="422">
        <f ca="1" t="shared" si="1"/>
        <v>1.6120197713956246</v>
      </c>
      <c r="G19" s="332">
        <v>348792.4</v>
      </c>
      <c r="H19" s="422">
        <f ca="1" t="shared" si="2"/>
        <v>2.42079529255798</v>
      </c>
    </row>
    <row r="20" spans="1:8" ht="13.5" customHeight="1">
      <c r="A20" s="25" t="s">
        <v>253</v>
      </c>
      <c r="B20" s="26">
        <f>'- 30 -'!D20</f>
        <v>2139673</v>
      </c>
      <c r="C20" s="26">
        <v>4543</v>
      </c>
      <c r="D20" s="26">
        <f ca="1" t="shared" si="0"/>
        <v>470.98239049086504</v>
      </c>
      <c r="E20" s="26">
        <v>1282235</v>
      </c>
      <c r="F20" s="423">
        <f ca="1" t="shared" si="1"/>
        <v>1.6687058144567883</v>
      </c>
      <c r="G20" s="26">
        <v>785880</v>
      </c>
      <c r="H20" s="423">
        <f ca="1" t="shared" si="2"/>
        <v>2.7226459510357817</v>
      </c>
    </row>
    <row r="21" spans="1:8" ht="13.5" customHeight="1">
      <c r="A21" s="331" t="s">
        <v>254</v>
      </c>
      <c r="B21" s="332">
        <f>'- 30 -'!D21</f>
        <v>1574158</v>
      </c>
      <c r="C21" s="332">
        <v>1824</v>
      </c>
      <c r="D21" s="332">
        <f ca="1" t="shared" si="0"/>
        <v>863.0252192982456</v>
      </c>
      <c r="E21" s="332">
        <v>1053504</v>
      </c>
      <c r="F21" s="422">
        <f ca="1" t="shared" si="1"/>
        <v>1.4942116973452402</v>
      </c>
      <c r="G21" s="332">
        <v>635562</v>
      </c>
      <c r="H21" s="422">
        <f ca="1" t="shared" si="2"/>
        <v>2.4767969135977292</v>
      </c>
    </row>
    <row r="22" spans="1:8" ht="13.5" customHeight="1">
      <c r="A22" s="25" t="s">
        <v>255</v>
      </c>
      <c r="B22" s="26">
        <f>'- 30 -'!D22</f>
        <v>364167</v>
      </c>
      <c r="C22" s="26">
        <v>918</v>
      </c>
      <c r="D22" s="26">
        <f ca="1" t="shared" si="0"/>
        <v>396.69607843137254</v>
      </c>
      <c r="E22" s="26">
        <v>141561</v>
      </c>
      <c r="F22" s="423">
        <f ca="1" t="shared" si="1"/>
        <v>2.5725093775828087</v>
      </c>
      <c r="G22" s="26">
        <v>221780</v>
      </c>
      <c r="H22" s="423">
        <f ca="1" t="shared" si="2"/>
        <v>1.6420191180449093</v>
      </c>
    </row>
    <row r="23" spans="1:8" ht="13.5" customHeight="1">
      <c r="A23" s="331" t="s">
        <v>256</v>
      </c>
      <c r="B23" s="332">
        <f>'- 30 -'!D23</f>
        <v>1179494</v>
      </c>
      <c r="C23" s="332">
        <v>893</v>
      </c>
      <c r="D23" s="332">
        <f ca="1" t="shared" si="0"/>
        <v>1320.8219484882418</v>
      </c>
      <c r="E23" s="332">
        <v>1125355</v>
      </c>
      <c r="F23" s="422">
        <f ca="1" t="shared" si="1"/>
        <v>1.0481083746906532</v>
      </c>
      <c r="G23" s="332">
        <v>676166</v>
      </c>
      <c r="H23" s="422">
        <f ca="1" t="shared" si="2"/>
        <v>1.7443852545085083</v>
      </c>
    </row>
    <row r="24" spans="1:8" ht="13.5" customHeight="1">
      <c r="A24" s="25" t="s">
        <v>257</v>
      </c>
      <c r="B24" s="26">
        <f>'- 30 -'!D24</f>
        <v>1796916</v>
      </c>
      <c r="C24" s="26">
        <v>3135</v>
      </c>
      <c r="D24" s="26">
        <f ca="1" t="shared" si="0"/>
        <v>573.1789473684211</v>
      </c>
      <c r="E24" s="26">
        <v>1099603</v>
      </c>
      <c r="F24" s="423">
        <f ca="1" t="shared" si="1"/>
        <v>1.6341497795113327</v>
      </c>
      <c r="G24" s="26">
        <v>687793</v>
      </c>
      <c r="H24" s="423">
        <f ca="1" t="shared" si="2"/>
        <v>2.612582564812378</v>
      </c>
    </row>
    <row r="25" spans="1:8" ht="13.5" customHeight="1">
      <c r="A25" s="331" t="s">
        <v>258</v>
      </c>
      <c r="B25" s="332">
        <f>'- 30 -'!D25</f>
        <v>1772063</v>
      </c>
      <c r="C25" s="332">
        <v>2032</v>
      </c>
      <c r="D25" s="332">
        <f ca="1" t="shared" si="0"/>
        <v>872.0782480314961</v>
      </c>
      <c r="E25" s="332">
        <v>588784</v>
      </c>
      <c r="F25" s="422">
        <f ca="1" t="shared" si="1"/>
        <v>3.009699652164461</v>
      </c>
      <c r="G25" s="332">
        <v>321440</v>
      </c>
      <c r="H25" s="422">
        <f ca="1" t="shared" si="2"/>
        <v>5.51288887506222</v>
      </c>
    </row>
    <row r="26" spans="1:8" ht="13.5" customHeight="1">
      <c r="A26" s="25" t="s">
        <v>259</v>
      </c>
      <c r="B26" s="26">
        <f>'- 30 -'!D26</f>
        <v>1921139</v>
      </c>
      <c r="C26" s="26">
        <v>1527</v>
      </c>
      <c r="D26" s="26">
        <f ca="1" t="shared" si="0"/>
        <v>1258.1132940406026</v>
      </c>
      <c r="E26" s="26">
        <v>1246646</v>
      </c>
      <c r="F26" s="423">
        <f ca="1" t="shared" si="1"/>
        <v>1.5410461349894036</v>
      </c>
      <c r="G26" s="26">
        <v>1089737</v>
      </c>
      <c r="H26" s="423">
        <f ca="1" t="shared" si="2"/>
        <v>1.762938213532256</v>
      </c>
    </row>
    <row r="27" spans="1:8" ht="13.5" customHeight="1">
      <c r="A27" s="331" t="s">
        <v>260</v>
      </c>
      <c r="B27" s="332">
        <f>'- 30 -'!D27</f>
        <v>2446</v>
      </c>
      <c r="C27" s="427" t="s">
        <v>204</v>
      </c>
      <c r="D27" s="332">
        <f ca="1">IF(AND(CELL("type",C27)="v",C27&gt;0),B27/C27,"")</f>
      </c>
      <c r="E27" s="427" t="s">
        <v>204</v>
      </c>
      <c r="F27" s="424">
        <f ca="1">IF(AND(CELL("type",E27)="v",E27&gt;0),B27/E27,"")</f>
      </c>
      <c r="G27" s="427" t="s">
        <v>204</v>
      </c>
      <c r="H27" s="424">
        <f ca="1" t="shared" si="2"/>
      </c>
    </row>
    <row r="28" spans="1:8" ht="13.5" customHeight="1">
      <c r="A28" s="25" t="s">
        <v>261</v>
      </c>
      <c r="B28" s="26">
        <f>'- 30 -'!D28</f>
        <v>1652420</v>
      </c>
      <c r="C28" s="26">
        <v>1039</v>
      </c>
      <c r="D28" s="26">
        <f ca="1" t="shared" si="0"/>
        <v>1590.3946102021175</v>
      </c>
      <c r="E28" s="26">
        <v>1427736</v>
      </c>
      <c r="F28" s="423">
        <f ca="1" t="shared" si="1"/>
        <v>1.157370830461654</v>
      </c>
      <c r="G28" s="26">
        <v>941160</v>
      </c>
      <c r="H28" s="423">
        <f ca="1" t="shared" si="2"/>
        <v>1.7557269752220663</v>
      </c>
    </row>
    <row r="29" spans="1:8" ht="13.5" customHeight="1">
      <c r="A29" s="331" t="s">
        <v>262</v>
      </c>
      <c r="B29" s="332">
        <f>'- 30 -'!D29</f>
        <v>1163071</v>
      </c>
      <c r="C29" s="332">
        <v>1712</v>
      </c>
      <c r="D29" s="332">
        <f ca="1" t="shared" si="0"/>
        <v>679.3639018691589</v>
      </c>
      <c r="E29" s="332">
        <v>384940</v>
      </c>
      <c r="F29" s="422">
        <f ca="1" t="shared" si="1"/>
        <v>3.021434509274173</v>
      </c>
      <c r="G29" s="332">
        <v>257640</v>
      </c>
      <c r="H29" s="422">
        <f ca="1" t="shared" si="2"/>
        <v>4.514326191585158</v>
      </c>
    </row>
    <row r="30" spans="1:8" ht="13.5" customHeight="1">
      <c r="A30" s="25" t="s">
        <v>263</v>
      </c>
      <c r="B30" s="26">
        <f>'- 30 -'!D30</f>
        <v>969853</v>
      </c>
      <c r="C30" s="26">
        <v>816</v>
      </c>
      <c r="D30" s="26">
        <f ca="1" t="shared" si="0"/>
        <v>1188.5453431372548</v>
      </c>
      <c r="E30" s="26">
        <v>874126</v>
      </c>
      <c r="F30" s="423">
        <f ca="1" t="shared" si="1"/>
        <v>1.109511672230319</v>
      </c>
      <c r="G30" s="26">
        <v>545984</v>
      </c>
      <c r="H30" s="423">
        <f ca="1" t="shared" si="2"/>
        <v>1.7763395996952291</v>
      </c>
    </row>
    <row r="31" spans="1:8" ht="13.5" customHeight="1">
      <c r="A31" s="331" t="s">
        <v>264</v>
      </c>
      <c r="B31" s="332">
        <f>'- 30 -'!D31</f>
        <v>767682</v>
      </c>
      <c r="C31" s="332">
        <v>930</v>
      </c>
      <c r="D31" s="332">
        <f ca="1" t="shared" si="0"/>
        <v>825.4645161290323</v>
      </c>
      <c r="E31" s="332">
        <v>650645</v>
      </c>
      <c r="F31" s="422">
        <f ca="1" t="shared" si="1"/>
        <v>1.1798784283288122</v>
      </c>
      <c r="G31" s="332">
        <v>425944</v>
      </c>
      <c r="H31" s="422">
        <f ca="1" t="shared" si="2"/>
        <v>1.8023073455665533</v>
      </c>
    </row>
    <row r="32" spans="1:8" ht="13.5" customHeight="1">
      <c r="A32" s="25" t="s">
        <v>265</v>
      </c>
      <c r="B32" s="26">
        <f>'- 30 -'!D32</f>
        <v>1444470</v>
      </c>
      <c r="C32" s="26">
        <v>1399</v>
      </c>
      <c r="D32" s="26">
        <f ca="1" t="shared" si="0"/>
        <v>1032.5017869907076</v>
      </c>
      <c r="E32" s="26">
        <v>1103955</v>
      </c>
      <c r="F32" s="423">
        <f ca="1" t="shared" si="1"/>
        <v>1.3084500726931805</v>
      </c>
      <c r="G32" s="26">
        <v>723584</v>
      </c>
      <c r="H32" s="423">
        <f ca="1" t="shared" si="2"/>
        <v>1.99627133822749</v>
      </c>
    </row>
    <row r="33" spans="1:8" ht="13.5" customHeight="1">
      <c r="A33" s="331" t="s">
        <v>266</v>
      </c>
      <c r="B33" s="332">
        <f>'- 30 -'!D33</f>
        <v>1853663</v>
      </c>
      <c r="C33" s="332">
        <v>1398</v>
      </c>
      <c r="D33" s="332">
        <f ca="1" t="shared" si="0"/>
        <v>1325.9391988555078</v>
      </c>
      <c r="E33" s="332">
        <v>1617232.8</v>
      </c>
      <c r="F33" s="422">
        <f ca="1" t="shared" si="1"/>
        <v>1.1461942894059531</v>
      </c>
      <c r="G33" s="332">
        <v>1055996.4</v>
      </c>
      <c r="H33" s="422">
        <f ca="1" t="shared" si="2"/>
        <v>1.755368673605327</v>
      </c>
    </row>
    <row r="34" spans="1:8" ht="13.5" customHeight="1">
      <c r="A34" s="25" t="s">
        <v>267</v>
      </c>
      <c r="B34" s="26">
        <f>'- 30 -'!D34</f>
        <v>1708640</v>
      </c>
      <c r="C34" s="26">
        <v>1371</v>
      </c>
      <c r="D34" s="26">
        <f ca="1" t="shared" si="0"/>
        <v>1246.2727935813275</v>
      </c>
      <c r="E34" s="26">
        <v>1287231</v>
      </c>
      <c r="F34" s="423">
        <f ca="1" t="shared" si="1"/>
        <v>1.32737636057553</v>
      </c>
      <c r="G34" s="26">
        <v>869305</v>
      </c>
      <c r="H34" s="423">
        <f ca="1" t="shared" si="2"/>
        <v>1.9655241831117962</v>
      </c>
    </row>
    <row r="35" spans="1:8" ht="13.5" customHeight="1">
      <c r="A35" s="331" t="s">
        <v>268</v>
      </c>
      <c r="B35" s="332">
        <f>'- 30 -'!D35</f>
        <v>2350786</v>
      </c>
      <c r="C35" s="332">
        <v>3300</v>
      </c>
      <c r="D35" s="332">
        <f ca="1" t="shared" si="0"/>
        <v>712.359393939394</v>
      </c>
      <c r="E35" s="332">
        <v>934724</v>
      </c>
      <c r="F35" s="422">
        <f ca="1" t="shared" si="1"/>
        <v>2.5149520072235227</v>
      </c>
      <c r="G35" s="332">
        <v>476672</v>
      </c>
      <c r="H35" s="422">
        <f ca="1" t="shared" si="2"/>
        <v>4.931663701664877</v>
      </c>
    </row>
    <row r="36" spans="1:8" ht="13.5" customHeight="1">
      <c r="A36" s="25" t="s">
        <v>269</v>
      </c>
      <c r="B36" s="26">
        <f>'- 30 -'!D36</f>
        <v>1181071</v>
      </c>
      <c r="C36" s="26">
        <v>1087</v>
      </c>
      <c r="D36" s="26">
        <f ca="1" t="shared" si="0"/>
        <v>1086.541858325667</v>
      </c>
      <c r="E36" s="26">
        <v>1011840</v>
      </c>
      <c r="F36" s="423">
        <f ca="1" t="shared" si="1"/>
        <v>1.1672507511068944</v>
      </c>
      <c r="G36" s="26">
        <v>665880</v>
      </c>
      <c r="H36" s="423">
        <f ca="1" t="shared" si="2"/>
        <v>1.7736994653691356</v>
      </c>
    </row>
    <row r="37" spans="1:8" ht="13.5" customHeight="1">
      <c r="A37" s="331" t="s">
        <v>270</v>
      </c>
      <c r="B37" s="332">
        <f>'- 30 -'!D37</f>
        <v>1694643</v>
      </c>
      <c r="C37" s="332">
        <v>2015</v>
      </c>
      <c r="D37" s="332">
        <f ca="1" t="shared" si="0"/>
        <v>841.0138957816378</v>
      </c>
      <c r="E37" s="332">
        <v>1045662</v>
      </c>
      <c r="F37" s="422">
        <f ca="1" t="shared" si="1"/>
        <v>1.6206412779655377</v>
      </c>
      <c r="G37" s="332">
        <v>714240</v>
      </c>
      <c r="H37" s="422">
        <f ca="1" t="shared" si="2"/>
        <v>2.3726520497311827</v>
      </c>
    </row>
    <row r="38" spans="1:8" ht="13.5" customHeight="1">
      <c r="A38" s="25" t="s">
        <v>271</v>
      </c>
      <c r="B38" s="26">
        <f>'- 30 -'!D38</f>
        <v>1885371</v>
      </c>
      <c r="C38" s="26">
        <v>2770</v>
      </c>
      <c r="D38" s="26">
        <f ca="1" t="shared" si="0"/>
        <v>680.6393501805054</v>
      </c>
      <c r="E38" s="26">
        <v>506688</v>
      </c>
      <c r="F38" s="423">
        <f ca="1" t="shared" si="1"/>
        <v>3.720970301250474</v>
      </c>
      <c r="G38" s="26">
        <v>384192</v>
      </c>
      <c r="H38" s="423">
        <f ca="1" t="shared" si="2"/>
        <v>4.9073666291854074</v>
      </c>
    </row>
    <row r="39" spans="1:8" ht="13.5" customHeight="1">
      <c r="A39" s="331" t="s">
        <v>272</v>
      </c>
      <c r="B39" s="332">
        <f>'- 30 -'!D39</f>
        <v>1343710</v>
      </c>
      <c r="C39" s="332">
        <v>923</v>
      </c>
      <c r="D39" s="332">
        <f ca="1" t="shared" si="0"/>
        <v>1455.807150595883</v>
      </c>
      <c r="E39" s="332">
        <v>816800</v>
      </c>
      <c r="F39" s="422">
        <f ca="1" t="shared" si="1"/>
        <v>1.645090597453477</v>
      </c>
      <c r="G39" s="332">
        <v>816800</v>
      </c>
      <c r="H39" s="422">
        <f ca="1" t="shared" si="2"/>
        <v>1.645090597453477</v>
      </c>
    </row>
    <row r="40" spans="1:8" ht="13.5" customHeight="1">
      <c r="A40" s="25" t="s">
        <v>273</v>
      </c>
      <c r="B40" s="26">
        <f>'- 30 -'!D40</f>
        <v>1098222</v>
      </c>
      <c r="C40" s="26">
        <v>1853</v>
      </c>
      <c r="D40" s="26">
        <f ca="1" t="shared" si="0"/>
        <v>592.6724230976795</v>
      </c>
      <c r="E40" s="26">
        <v>435613</v>
      </c>
      <c r="F40" s="423">
        <f ca="1" t="shared" si="1"/>
        <v>2.5210955595907376</v>
      </c>
      <c r="G40" s="26">
        <v>255830</v>
      </c>
      <c r="H40" s="423">
        <f ca="1" t="shared" si="2"/>
        <v>4.292780361959114</v>
      </c>
    </row>
    <row r="41" spans="1:8" ht="13.5" customHeight="1">
      <c r="A41" s="331" t="s">
        <v>274</v>
      </c>
      <c r="B41" s="332">
        <f>'- 30 -'!D41</f>
        <v>3210833</v>
      </c>
      <c r="C41" s="332">
        <v>3652</v>
      </c>
      <c r="D41" s="332">
        <f ca="1" t="shared" si="0"/>
        <v>879.19852135816</v>
      </c>
      <c r="E41" s="332">
        <v>2301292</v>
      </c>
      <c r="F41" s="422">
        <f ca="1" t="shared" si="1"/>
        <v>1.395230592206465</v>
      </c>
      <c r="G41" s="332">
        <v>1469399</v>
      </c>
      <c r="H41" s="422">
        <f ca="1" t="shared" si="2"/>
        <v>2.1851335137699155</v>
      </c>
    </row>
    <row r="42" spans="1:8" ht="13.5" customHeight="1">
      <c r="A42" s="25" t="s">
        <v>275</v>
      </c>
      <c r="B42" s="26">
        <f>'- 30 -'!D42</f>
        <v>1119281</v>
      </c>
      <c r="C42" s="26">
        <v>1435</v>
      </c>
      <c r="D42" s="26">
        <f ca="1" t="shared" si="0"/>
        <v>779.9867595818815</v>
      </c>
      <c r="E42" s="26">
        <v>822370</v>
      </c>
      <c r="F42" s="423">
        <f ca="1" t="shared" si="1"/>
        <v>1.361043082797281</v>
      </c>
      <c r="G42" s="26">
        <v>687289</v>
      </c>
      <c r="H42" s="423">
        <f ca="1" t="shared" si="2"/>
        <v>1.6285449061457407</v>
      </c>
    </row>
    <row r="43" spans="1:8" ht="13.5" customHeight="1">
      <c r="A43" s="331" t="s">
        <v>276</v>
      </c>
      <c r="B43" s="332">
        <f>'- 30 -'!D43</f>
        <v>750411</v>
      </c>
      <c r="C43" s="332">
        <v>533</v>
      </c>
      <c r="D43" s="332">
        <f ca="1" t="shared" si="0"/>
        <v>1407.9005628517823</v>
      </c>
      <c r="E43" s="332">
        <v>729105</v>
      </c>
      <c r="F43" s="422">
        <f ca="1" t="shared" si="1"/>
        <v>1.0292221285000103</v>
      </c>
      <c r="G43" s="332">
        <v>451425</v>
      </c>
      <c r="H43" s="422">
        <f ca="1" t="shared" si="2"/>
        <v>1.6623159993354377</v>
      </c>
    </row>
    <row r="44" spans="1:8" ht="13.5" customHeight="1">
      <c r="A44" s="25" t="s">
        <v>277</v>
      </c>
      <c r="B44" s="26">
        <f>'- 30 -'!D44</f>
        <v>727159</v>
      </c>
      <c r="C44" s="26">
        <v>553</v>
      </c>
      <c r="D44" s="26">
        <f ca="1" t="shared" si="0"/>
        <v>1314.9349005424954</v>
      </c>
      <c r="E44" s="26">
        <v>750678</v>
      </c>
      <c r="F44" s="423">
        <f ca="1" t="shared" si="1"/>
        <v>0.9686696559643415</v>
      </c>
      <c r="G44" s="26">
        <v>504972</v>
      </c>
      <c r="H44" s="423">
        <f ca="1" t="shared" si="2"/>
        <v>1.439998653390683</v>
      </c>
    </row>
    <row r="45" spans="1:8" ht="13.5" customHeight="1">
      <c r="A45" s="331" t="s">
        <v>278</v>
      </c>
      <c r="B45" s="332">
        <f>'- 30 -'!D45</f>
        <v>388723</v>
      </c>
      <c r="C45" s="332">
        <v>833</v>
      </c>
      <c r="D45" s="332">
        <f ca="1" t="shared" si="0"/>
        <v>466.65426170468186</v>
      </c>
      <c r="E45" s="332">
        <v>264827</v>
      </c>
      <c r="F45" s="422">
        <f ca="1" t="shared" si="1"/>
        <v>1.4678374939111194</v>
      </c>
      <c r="G45" s="332">
        <v>162713</v>
      </c>
      <c r="H45" s="422">
        <f ca="1" t="shared" si="2"/>
        <v>2.3890100975336943</v>
      </c>
    </row>
    <row r="46" spans="1:8" ht="13.5" customHeight="1">
      <c r="A46" s="25" t="s">
        <v>279</v>
      </c>
      <c r="B46" s="26">
        <f>'- 30 -'!D46</f>
        <v>3432475</v>
      </c>
      <c r="C46" s="26">
        <v>2194</v>
      </c>
      <c r="D46" s="26">
        <f ca="1" t="shared" si="0"/>
        <v>1564.482680036463</v>
      </c>
      <c r="E46" s="26">
        <v>1048012</v>
      </c>
      <c r="F46" s="423">
        <f ca="1" t="shared" si="1"/>
        <v>3.275224902004939</v>
      </c>
      <c r="G46" s="26">
        <v>677376</v>
      </c>
      <c r="H46" s="423">
        <f ca="1" t="shared" si="2"/>
        <v>5.067311212679516</v>
      </c>
    </row>
    <row r="47" spans="1:8" ht="4.5" customHeight="1">
      <c r="A47"/>
      <c r="B47" s="28"/>
      <c r="C47" s="428"/>
      <c r="D47" s="28"/>
      <c r="E47" s="428"/>
      <c r="F47" s="425"/>
      <c r="G47" s="428"/>
      <c r="H47" s="425"/>
    </row>
    <row r="48" spans="1:8" ht="13.5" customHeight="1">
      <c r="A48" s="333" t="s">
        <v>280</v>
      </c>
      <c r="B48" s="334">
        <f>SUM(B11:B46)</f>
        <v>53870388</v>
      </c>
      <c r="C48" s="334">
        <f>SUM(C11:C46)</f>
        <v>60943.3</v>
      </c>
      <c r="D48" s="334">
        <f>B48/C48</f>
        <v>883.9427467826652</v>
      </c>
      <c r="E48" s="334">
        <f>SUM(E11:E46)</f>
        <v>32717437.8</v>
      </c>
      <c r="F48" s="426">
        <f>B48/E48</f>
        <v>1.6465344361409622</v>
      </c>
      <c r="G48" s="334">
        <f>SUM(G11:G46)</f>
        <v>22002626.8</v>
      </c>
      <c r="H48" s="426">
        <f>B48/G48</f>
        <v>2.448361665617125</v>
      </c>
    </row>
    <row r="49" spans="1:8" ht="4.5" customHeight="1">
      <c r="A49" s="27" t="s">
        <v>32</v>
      </c>
      <c r="B49" s="28"/>
      <c r="C49" s="428"/>
      <c r="D49" s="28"/>
      <c r="E49" s="428"/>
      <c r="F49" s="425"/>
      <c r="G49" s="428"/>
      <c r="H49" s="425"/>
    </row>
    <row r="50" spans="1:8" ht="13.5" customHeight="1">
      <c r="A50" s="25" t="s">
        <v>281</v>
      </c>
      <c r="B50" s="26">
        <f>'- 30 -'!D50</f>
        <v>12250</v>
      </c>
      <c r="C50" s="43" t="s">
        <v>204</v>
      </c>
      <c r="D50" s="26">
        <f ca="1">IF(AND(CELL("type",C50)="v",C50&gt;0),B50/C50,"")</f>
      </c>
      <c r="E50" s="43" t="s">
        <v>204</v>
      </c>
      <c r="F50" s="423">
        <f ca="1">IF(AND(CELL("type",E50)="v",E50&gt;0),B50/E50,"")</f>
      </c>
      <c r="G50" s="43" t="s">
        <v>204</v>
      </c>
      <c r="H50" s="423">
        <f ca="1">IF(AND(CELL("type",G50)="v",G50&gt;0),B50/G50,"")</f>
      </c>
    </row>
    <row r="51" spans="1:8" ht="13.5" customHeight="1">
      <c r="A51" s="331" t="s">
        <v>282</v>
      </c>
      <c r="B51" s="332">
        <f>'- 30 -'!D51</f>
        <v>0</v>
      </c>
      <c r="C51" s="332">
        <v>0</v>
      </c>
      <c r="D51" s="332">
        <f ca="1">IF(AND(CELL("type",C51)="v",C51&gt;0),B51/C51,"")</f>
      </c>
      <c r="E51" s="332">
        <v>0</v>
      </c>
      <c r="F51" s="422">
        <f ca="1">IF(AND(CELL("type",E51)="v",E51&gt;0),B51/E51,"")</f>
      </c>
      <c r="G51" s="332">
        <v>0</v>
      </c>
      <c r="H51" s="422">
        <f ca="1">IF(AND(CELL("type",G51)="v",G51&gt;0),B51/G51,"")</f>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1"/>
  <sheetViews>
    <sheetView showGridLines="0" showZeros="0" workbookViewId="0" topLeftCell="A1">
      <selection activeCell="A1" sqref="A1"/>
    </sheetView>
  </sheetViews>
  <sheetFormatPr defaultColWidth="15.83203125" defaultRowHeight="12"/>
  <cols>
    <col min="1" max="1" width="32.83203125" style="1" customWidth="1"/>
    <col min="2" max="2" width="22.83203125" style="1" customWidth="1"/>
    <col min="3" max="3" width="19.83203125" style="1" customWidth="1"/>
    <col min="4" max="4" width="15.83203125" style="1" customWidth="1"/>
    <col min="5" max="5" width="41.83203125" style="1" customWidth="1"/>
    <col min="6" max="16384" width="15.83203125" style="1" customWidth="1"/>
  </cols>
  <sheetData>
    <row r="1" spans="1:5" ht="6.75" customHeight="1">
      <c r="A1" s="5"/>
      <c r="B1" s="6"/>
      <c r="C1" s="6"/>
      <c r="D1" s="6"/>
      <c r="E1" s="6"/>
    </row>
    <row r="2" spans="1:5" ht="15.75" customHeight="1">
      <c r="A2" s="154"/>
      <c r="B2" s="7" t="s">
        <v>539</v>
      </c>
      <c r="C2" s="8"/>
      <c r="D2" s="8"/>
      <c r="E2" s="181"/>
    </row>
    <row r="3" spans="1:5" ht="15.75" customHeight="1">
      <c r="A3" s="156"/>
      <c r="B3" s="9" t="str">
        <f>OPYEAR</f>
        <v>OPERATING FUND 2006/2007 ACTUAL</v>
      </c>
      <c r="C3" s="10"/>
      <c r="D3" s="10"/>
      <c r="E3" s="182"/>
    </row>
    <row r="4" spans="2:5" ht="15.75" customHeight="1">
      <c r="B4" s="6"/>
      <c r="C4" s="6"/>
      <c r="D4" s="6"/>
      <c r="E4" s="6"/>
    </row>
    <row r="5" spans="2:5" ht="15.75" customHeight="1">
      <c r="B5" s="6"/>
      <c r="C5" s="6"/>
      <c r="D5" s="6"/>
      <c r="E5" s="6"/>
    </row>
    <row r="6" spans="2:4" ht="15.75" customHeight="1">
      <c r="B6" s="359" t="s">
        <v>55</v>
      </c>
      <c r="C6" s="366"/>
      <c r="D6" s="356"/>
    </row>
    <row r="7" spans="2:4" ht="15.75" customHeight="1">
      <c r="B7" s="345" t="s">
        <v>85</v>
      </c>
      <c r="C7" s="346"/>
      <c r="D7" s="367"/>
    </row>
    <row r="8" spans="1:4" ht="15.75" customHeight="1">
      <c r="A8" s="74"/>
      <c r="B8" s="183"/>
      <c r="C8" s="184" t="s">
        <v>101</v>
      </c>
      <c r="D8" s="85" t="s">
        <v>102</v>
      </c>
    </row>
    <row r="9" spans="1:4" ht="15.75" customHeight="1">
      <c r="A9" s="41" t="s">
        <v>108</v>
      </c>
      <c r="B9" s="86" t="s">
        <v>109</v>
      </c>
      <c r="C9" s="86" t="s">
        <v>119</v>
      </c>
      <c r="D9" s="86" t="s">
        <v>117</v>
      </c>
    </row>
    <row r="10" ht="4.5" customHeight="1">
      <c r="A10" s="4"/>
    </row>
    <row r="11" spans="1:5" ht="13.5" customHeight="1">
      <c r="A11" s="331" t="s">
        <v>245</v>
      </c>
      <c r="B11" s="332">
        <f>SUM('- 30 -'!B11,'- 30 -'!D11,'- 31 -'!D11)</f>
        <v>902965</v>
      </c>
      <c r="C11" s="332">
        <v>645872</v>
      </c>
      <c r="D11" s="422">
        <f ca="1">IF(AND(CELL("type",C11)="v",C11&gt;0),B11/C11,"")</f>
        <v>1.3980556518938738</v>
      </c>
      <c r="E11" s="185"/>
    </row>
    <row r="12" spans="1:5" ht="13.5" customHeight="1">
      <c r="A12" s="25" t="s">
        <v>246</v>
      </c>
      <c r="B12" s="26">
        <f>SUM('- 30 -'!B12,'- 30 -'!D12,'- 31 -'!D12)</f>
        <v>1651685</v>
      </c>
      <c r="C12" s="26">
        <v>1139966</v>
      </c>
      <c r="D12" s="423">
        <f aca="true" ca="1" t="shared" si="0" ref="D12:D46">IF(AND(CELL("type",C12)="v",C12&gt;0),B12/C12,"")</f>
        <v>1.448889703728006</v>
      </c>
      <c r="E12" s="185"/>
    </row>
    <row r="13" spans="1:5" ht="13.5" customHeight="1">
      <c r="A13" s="331" t="s">
        <v>247</v>
      </c>
      <c r="B13" s="332">
        <f>SUM('- 30 -'!B13,'- 30 -'!D13,'- 31 -'!D13)</f>
        <v>1379241</v>
      </c>
      <c r="C13" s="332">
        <v>772598</v>
      </c>
      <c r="D13" s="422">
        <f ca="1" t="shared" si="0"/>
        <v>1.7851987709002612</v>
      </c>
      <c r="E13" s="185"/>
    </row>
    <row r="14" spans="1:5" ht="13.5" customHeight="1">
      <c r="A14" s="25" t="s">
        <v>283</v>
      </c>
      <c r="B14" s="26">
        <f>SUM('- 30 -'!B14,'- 30 -'!D14,'- 31 -'!D14)</f>
        <v>4709687</v>
      </c>
      <c r="C14" s="43" t="s">
        <v>204</v>
      </c>
      <c r="D14" s="423">
        <f ca="1" t="shared" si="0"/>
      </c>
      <c r="E14" s="185"/>
    </row>
    <row r="15" spans="1:5" ht="13.5" customHeight="1">
      <c r="A15" s="331" t="s">
        <v>248</v>
      </c>
      <c r="B15" s="332">
        <f>SUM('- 30 -'!B15,'- 30 -'!D15,'- 31 -'!D15)</f>
        <v>903363</v>
      </c>
      <c r="C15" s="332">
        <v>698949</v>
      </c>
      <c r="D15" s="422">
        <f ca="1" t="shared" si="0"/>
        <v>1.2924591064584112</v>
      </c>
      <c r="E15" s="185"/>
    </row>
    <row r="16" spans="1:5" ht="13.5" customHeight="1">
      <c r="A16" s="25" t="s">
        <v>249</v>
      </c>
      <c r="B16" s="26">
        <f>SUM('- 30 -'!B16,'- 30 -'!D16,'- 31 -'!D16)</f>
        <v>287217</v>
      </c>
      <c r="C16" s="43" t="s">
        <v>204</v>
      </c>
      <c r="D16" s="423">
        <f ca="1" t="shared" si="0"/>
      </c>
      <c r="E16" s="185"/>
    </row>
    <row r="17" spans="1:5" ht="13.5" customHeight="1">
      <c r="A17" s="331" t="s">
        <v>250</v>
      </c>
      <c r="B17" s="332">
        <f>SUM('- 30 -'!B17,'- 30 -'!D17,'- 31 -'!D17)</f>
        <v>1159250</v>
      </c>
      <c r="C17" s="332">
        <v>957860.67</v>
      </c>
      <c r="D17" s="422">
        <f ca="1" t="shared" si="0"/>
        <v>1.2102490856003096</v>
      </c>
      <c r="E17" s="185"/>
    </row>
    <row r="18" spans="1:5" ht="13.5" customHeight="1">
      <c r="A18" s="25" t="s">
        <v>251</v>
      </c>
      <c r="B18" s="26">
        <f>SUM('- 30 -'!B18,'- 30 -'!D18,'- 31 -'!D18)</f>
        <v>4204469</v>
      </c>
      <c r="C18" s="26">
        <v>1380574</v>
      </c>
      <c r="D18" s="423">
        <f ca="1" t="shared" si="0"/>
        <v>3.045449936041096</v>
      </c>
      <c r="E18" s="185"/>
    </row>
    <row r="19" spans="1:5" ht="13.5" customHeight="1">
      <c r="A19" s="331" t="s">
        <v>252</v>
      </c>
      <c r="B19" s="332">
        <f>SUM('- 30 -'!B19,'- 30 -'!D19,'- 31 -'!D19)</f>
        <v>960889</v>
      </c>
      <c r="C19" s="332">
        <v>586210</v>
      </c>
      <c r="D19" s="422">
        <f ca="1" t="shared" si="0"/>
        <v>1.639154910356357</v>
      </c>
      <c r="E19" s="185"/>
    </row>
    <row r="20" spans="1:5" ht="13.5" customHeight="1">
      <c r="A20" s="25" t="s">
        <v>253</v>
      </c>
      <c r="B20" s="26">
        <f>SUM('- 30 -'!B20,'- 30 -'!D20,'- 31 -'!D20)</f>
        <v>2532300</v>
      </c>
      <c r="C20" s="26">
        <v>1577280</v>
      </c>
      <c r="D20" s="423">
        <f ca="1" t="shared" si="0"/>
        <v>1.6054853925745587</v>
      </c>
      <c r="E20" s="185"/>
    </row>
    <row r="21" spans="1:5" ht="13.5" customHeight="1">
      <c r="A21" s="331" t="s">
        <v>254</v>
      </c>
      <c r="B21" s="332">
        <f>SUM('- 30 -'!B21,'- 30 -'!D21,'- 31 -'!D21)</f>
        <v>1782367</v>
      </c>
      <c r="C21" s="332">
        <v>1045513</v>
      </c>
      <c r="D21" s="422">
        <f ca="1" t="shared" si="0"/>
        <v>1.7047774633122688</v>
      </c>
      <c r="E21" s="185"/>
    </row>
    <row r="22" spans="1:5" ht="13.5" customHeight="1">
      <c r="A22" s="25" t="s">
        <v>255</v>
      </c>
      <c r="B22" s="26">
        <f>SUM('- 30 -'!B22,'- 30 -'!D22,'- 31 -'!D22)</f>
        <v>464729</v>
      </c>
      <c r="C22" s="26">
        <v>235781</v>
      </c>
      <c r="D22" s="423">
        <f ca="1" t="shared" si="0"/>
        <v>1.9710197174496673</v>
      </c>
      <c r="E22" s="185"/>
    </row>
    <row r="23" spans="1:5" ht="13.5" customHeight="1">
      <c r="A23" s="331" t="s">
        <v>256</v>
      </c>
      <c r="B23" s="332">
        <f>SUM('- 30 -'!B23,'- 30 -'!D23,'- 31 -'!D23)</f>
        <v>1231521</v>
      </c>
      <c r="C23" s="332">
        <v>983945</v>
      </c>
      <c r="D23" s="422">
        <f ca="1" t="shared" si="0"/>
        <v>1.2516156899013664</v>
      </c>
      <c r="E23" s="185"/>
    </row>
    <row r="24" spans="1:5" ht="13.5" customHeight="1">
      <c r="A24" s="25" t="s">
        <v>257</v>
      </c>
      <c r="B24" s="26">
        <f>SUM('- 30 -'!B24,'- 30 -'!D24,'- 31 -'!D24)</f>
        <v>2009744</v>
      </c>
      <c r="C24" s="26">
        <v>1174865</v>
      </c>
      <c r="D24" s="423">
        <f ca="1" t="shared" si="0"/>
        <v>1.7106169645023046</v>
      </c>
      <c r="E24" s="185"/>
    </row>
    <row r="25" spans="1:5" ht="13.5" customHeight="1">
      <c r="A25" s="331" t="s">
        <v>258</v>
      </c>
      <c r="B25" s="332">
        <f>SUM('- 30 -'!B25,'- 30 -'!D25,'- 31 -'!D25)</f>
        <v>2139354</v>
      </c>
      <c r="C25" s="332">
        <v>588784</v>
      </c>
      <c r="D25" s="422">
        <f ca="1" t="shared" si="0"/>
        <v>3.6335124595777057</v>
      </c>
      <c r="E25" s="185"/>
    </row>
    <row r="26" spans="1:5" ht="13.5" customHeight="1">
      <c r="A26" s="25" t="s">
        <v>259</v>
      </c>
      <c r="B26" s="26">
        <f>SUM('- 30 -'!B26,'- 30 -'!D26,'- 31 -'!D26)</f>
        <v>2212294</v>
      </c>
      <c r="C26" s="26">
        <v>1289204</v>
      </c>
      <c r="D26" s="423">
        <f ca="1" t="shared" si="0"/>
        <v>1.7160154638055731</v>
      </c>
      <c r="E26" s="185"/>
    </row>
    <row r="27" spans="1:5" ht="13.5" customHeight="1">
      <c r="A27" s="331" t="s">
        <v>260</v>
      </c>
      <c r="B27" s="332">
        <f>SUM('- 30 -'!B27,'- 30 -'!D27,'- 31 -'!D27)</f>
        <v>56374</v>
      </c>
      <c r="C27" s="427" t="s">
        <v>204</v>
      </c>
      <c r="D27" s="424">
        <f ca="1" t="shared" si="0"/>
      </c>
      <c r="E27" s="185"/>
    </row>
    <row r="28" spans="1:5" ht="13.5" customHeight="1">
      <c r="A28" s="25" t="s">
        <v>261</v>
      </c>
      <c r="B28" s="26">
        <f>SUM('- 30 -'!B28,'- 30 -'!D28,'- 31 -'!D28)</f>
        <v>1766590</v>
      </c>
      <c r="C28" s="26">
        <v>1312450</v>
      </c>
      <c r="D28" s="423">
        <f ca="1" t="shared" si="0"/>
        <v>1.346024610461351</v>
      </c>
      <c r="E28" s="185"/>
    </row>
    <row r="29" spans="1:5" ht="13.5" customHeight="1">
      <c r="A29" s="331" t="s">
        <v>262</v>
      </c>
      <c r="B29" s="332">
        <f>SUM('- 30 -'!B29,'- 30 -'!D29,'- 31 -'!D29)</f>
        <v>1562138</v>
      </c>
      <c r="C29" s="332">
        <v>535802</v>
      </c>
      <c r="D29" s="422">
        <f ca="1" t="shared" si="0"/>
        <v>2.915513566578699</v>
      </c>
      <c r="E29" s="185"/>
    </row>
    <row r="30" spans="1:5" ht="13.5" customHeight="1">
      <c r="A30" s="25" t="s">
        <v>263</v>
      </c>
      <c r="B30" s="26">
        <f>SUM('- 30 -'!B30,'- 30 -'!D30,'- 31 -'!D30)</f>
        <v>1038044</v>
      </c>
      <c r="C30" s="26">
        <v>720769</v>
      </c>
      <c r="D30" s="423">
        <f ca="1" t="shared" si="0"/>
        <v>1.4401895753008245</v>
      </c>
      <c r="E30" s="185"/>
    </row>
    <row r="31" spans="1:5" ht="13.5" customHeight="1">
      <c r="A31" s="331" t="s">
        <v>264</v>
      </c>
      <c r="B31" s="332">
        <f>SUM('- 30 -'!B31,'- 30 -'!D31,'- 31 -'!D31)</f>
        <v>860117</v>
      </c>
      <c r="C31" s="332">
        <v>660842</v>
      </c>
      <c r="D31" s="422">
        <f ca="1" t="shared" si="0"/>
        <v>1.30154711716265</v>
      </c>
      <c r="E31" s="185"/>
    </row>
    <row r="32" spans="1:5" ht="13.5" customHeight="1">
      <c r="A32" s="25" t="s">
        <v>265</v>
      </c>
      <c r="B32" s="26">
        <f>SUM('- 30 -'!B32,'- 30 -'!D32,'- 31 -'!D32)</f>
        <v>1556871</v>
      </c>
      <c r="C32" s="26">
        <v>1125887</v>
      </c>
      <c r="D32" s="423">
        <f ca="1" t="shared" si="0"/>
        <v>1.3827950762376686</v>
      </c>
      <c r="E32" s="185"/>
    </row>
    <row r="33" spans="1:5" ht="13.5" customHeight="1">
      <c r="A33" s="331" t="s">
        <v>266</v>
      </c>
      <c r="B33" s="332">
        <f>SUM('- 30 -'!B33,'- 30 -'!D33,'- 31 -'!D33)</f>
        <v>1970005</v>
      </c>
      <c r="C33" s="332">
        <v>1646099</v>
      </c>
      <c r="D33" s="422">
        <f ca="1" t="shared" si="0"/>
        <v>1.1967718831005911</v>
      </c>
      <c r="E33" s="185"/>
    </row>
    <row r="34" spans="1:5" ht="13.5" customHeight="1">
      <c r="A34" s="25" t="s">
        <v>267</v>
      </c>
      <c r="B34" s="26">
        <f>SUM('- 30 -'!B34,'- 30 -'!D34,'- 31 -'!D34)</f>
        <v>1859888</v>
      </c>
      <c r="C34" s="26">
        <v>1144096</v>
      </c>
      <c r="D34" s="423">
        <f ca="1" t="shared" si="0"/>
        <v>1.6256398064498083</v>
      </c>
      <c r="E34" s="185"/>
    </row>
    <row r="35" spans="1:5" ht="13.5" customHeight="1">
      <c r="A35" s="331" t="s">
        <v>268</v>
      </c>
      <c r="B35" s="332">
        <f>SUM('- 30 -'!B35,'- 30 -'!D35,'- 31 -'!D35)</f>
        <v>2664102</v>
      </c>
      <c r="C35" s="332">
        <v>1078007</v>
      </c>
      <c r="D35" s="422">
        <f ca="1" t="shared" si="0"/>
        <v>2.471321614794709</v>
      </c>
      <c r="E35" s="185"/>
    </row>
    <row r="36" spans="1:5" ht="13.5" customHeight="1">
      <c r="A36" s="25" t="s">
        <v>269</v>
      </c>
      <c r="B36" s="26">
        <f>SUM('- 30 -'!B36,'- 30 -'!D36,'- 31 -'!D36)</f>
        <v>1284137</v>
      </c>
      <c r="C36" s="26">
        <v>977619</v>
      </c>
      <c r="D36" s="423">
        <f ca="1" t="shared" si="0"/>
        <v>1.3135352320280191</v>
      </c>
      <c r="E36" s="185"/>
    </row>
    <row r="37" spans="1:5" ht="13.5" customHeight="1">
      <c r="A37" s="331" t="s">
        <v>270</v>
      </c>
      <c r="B37" s="332">
        <f>SUM('- 30 -'!B37,'- 30 -'!D37,'- 31 -'!D37)</f>
        <v>1870619</v>
      </c>
      <c r="C37" s="332">
        <v>1047751</v>
      </c>
      <c r="D37" s="422">
        <f ca="1" t="shared" si="0"/>
        <v>1.7853659886747901</v>
      </c>
      <c r="E37" s="185"/>
    </row>
    <row r="38" spans="1:5" ht="13.5" customHeight="1">
      <c r="A38" s="25" t="s">
        <v>271</v>
      </c>
      <c r="B38" s="26">
        <f>SUM('- 30 -'!B38,'- 30 -'!D38,'- 31 -'!D38)</f>
        <v>2247433</v>
      </c>
      <c r="C38" s="26">
        <v>787630</v>
      </c>
      <c r="D38" s="423">
        <f ca="1" t="shared" si="0"/>
        <v>2.853412135139596</v>
      </c>
      <c r="E38" s="185"/>
    </row>
    <row r="39" spans="1:5" ht="13.5" customHeight="1">
      <c r="A39" s="331" t="s">
        <v>272</v>
      </c>
      <c r="B39" s="332">
        <f>SUM('- 30 -'!B39,'- 30 -'!D39,'- 31 -'!D39)</f>
        <v>1436380</v>
      </c>
      <c r="C39" s="332">
        <v>1305200</v>
      </c>
      <c r="D39" s="422">
        <f ca="1" t="shared" si="0"/>
        <v>1.1005056696291755</v>
      </c>
      <c r="E39" s="185"/>
    </row>
    <row r="40" spans="1:5" ht="13.5" customHeight="1">
      <c r="A40" s="25" t="s">
        <v>273</v>
      </c>
      <c r="B40" s="26">
        <f>SUM('- 30 -'!B40,'- 30 -'!D40,'- 31 -'!D40)</f>
        <v>1218391</v>
      </c>
      <c r="C40" s="26">
        <v>438376</v>
      </c>
      <c r="D40" s="423">
        <f ca="1" t="shared" si="0"/>
        <v>2.7793287041261383</v>
      </c>
      <c r="E40" s="185"/>
    </row>
    <row r="41" spans="1:5" ht="13.5" customHeight="1">
      <c r="A41" s="331" t="s">
        <v>274</v>
      </c>
      <c r="B41" s="332">
        <f>SUM('- 30 -'!B41,'- 30 -'!D41,'- 31 -'!D41)</f>
        <v>3566036</v>
      </c>
      <c r="C41" s="332">
        <v>3076184</v>
      </c>
      <c r="D41" s="422">
        <f ca="1" t="shared" si="0"/>
        <v>1.159240149483906</v>
      </c>
      <c r="E41" s="185"/>
    </row>
    <row r="42" spans="1:5" ht="13.5" customHeight="1">
      <c r="A42" s="25" t="s">
        <v>275</v>
      </c>
      <c r="B42" s="26">
        <f>SUM('- 30 -'!B42,'- 30 -'!D42,'- 31 -'!D42)</f>
        <v>1227635</v>
      </c>
      <c r="C42" s="26">
        <v>781018</v>
      </c>
      <c r="D42" s="423">
        <f ca="1" t="shared" si="0"/>
        <v>1.5718395734797406</v>
      </c>
      <c r="E42" s="185"/>
    </row>
    <row r="43" spans="1:5" ht="13.5" customHeight="1">
      <c r="A43" s="331" t="s">
        <v>276</v>
      </c>
      <c r="B43" s="332">
        <f>SUM('- 30 -'!B43,'- 30 -'!D43,'- 31 -'!D43)</f>
        <v>771692</v>
      </c>
      <c r="C43" s="332">
        <v>740116</v>
      </c>
      <c r="D43" s="422">
        <f ca="1" t="shared" si="0"/>
        <v>1.0426635824654513</v>
      </c>
      <c r="E43" s="185"/>
    </row>
    <row r="44" spans="1:5" ht="13.5" customHeight="1">
      <c r="A44" s="25" t="s">
        <v>277</v>
      </c>
      <c r="B44" s="26">
        <f>SUM('- 30 -'!B44,'- 30 -'!D44,'- 31 -'!D44)</f>
        <v>784308</v>
      </c>
      <c r="C44" s="26">
        <v>690463</v>
      </c>
      <c r="D44" s="423">
        <f ca="1" t="shared" si="0"/>
        <v>1.1359160447409926</v>
      </c>
      <c r="E44" s="185"/>
    </row>
    <row r="45" spans="1:5" ht="13.5" customHeight="1">
      <c r="A45" s="331" t="s">
        <v>278</v>
      </c>
      <c r="B45" s="332">
        <f>SUM('- 30 -'!B45,'- 30 -'!D45,'- 31 -'!D45)</f>
        <v>454726</v>
      </c>
      <c r="C45" s="332">
        <v>295080</v>
      </c>
      <c r="D45" s="422">
        <f ca="1" t="shared" si="0"/>
        <v>1.5410261623966381</v>
      </c>
      <c r="E45" s="185"/>
    </row>
    <row r="46" spans="1:5" ht="13.5" customHeight="1">
      <c r="A46" s="25" t="s">
        <v>279</v>
      </c>
      <c r="B46" s="26">
        <f>SUM('- 30 -'!B46,'- 30 -'!D46,'- 31 -'!D46)</f>
        <v>4044150</v>
      </c>
      <c r="C46" s="26">
        <v>1198000</v>
      </c>
      <c r="D46" s="423">
        <f ca="1" t="shared" si="0"/>
        <v>3.375751252086811</v>
      </c>
      <c r="E46" s="185"/>
    </row>
    <row r="47" spans="1:5" ht="4.5" customHeight="1">
      <c r="A47"/>
      <c r="B47" s="28"/>
      <c r="C47" s="428"/>
      <c r="D47" s="425"/>
      <c r="E47" s="185"/>
    </row>
    <row r="48" spans="1:5" ht="13.5" customHeight="1">
      <c r="A48" s="333" t="s">
        <v>280</v>
      </c>
      <c r="B48" s="334">
        <f>SUM(B11:B46)</f>
        <v>60770711</v>
      </c>
      <c r="C48" s="334">
        <f>SUM(C11:C46)</f>
        <v>32638790.67</v>
      </c>
      <c r="D48" s="426">
        <f>B48/C48</f>
        <v>1.861916748522717</v>
      </c>
      <c r="E48" s="185"/>
    </row>
    <row r="49" spans="1:4" ht="4.5" customHeight="1">
      <c r="A49" s="27" t="s">
        <v>32</v>
      </c>
      <c r="B49" s="28"/>
      <c r="C49" s="428"/>
      <c r="D49" s="425"/>
    </row>
    <row r="50" spans="1:5" ht="13.5" customHeight="1">
      <c r="A50" s="25" t="s">
        <v>281</v>
      </c>
      <c r="B50" s="26">
        <f>SUM('- 30 -'!B50,'- 30 -'!D50,'- 31 -'!D50)</f>
        <v>26847</v>
      </c>
      <c r="C50" s="43" t="s">
        <v>204</v>
      </c>
      <c r="D50" s="423">
        <f ca="1">IF(AND(CELL("type",C50)="v",C50&gt;0),B50/C50,"")</f>
      </c>
      <c r="E50" s="185"/>
    </row>
    <row r="51" spans="1:5" ht="13.5" customHeight="1">
      <c r="A51" s="331" t="s">
        <v>282</v>
      </c>
      <c r="B51" s="332">
        <f>SUM('- 30 -'!B51,'- 30 -'!D51,'- 31 -'!D51)</f>
        <v>0</v>
      </c>
      <c r="C51" s="332">
        <v>0</v>
      </c>
      <c r="D51" s="422">
        <f ca="1">IF(AND(CELL("type",C51)="v",C51&gt;0),B51/C51,"")</f>
      </c>
      <c r="E51" s="185"/>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5" width="15.83203125" style="1" customWidth="1"/>
    <col min="6" max="6" width="17.83203125" style="1" customWidth="1"/>
    <col min="7" max="16384" width="15.83203125" style="1" customWidth="1"/>
  </cols>
  <sheetData>
    <row r="1" spans="1:6" ht="6.75" customHeight="1">
      <c r="A1" s="5"/>
      <c r="B1" s="6"/>
      <c r="C1" s="6"/>
      <c r="D1" s="6"/>
      <c r="E1" s="6"/>
      <c r="F1" s="6"/>
    </row>
    <row r="2" spans="1:7" ht="15.75" customHeight="1">
      <c r="A2" s="7" t="s">
        <v>527</v>
      </c>
      <c r="B2" s="162"/>
      <c r="C2" s="179"/>
      <c r="D2" s="8"/>
      <c r="E2" s="8"/>
      <c r="F2" s="8"/>
      <c r="G2" s="8"/>
    </row>
    <row r="3" spans="1:7" ht="15.75" customHeight="1">
      <c r="A3" s="9" t="str">
        <f>OPYEAR</f>
        <v>OPERATING FUND 2006/2007 ACTUAL</v>
      </c>
      <c r="B3" s="165"/>
      <c r="C3" s="180"/>
      <c r="D3" s="10"/>
      <c r="E3" s="10"/>
      <c r="F3" s="10"/>
      <c r="G3" s="10"/>
    </row>
    <row r="4" spans="2:6" ht="15.75" customHeight="1">
      <c r="B4" s="6"/>
      <c r="C4" s="6"/>
      <c r="D4" s="77"/>
      <c r="E4" s="6"/>
      <c r="F4" s="6"/>
    </row>
    <row r="5" spans="2:6" ht="15.75" customHeight="1">
      <c r="B5" s="6"/>
      <c r="C5" s="6"/>
      <c r="D5" s="6"/>
      <c r="E5" s="6"/>
      <c r="F5" s="6"/>
    </row>
    <row r="6" spans="2:7" ht="15.75" customHeight="1">
      <c r="B6" s="429"/>
      <c r="C6" s="430"/>
      <c r="D6" s="431"/>
      <c r="E6" s="432"/>
      <c r="F6" s="433" t="s">
        <v>56</v>
      </c>
      <c r="G6" s="434"/>
    </row>
    <row r="7" spans="2:9" ht="15.75" customHeight="1">
      <c r="B7" s="435" t="s">
        <v>81</v>
      </c>
      <c r="C7" s="436"/>
      <c r="D7" s="436"/>
      <c r="E7" s="420"/>
      <c r="F7" s="436" t="s">
        <v>86</v>
      </c>
      <c r="G7" s="420"/>
      <c r="I7" s="3" t="s">
        <v>83</v>
      </c>
    </row>
    <row r="8" spans="1:9" ht="15.75" customHeight="1">
      <c r="A8" s="74"/>
      <c r="B8" s="85" t="s">
        <v>32</v>
      </c>
      <c r="C8" s="18" t="s">
        <v>104</v>
      </c>
      <c r="D8" s="84" t="s">
        <v>104</v>
      </c>
      <c r="E8" s="84" t="s">
        <v>232</v>
      </c>
      <c r="F8" s="85" t="s">
        <v>32</v>
      </c>
      <c r="G8" s="85" t="s">
        <v>104</v>
      </c>
      <c r="I8" s="3" t="s">
        <v>107</v>
      </c>
    </row>
    <row r="9" spans="1:9" ht="15.75" customHeight="1">
      <c r="A9" s="41" t="s">
        <v>108</v>
      </c>
      <c r="B9" s="86" t="s">
        <v>109</v>
      </c>
      <c r="C9" s="86" t="s">
        <v>111</v>
      </c>
      <c r="D9" s="86" t="s">
        <v>394</v>
      </c>
      <c r="E9" s="86" t="s">
        <v>395</v>
      </c>
      <c r="F9" s="86" t="s">
        <v>109</v>
      </c>
      <c r="G9" s="86" t="s">
        <v>394</v>
      </c>
      <c r="I9" s="529" t="s">
        <v>542</v>
      </c>
    </row>
    <row r="10" ht="4.5" customHeight="1">
      <c r="A10" s="4"/>
    </row>
    <row r="11" spans="1:9" ht="13.5" customHeight="1">
      <c r="A11" s="331" t="s">
        <v>245</v>
      </c>
      <c r="B11" s="332">
        <f>'- 32 -'!D11</f>
        <v>1067325</v>
      </c>
      <c r="C11" s="332">
        <f>B11/'- 7 -'!F11</f>
        <v>733.8088690271571</v>
      </c>
      <c r="D11" s="422">
        <f>B11/I11</f>
        <v>4.266518230113966</v>
      </c>
      <c r="E11" s="332">
        <f>I11/'- 7 -'!F11</f>
        <v>171.9924372636645</v>
      </c>
      <c r="F11" s="332">
        <f>'- 32 -'!F11</f>
        <v>155938</v>
      </c>
      <c r="G11" s="422">
        <f>F11/I11</f>
        <v>0.6233455786826989</v>
      </c>
      <c r="I11" s="1">
        <v>250163</v>
      </c>
    </row>
    <row r="12" spans="1:9" ht="13.5" customHeight="1">
      <c r="A12" s="25" t="s">
        <v>246</v>
      </c>
      <c r="B12" s="26">
        <f>'- 32 -'!D12</f>
        <v>1887046</v>
      </c>
      <c r="C12" s="26">
        <f>B12/'- 7 -'!F12</f>
        <v>787.8020982495105</v>
      </c>
      <c r="D12" s="423">
        <f aca="true" t="shared" si="0" ref="D12:D46">B12/I12</f>
        <v>5.020835827725938</v>
      </c>
      <c r="E12" s="26">
        <f>I12/'- 7 -'!F12</f>
        <v>156.90656402249377</v>
      </c>
      <c r="F12" s="26">
        <f>'- 32 -'!F12</f>
        <v>249268</v>
      </c>
      <c r="G12" s="423">
        <f aca="true" t="shared" si="1" ref="G12:G48">F12/I12</f>
        <v>0.6632237396998215</v>
      </c>
      <c r="I12" s="1">
        <v>375843</v>
      </c>
    </row>
    <row r="13" spans="1:9" ht="13.5" customHeight="1">
      <c r="A13" s="331" t="s">
        <v>247</v>
      </c>
      <c r="B13" s="332">
        <f>'- 32 -'!D13</f>
        <v>4691244</v>
      </c>
      <c r="C13" s="332">
        <f>B13/'- 7 -'!F13</f>
        <v>695.6690146066583</v>
      </c>
      <c r="D13" s="422">
        <f t="shared" si="0"/>
        <v>4.545924433630145</v>
      </c>
      <c r="E13" s="332">
        <f>I13/'- 7 -'!F13</f>
        <v>153.03136353525616</v>
      </c>
      <c r="F13" s="332">
        <f>'- 32 -'!F13</f>
        <v>373110</v>
      </c>
      <c r="G13" s="422">
        <f t="shared" si="1"/>
        <v>0.36155225893851256</v>
      </c>
      <c r="I13" s="1">
        <v>1031967</v>
      </c>
    </row>
    <row r="14" spans="1:9" ht="13.5" customHeight="1">
      <c r="A14" s="25" t="s">
        <v>283</v>
      </c>
      <c r="B14" s="26">
        <f>'- 32 -'!D14</f>
        <v>4685125</v>
      </c>
      <c r="C14" s="43">
        <f>B14/'- 7 -'!F14</f>
        <v>1000.8812219611194</v>
      </c>
      <c r="D14" s="423">
        <f t="shared" si="0"/>
        <v>5.4953997048867285</v>
      </c>
      <c r="E14" s="43">
        <f>I14/'- 7 -'!F14</f>
        <v>182.13074129459517</v>
      </c>
      <c r="F14" s="43">
        <f>'- 32 -'!F14</f>
        <v>341599</v>
      </c>
      <c r="G14" s="423">
        <f t="shared" si="1"/>
        <v>0.4006772591530859</v>
      </c>
      <c r="I14" s="1">
        <v>852554</v>
      </c>
    </row>
    <row r="15" spans="1:9" ht="13.5" customHeight="1">
      <c r="A15" s="331" t="s">
        <v>248</v>
      </c>
      <c r="B15" s="332">
        <f>'- 32 -'!D15</f>
        <v>1405657</v>
      </c>
      <c r="C15" s="332">
        <f>B15/'- 7 -'!F15</f>
        <v>865.0196923076923</v>
      </c>
      <c r="D15" s="422">
        <f t="shared" si="0"/>
        <v>4.9126344226945005</v>
      </c>
      <c r="E15" s="332">
        <f>I15/'- 7 -'!F15</f>
        <v>176.08061538461538</v>
      </c>
      <c r="F15" s="332">
        <f>'- 32 -'!F15</f>
        <v>167749</v>
      </c>
      <c r="G15" s="422">
        <f t="shared" si="1"/>
        <v>0.5862664304112452</v>
      </c>
      <c r="I15" s="1">
        <v>286131</v>
      </c>
    </row>
    <row r="16" spans="1:9" ht="13.5" customHeight="1">
      <c r="A16" s="25" t="s">
        <v>249</v>
      </c>
      <c r="B16" s="26">
        <f>'- 32 -'!D16</f>
        <v>1456640</v>
      </c>
      <c r="C16" s="26">
        <f>B16/'- 7 -'!F16</f>
        <v>1308.1634485855411</v>
      </c>
      <c r="D16" s="423">
        <f t="shared" si="0"/>
        <v>7.04879240845677</v>
      </c>
      <c r="E16" s="26">
        <f>I16/'- 7 -'!F16</f>
        <v>185.58688819039065</v>
      </c>
      <c r="F16" s="26">
        <f>'- 32 -'!F16</f>
        <v>89775</v>
      </c>
      <c r="G16" s="423">
        <f t="shared" si="1"/>
        <v>0.43442809374259017</v>
      </c>
      <c r="I16" s="1">
        <v>206651</v>
      </c>
    </row>
    <row r="17" spans="1:9" ht="13.5" customHeight="1">
      <c r="A17" s="331" t="s">
        <v>250</v>
      </c>
      <c r="B17" s="332">
        <f>'- 32 -'!D17</f>
        <v>1248246</v>
      </c>
      <c r="C17" s="332">
        <f>B17/'- 7 -'!F17</f>
        <v>854.7790103891531</v>
      </c>
      <c r="D17" s="422">
        <f t="shared" si="0"/>
        <v>4.585430901476747</v>
      </c>
      <c r="E17" s="332">
        <f>I17/'- 7 -'!F17</f>
        <v>186.41192698244996</v>
      </c>
      <c r="F17" s="332">
        <f>'- 32 -'!F17</f>
        <v>279295</v>
      </c>
      <c r="G17" s="422">
        <f t="shared" si="1"/>
        <v>1.0259900080816986</v>
      </c>
      <c r="I17" s="1">
        <v>272220</v>
      </c>
    </row>
    <row r="18" spans="1:9" ht="13.5" customHeight="1">
      <c r="A18" s="25" t="s">
        <v>251</v>
      </c>
      <c r="B18" s="26">
        <f>'- 32 -'!D18</f>
        <v>11930038</v>
      </c>
      <c r="C18" s="26">
        <f>B18/'- 7 -'!F18</f>
        <v>2086.1086241868925</v>
      </c>
      <c r="D18" s="423">
        <f>B18/I18</f>
        <v>8.584959889007544</v>
      </c>
      <c r="E18" s="26">
        <f>I18/'- 7 -'!F18</f>
        <v>242.9957333706372</v>
      </c>
      <c r="F18" s="26">
        <f>'- 32 -'!F18</f>
        <v>688113</v>
      </c>
      <c r="G18" s="423">
        <f>F18/I18</f>
        <v>0.4951721448083106</v>
      </c>
      <c r="I18" s="1">
        <v>1389644</v>
      </c>
    </row>
    <row r="19" spans="1:9" ht="13.5" customHeight="1">
      <c r="A19" s="331" t="s">
        <v>252</v>
      </c>
      <c r="B19" s="332">
        <f>'- 32 -'!D19</f>
        <v>2026059</v>
      </c>
      <c r="C19" s="332">
        <f>B19/'- 7 -'!F19</f>
        <v>588.8918923632305</v>
      </c>
      <c r="D19" s="422">
        <f t="shared" si="0"/>
        <v>4.600915160323372</v>
      </c>
      <c r="E19" s="332">
        <f>I19/'- 7 -'!F19</f>
        <v>127.99451236171907</v>
      </c>
      <c r="F19" s="332">
        <f>'- 32 -'!F19</f>
        <v>91687</v>
      </c>
      <c r="G19" s="422">
        <f t="shared" si="1"/>
        <v>0.20820919247888092</v>
      </c>
      <c r="I19" s="1">
        <v>440360</v>
      </c>
    </row>
    <row r="20" spans="1:9" ht="13.5" customHeight="1">
      <c r="A20" s="25" t="s">
        <v>253</v>
      </c>
      <c r="B20" s="26">
        <f>'- 32 -'!D20</f>
        <v>4061783</v>
      </c>
      <c r="C20" s="26">
        <f>B20/'- 7 -'!F20</f>
        <v>598.200736377025</v>
      </c>
      <c r="D20" s="423">
        <f t="shared" si="0"/>
        <v>4.992868003987624</v>
      </c>
      <c r="E20" s="26">
        <f>I20/'- 7 -'!F20</f>
        <v>119.81104565537555</v>
      </c>
      <c r="F20" s="26">
        <f>'- 32 -'!F20</f>
        <v>518685</v>
      </c>
      <c r="G20" s="423">
        <f t="shared" si="1"/>
        <v>0.6375834801239556</v>
      </c>
      <c r="I20" s="1">
        <v>813517</v>
      </c>
    </row>
    <row r="21" spans="1:9" ht="13.5" customHeight="1">
      <c r="A21" s="331" t="s">
        <v>254</v>
      </c>
      <c r="B21" s="332">
        <f>'- 32 -'!D21</f>
        <v>2141653</v>
      </c>
      <c r="C21" s="332">
        <f>B21/'- 7 -'!F21</f>
        <v>686.5372655874339</v>
      </c>
      <c r="D21" s="422">
        <f t="shared" si="0"/>
        <v>4.765582999554963</v>
      </c>
      <c r="E21" s="332">
        <f>I21/'- 7 -'!F21</f>
        <v>144.0615483250521</v>
      </c>
      <c r="F21" s="332">
        <f>'- 32 -'!F21</f>
        <v>518674</v>
      </c>
      <c r="G21" s="422">
        <f t="shared" si="1"/>
        <v>1.1541477525589676</v>
      </c>
      <c r="I21" s="1">
        <v>449400</v>
      </c>
    </row>
    <row r="22" spans="1:9" ht="13.5" customHeight="1">
      <c r="A22" s="25" t="s">
        <v>255</v>
      </c>
      <c r="B22" s="26">
        <f>'- 32 -'!D22</f>
        <v>1809268</v>
      </c>
      <c r="C22" s="26">
        <f>B22/'- 7 -'!F22</f>
        <v>1112.437284800787</v>
      </c>
      <c r="D22" s="423">
        <f t="shared" si="0"/>
        <v>5.346647241520953</v>
      </c>
      <c r="E22" s="26">
        <f>I22/'- 7 -'!F22</f>
        <v>208.06259222823414</v>
      </c>
      <c r="F22" s="26">
        <f>'- 32 -'!F22</f>
        <v>67258</v>
      </c>
      <c r="G22" s="423">
        <f t="shared" si="1"/>
        <v>0.19875706648778196</v>
      </c>
      <c r="I22" s="1">
        <v>338393</v>
      </c>
    </row>
    <row r="23" spans="1:9" ht="13.5" customHeight="1">
      <c r="A23" s="331" t="s">
        <v>256</v>
      </c>
      <c r="B23" s="332">
        <f>'- 32 -'!D23</f>
        <v>897734</v>
      </c>
      <c r="C23" s="332">
        <f>B23/'- 7 -'!F23</f>
        <v>689.5038402457757</v>
      </c>
      <c r="D23" s="422">
        <f t="shared" si="0"/>
        <v>3.888718508507468</v>
      </c>
      <c r="E23" s="332">
        <f>I23/'- 7 -'!F23</f>
        <v>177.30875576036865</v>
      </c>
      <c r="F23" s="332">
        <f>'- 32 -'!F23</f>
        <v>124428</v>
      </c>
      <c r="G23" s="422">
        <f t="shared" si="1"/>
        <v>0.5389853415115916</v>
      </c>
      <c r="I23" s="1">
        <v>230856</v>
      </c>
    </row>
    <row r="24" spans="1:9" ht="13.5" customHeight="1">
      <c r="A24" s="25" t="s">
        <v>257</v>
      </c>
      <c r="B24" s="26">
        <f>'- 32 -'!D24</f>
        <v>3620737</v>
      </c>
      <c r="C24" s="26">
        <f>B24/'- 7 -'!F24</f>
        <v>794.980129542211</v>
      </c>
      <c r="D24" s="423">
        <f t="shared" si="0"/>
        <v>5.080645138657944</v>
      </c>
      <c r="E24" s="26">
        <f>I24/'- 7 -'!F24</f>
        <v>156.47228016247666</v>
      </c>
      <c r="F24" s="26">
        <f>'- 32 -'!F24</f>
        <v>198065</v>
      </c>
      <c r="G24" s="423">
        <f t="shared" si="1"/>
        <v>0.277926283899738</v>
      </c>
      <c r="I24" s="1">
        <v>712653</v>
      </c>
    </row>
    <row r="25" spans="1:9" ht="13.5" customHeight="1">
      <c r="A25" s="331" t="s">
        <v>258</v>
      </c>
      <c r="B25" s="332">
        <f>'- 32 -'!D25</f>
        <v>12675612</v>
      </c>
      <c r="C25" s="332">
        <f>B25/'- 7 -'!F25</f>
        <v>878.2686298285121</v>
      </c>
      <c r="D25" s="422">
        <f t="shared" si="0"/>
        <v>5.70021936353097</v>
      </c>
      <c r="E25" s="332">
        <f>I25/'- 7 -'!F25</f>
        <v>154.07628615970899</v>
      </c>
      <c r="F25" s="332">
        <f>'- 32 -'!F25</f>
        <v>713586</v>
      </c>
      <c r="G25" s="422">
        <f t="shared" si="1"/>
        <v>0.3208994354469521</v>
      </c>
      <c r="I25" s="1">
        <v>2223706</v>
      </c>
    </row>
    <row r="26" spans="1:9" ht="13.5" customHeight="1">
      <c r="A26" s="25" t="s">
        <v>259</v>
      </c>
      <c r="B26" s="26">
        <f>'- 32 -'!D26</f>
        <v>3145478</v>
      </c>
      <c r="C26" s="26">
        <f>B26/'- 7 -'!F26</f>
        <v>982.5013275027331</v>
      </c>
      <c r="D26" s="423">
        <f t="shared" si="0"/>
        <v>3.570876519804284</v>
      </c>
      <c r="E26" s="26">
        <f>I26/'- 7 -'!F26</f>
        <v>275.1429017647977</v>
      </c>
      <c r="F26" s="26">
        <f>'- 32 -'!F26</f>
        <v>162229</v>
      </c>
      <c r="G26" s="423">
        <f t="shared" si="1"/>
        <v>0.18416906013373144</v>
      </c>
      <c r="I26" s="1">
        <v>880870</v>
      </c>
    </row>
    <row r="27" spans="1:9" ht="13.5" customHeight="1">
      <c r="A27" s="331" t="s">
        <v>260</v>
      </c>
      <c r="B27" s="332">
        <f>'- 32 -'!D27</f>
        <v>3299817</v>
      </c>
      <c r="C27" s="427">
        <f>B27/'- 7 -'!F27</f>
        <v>999.7809449362832</v>
      </c>
      <c r="D27" s="424">
        <f t="shared" si="0"/>
        <v>7.162771060800104</v>
      </c>
      <c r="E27" s="427">
        <f>I27/'- 7 -'!F27</f>
        <v>139.58018990831803</v>
      </c>
      <c r="F27" s="427">
        <f>'- 32 -'!F27</f>
        <v>303133</v>
      </c>
      <c r="G27" s="424">
        <f t="shared" si="1"/>
        <v>0.657997785929801</v>
      </c>
      <c r="I27" s="1">
        <v>460690</v>
      </c>
    </row>
    <row r="28" spans="1:9" ht="13.5" customHeight="1">
      <c r="A28" s="25" t="s">
        <v>261</v>
      </c>
      <c r="B28" s="26">
        <f>'- 32 -'!D28</f>
        <v>1750109</v>
      </c>
      <c r="C28" s="26">
        <f>B28/'- 7 -'!F28</f>
        <v>918.9335783670255</v>
      </c>
      <c r="D28" s="423">
        <f t="shared" si="0"/>
        <v>4.341851101148906</v>
      </c>
      <c r="E28" s="26">
        <f>I28/'- 7 -'!F28</f>
        <v>211.64557626673667</v>
      </c>
      <c r="F28" s="26">
        <f>'- 32 -'!F28</f>
        <v>103473</v>
      </c>
      <c r="G28" s="423">
        <f t="shared" si="1"/>
        <v>0.2567065017031401</v>
      </c>
      <c r="I28" s="1">
        <v>403079</v>
      </c>
    </row>
    <row r="29" spans="1:9" ht="13.5" customHeight="1">
      <c r="A29" s="331" t="s">
        <v>262</v>
      </c>
      <c r="B29" s="332">
        <f>'- 32 -'!D29</f>
        <v>8853848</v>
      </c>
      <c r="C29" s="332">
        <f>B29/'- 7 -'!F29</f>
        <v>703.999363892975</v>
      </c>
      <c r="D29" s="422">
        <f t="shared" si="0"/>
        <v>5.197994504849353</v>
      </c>
      <c r="E29" s="332">
        <f>I29/'- 7 -'!F29</f>
        <v>135.43672722935634</v>
      </c>
      <c r="F29" s="332">
        <f>'- 32 -'!F29</f>
        <v>1226446</v>
      </c>
      <c r="G29" s="422">
        <f t="shared" si="1"/>
        <v>0.720032642134185</v>
      </c>
      <c r="I29" s="1">
        <v>1703320</v>
      </c>
    </row>
    <row r="30" spans="1:9" ht="13.5" customHeight="1">
      <c r="A30" s="25" t="s">
        <v>263</v>
      </c>
      <c r="B30" s="26">
        <f>'- 32 -'!D30</f>
        <v>864153</v>
      </c>
      <c r="C30" s="26">
        <f>B30/'- 7 -'!F30</f>
        <v>720.7281067556297</v>
      </c>
      <c r="D30" s="423">
        <f t="shared" si="0"/>
        <v>4.135197990190214</v>
      </c>
      <c r="E30" s="26">
        <f>I30/'- 7 -'!F30</f>
        <v>174.29107589658048</v>
      </c>
      <c r="F30" s="26">
        <f>'- 32 -'!F30</f>
        <v>253077</v>
      </c>
      <c r="G30" s="423">
        <f t="shared" si="1"/>
        <v>1.2110395980380428</v>
      </c>
      <c r="I30" s="1">
        <v>208975</v>
      </c>
    </row>
    <row r="31" spans="1:9" ht="13.5" customHeight="1">
      <c r="A31" s="331" t="s">
        <v>264</v>
      </c>
      <c r="B31" s="332">
        <f>'- 32 -'!D31</f>
        <v>2979985</v>
      </c>
      <c r="C31" s="332">
        <f>B31/'- 7 -'!F31</f>
        <v>893.4147803927447</v>
      </c>
      <c r="D31" s="422">
        <f t="shared" si="0"/>
        <v>5.0125566859095985</v>
      </c>
      <c r="E31" s="332">
        <f>I31/'- 7 -'!F31</f>
        <v>178.2353470244341</v>
      </c>
      <c r="F31" s="332">
        <f>'- 32 -'!F31</f>
        <v>140368</v>
      </c>
      <c r="G31" s="422">
        <f t="shared" si="1"/>
        <v>0.2361094290366423</v>
      </c>
      <c r="I31" s="1">
        <v>594504</v>
      </c>
    </row>
    <row r="32" spans="1:9" ht="13.5" customHeight="1">
      <c r="A32" s="25" t="s">
        <v>265</v>
      </c>
      <c r="B32" s="26">
        <f>'- 32 -'!D32</f>
        <v>1712600</v>
      </c>
      <c r="C32" s="26">
        <f>B32/'- 7 -'!F32</f>
        <v>790.67405355494</v>
      </c>
      <c r="D32" s="423">
        <f t="shared" si="0"/>
        <v>4.211722290944772</v>
      </c>
      <c r="E32" s="26">
        <f>I32/'- 7 -'!F32</f>
        <v>187.73176361957525</v>
      </c>
      <c r="F32" s="26">
        <f>'- 32 -'!F32</f>
        <v>284300</v>
      </c>
      <c r="G32" s="423">
        <f t="shared" si="1"/>
        <v>0.6991665580495147</v>
      </c>
      <c r="I32" s="1">
        <v>406627</v>
      </c>
    </row>
    <row r="33" spans="1:9" ht="13.5" customHeight="1">
      <c r="A33" s="331" t="s">
        <v>266</v>
      </c>
      <c r="B33" s="332">
        <f>'- 32 -'!D33</f>
        <v>2331291</v>
      </c>
      <c r="C33" s="332">
        <f>B33/'- 7 -'!F33</f>
        <v>1012.6361740943446</v>
      </c>
      <c r="D33" s="422">
        <f t="shared" si="0"/>
        <v>4.611413752996748</v>
      </c>
      <c r="E33" s="332">
        <f>I33/'- 7 -'!F33</f>
        <v>219.59343236903834</v>
      </c>
      <c r="F33" s="332">
        <f>'- 32 -'!F33</f>
        <v>231510</v>
      </c>
      <c r="G33" s="422">
        <f t="shared" si="1"/>
        <v>0.4579387120510812</v>
      </c>
      <c r="I33" s="1">
        <v>505548</v>
      </c>
    </row>
    <row r="34" spans="1:9" ht="13.5" customHeight="1">
      <c r="A34" s="25" t="s">
        <v>267</v>
      </c>
      <c r="B34" s="26">
        <f>'- 32 -'!D34</f>
        <v>1678616</v>
      </c>
      <c r="C34" s="26">
        <f>B34/'- 7 -'!F34</f>
        <v>821.4416442378273</v>
      </c>
      <c r="D34" s="423">
        <f t="shared" si="0"/>
        <v>4.609201840807495</v>
      </c>
      <c r="E34" s="26">
        <f>I34/'- 7 -'!F34</f>
        <v>178.21776364081234</v>
      </c>
      <c r="F34" s="26">
        <f>'- 32 -'!F34</f>
        <v>265817</v>
      </c>
      <c r="G34" s="423">
        <f t="shared" si="1"/>
        <v>0.729889507616945</v>
      </c>
      <c r="I34" s="1">
        <v>364188</v>
      </c>
    </row>
    <row r="35" spans="1:9" ht="13.5" customHeight="1">
      <c r="A35" s="331" t="s">
        <v>268</v>
      </c>
      <c r="B35" s="332">
        <f>'- 32 -'!D35</f>
        <v>15355136</v>
      </c>
      <c r="C35" s="332">
        <f>B35/'- 7 -'!F35</f>
        <v>913.7786241371102</v>
      </c>
      <c r="D35" s="422">
        <f t="shared" si="0"/>
        <v>6.364327256570265</v>
      </c>
      <c r="E35" s="332">
        <f>I35/'- 7 -'!F35</f>
        <v>143.57819566769817</v>
      </c>
      <c r="F35" s="332">
        <f>'- 32 -'!F35</f>
        <v>744949</v>
      </c>
      <c r="G35" s="422">
        <f t="shared" si="1"/>
        <v>0.3087630891354373</v>
      </c>
      <c r="I35" s="1">
        <v>2412688</v>
      </c>
    </row>
    <row r="36" spans="1:9" ht="13.5" customHeight="1">
      <c r="A36" s="25" t="s">
        <v>269</v>
      </c>
      <c r="B36" s="26">
        <f>'- 32 -'!D36</f>
        <v>1779338</v>
      </c>
      <c r="C36" s="26">
        <f>B36/'- 7 -'!F36</f>
        <v>917.657555440949</v>
      </c>
      <c r="D36" s="423">
        <f t="shared" si="0"/>
        <v>5.50907632909472</v>
      </c>
      <c r="E36" s="26">
        <f>I36/'- 7 -'!F36</f>
        <v>166.57194430118616</v>
      </c>
      <c r="F36" s="26">
        <f>'- 32 -'!F36</f>
        <v>109141</v>
      </c>
      <c r="G36" s="423">
        <f t="shared" si="1"/>
        <v>0.33791561784985585</v>
      </c>
      <c r="I36" s="1">
        <v>322983</v>
      </c>
    </row>
    <row r="37" spans="1:9" ht="13.5" customHeight="1">
      <c r="A37" s="331" t="s">
        <v>270</v>
      </c>
      <c r="B37" s="332">
        <f>'- 32 -'!D37</f>
        <v>2758185</v>
      </c>
      <c r="C37" s="332">
        <f>B37/'- 7 -'!F37</f>
        <v>820.9861293011073</v>
      </c>
      <c r="D37" s="422">
        <f t="shared" si="0"/>
        <v>5.085608766278664</v>
      </c>
      <c r="E37" s="332">
        <f>I37/'- 7 -'!F37</f>
        <v>161.4332063340874</v>
      </c>
      <c r="F37" s="332">
        <f>'- 32 -'!F37</f>
        <v>185383</v>
      </c>
      <c r="G37" s="422">
        <f t="shared" si="1"/>
        <v>0.34181369629631</v>
      </c>
      <c r="I37" s="1">
        <v>542351</v>
      </c>
    </row>
    <row r="38" spans="1:9" ht="13.5" customHeight="1">
      <c r="A38" s="25" t="s">
        <v>271</v>
      </c>
      <c r="B38" s="26">
        <f>'- 32 -'!D38</f>
        <v>6770402</v>
      </c>
      <c r="C38" s="26">
        <f>B38/'- 7 -'!F38</f>
        <v>773.1858619311369</v>
      </c>
      <c r="D38" s="423">
        <f t="shared" si="0"/>
        <v>6.234359317189419</v>
      </c>
      <c r="E38" s="26">
        <f>I38/'- 7 -'!F38</f>
        <v>124.02009935476504</v>
      </c>
      <c r="F38" s="26">
        <f>'- 32 -'!F38</f>
        <v>525152</v>
      </c>
      <c r="G38" s="423">
        <f t="shared" si="1"/>
        <v>0.4835733925608343</v>
      </c>
      <c r="I38" s="1">
        <v>1085982</v>
      </c>
    </row>
    <row r="39" spans="1:9" ht="13.5" customHeight="1">
      <c r="A39" s="331" t="s">
        <v>272</v>
      </c>
      <c r="B39" s="332">
        <f>'- 32 -'!D39</f>
        <v>1597796</v>
      </c>
      <c r="C39" s="332">
        <f>B39/'- 7 -'!F39</f>
        <v>965.4356495468278</v>
      </c>
      <c r="D39" s="422">
        <f t="shared" si="0"/>
        <v>5.1101182385431425</v>
      </c>
      <c r="E39" s="332">
        <f>I39/'- 7 -'!F39</f>
        <v>188.9262839879154</v>
      </c>
      <c r="F39" s="332">
        <f>'- 32 -'!F39</f>
        <v>124735</v>
      </c>
      <c r="G39" s="422">
        <f t="shared" si="1"/>
        <v>0.3989311517144109</v>
      </c>
      <c r="I39" s="1">
        <v>312673</v>
      </c>
    </row>
    <row r="40" spans="1:9" ht="13.5" customHeight="1">
      <c r="A40" s="25" t="s">
        <v>273</v>
      </c>
      <c r="B40" s="26">
        <f>'- 32 -'!D40</f>
        <v>7024206</v>
      </c>
      <c r="C40" s="26">
        <f>B40/'- 7 -'!F40</f>
        <v>808.6487419917456</v>
      </c>
      <c r="D40" s="423">
        <f t="shared" si="0"/>
        <v>4.948132775698506</v>
      </c>
      <c r="E40" s="26">
        <f>I40/'- 7 -'!F40</f>
        <v>163.42502892469219</v>
      </c>
      <c r="F40" s="26">
        <f>'- 32 -'!F40</f>
        <v>1458154</v>
      </c>
      <c r="G40" s="423">
        <f t="shared" si="1"/>
        <v>1.0271822323285904</v>
      </c>
      <c r="I40" s="1">
        <v>1419567</v>
      </c>
    </row>
    <row r="41" spans="1:9" ht="13.5" customHeight="1">
      <c r="A41" s="331" t="s">
        <v>274</v>
      </c>
      <c r="B41" s="332">
        <f>'- 32 -'!D41</f>
        <v>3601039</v>
      </c>
      <c r="C41" s="332">
        <f>B41/'- 7 -'!F41</f>
        <v>769.8640299305184</v>
      </c>
      <c r="D41" s="422">
        <f t="shared" si="0"/>
        <v>5.019849169175867</v>
      </c>
      <c r="E41" s="332">
        <f>I41/'- 7 -'!F41</f>
        <v>153.3639764831641</v>
      </c>
      <c r="F41" s="332">
        <f>'- 32 -'!F41</f>
        <v>567042</v>
      </c>
      <c r="G41" s="422">
        <f t="shared" si="1"/>
        <v>0.7904566744730679</v>
      </c>
      <c r="I41" s="1">
        <v>717360</v>
      </c>
    </row>
    <row r="42" spans="1:9" ht="13.5" customHeight="1">
      <c r="A42" s="25" t="s">
        <v>275</v>
      </c>
      <c r="B42" s="26">
        <f>'- 32 -'!D42</f>
        <v>1419502</v>
      </c>
      <c r="C42" s="26">
        <f>B42/'- 7 -'!F42</f>
        <v>821.4710648148148</v>
      </c>
      <c r="D42" s="423">
        <f t="shared" si="0"/>
        <v>4.3999057717879495</v>
      </c>
      <c r="E42" s="26">
        <f>I42/'- 7 -'!F42</f>
        <v>186.70196759259258</v>
      </c>
      <c r="F42" s="26">
        <f>'- 32 -'!F42</f>
        <v>112017</v>
      </c>
      <c r="G42" s="423">
        <f t="shared" si="1"/>
        <v>0.34720926412105846</v>
      </c>
      <c r="I42" s="1">
        <v>322621</v>
      </c>
    </row>
    <row r="43" spans="1:9" ht="13.5" customHeight="1">
      <c r="A43" s="331" t="s">
        <v>276</v>
      </c>
      <c r="B43" s="332">
        <f>'- 32 -'!D43</f>
        <v>695114</v>
      </c>
      <c r="C43" s="332">
        <f>B43/'- 7 -'!F43</f>
        <v>638.0119320789353</v>
      </c>
      <c r="D43" s="422">
        <f t="shared" si="0"/>
        <v>3.8067996363596532</v>
      </c>
      <c r="E43" s="332">
        <f>I43/'- 7 -'!F43</f>
        <v>167.59798072510327</v>
      </c>
      <c r="F43" s="332">
        <f>'- 32 -'!F43</f>
        <v>272535</v>
      </c>
      <c r="G43" s="422">
        <f t="shared" si="1"/>
        <v>1.4925409916866559</v>
      </c>
      <c r="I43" s="1">
        <v>182598</v>
      </c>
    </row>
    <row r="44" spans="1:9" ht="13.5" customHeight="1">
      <c r="A44" s="25" t="s">
        <v>277</v>
      </c>
      <c r="B44" s="26">
        <f>'- 32 -'!D44</f>
        <v>678743</v>
      </c>
      <c r="C44" s="26">
        <f>B44/'- 7 -'!F44</f>
        <v>830.2666666666667</v>
      </c>
      <c r="D44" s="423">
        <f t="shared" si="0"/>
        <v>3.8093749473837812</v>
      </c>
      <c r="E44" s="26">
        <f>I44/'- 7 -'!F44</f>
        <v>217.95351681957186</v>
      </c>
      <c r="F44" s="26">
        <f>'- 32 -'!F44</f>
        <v>111907</v>
      </c>
      <c r="G44" s="423">
        <f t="shared" si="1"/>
        <v>0.6280664732260617</v>
      </c>
      <c r="I44" s="1">
        <v>178177</v>
      </c>
    </row>
    <row r="45" spans="1:9" ht="13.5" customHeight="1">
      <c r="A45" s="331" t="s">
        <v>278</v>
      </c>
      <c r="B45" s="332">
        <f>'- 32 -'!D45</f>
        <v>972167</v>
      </c>
      <c r="C45" s="332">
        <f>B45/'- 7 -'!F45</f>
        <v>658.64972899729</v>
      </c>
      <c r="D45" s="422">
        <f t="shared" si="0"/>
        <v>4.671768527684604</v>
      </c>
      <c r="E45" s="332">
        <f>I45/'- 7 -'!F45</f>
        <v>140.9850948509485</v>
      </c>
      <c r="F45" s="332">
        <f>'- 32 -'!F45</f>
        <v>122626</v>
      </c>
      <c r="G45" s="422">
        <f t="shared" si="1"/>
        <v>0.5892817668938076</v>
      </c>
      <c r="I45" s="1">
        <v>208094</v>
      </c>
    </row>
    <row r="46" spans="1:9" ht="13.5" customHeight="1">
      <c r="A46" s="25" t="s">
        <v>279</v>
      </c>
      <c r="B46" s="26">
        <f>'- 32 -'!D46</f>
        <v>29628414</v>
      </c>
      <c r="C46" s="26">
        <f>B46/'- 7 -'!F46</f>
        <v>980.1969762133192</v>
      </c>
      <c r="D46" s="423">
        <f t="shared" si="0"/>
        <v>6.02910608579574</v>
      </c>
      <c r="E46" s="26">
        <f>I46/'- 7 -'!F46</f>
        <v>162.57749693982203</v>
      </c>
      <c r="F46" s="26">
        <f>'- 32 -'!F46</f>
        <v>6377024</v>
      </c>
      <c r="G46" s="423">
        <f t="shared" si="1"/>
        <v>1.297664944457219</v>
      </c>
      <c r="I46" s="1">
        <v>4914230</v>
      </c>
    </row>
    <row r="47" spans="1:9" ht="4.5" customHeight="1">
      <c r="A47"/>
      <c r="B47" s="28"/>
      <c r="C47" s="428"/>
      <c r="D47" s="425"/>
      <c r="E47" s="428"/>
      <c r="F47" s="428"/>
      <c r="G47" s="425"/>
      <c r="I47"/>
    </row>
    <row r="48" spans="1:9" ht="13.5" customHeight="1">
      <c r="A48" s="333" t="s">
        <v>280</v>
      </c>
      <c r="B48" s="334">
        <f>SUM(B11:B46)</f>
        <v>154500106</v>
      </c>
      <c r="C48" s="334">
        <f>B48/'- 7 -'!F48</f>
        <v>889.452432075447</v>
      </c>
      <c r="D48" s="426">
        <f>B48/I48</f>
        <v>5.513689625452288</v>
      </c>
      <c r="E48" s="334">
        <f>I48/'- 7 -'!F48</f>
        <v>161.31710206710906</v>
      </c>
      <c r="F48" s="334">
        <f>SUM(F11:F46)</f>
        <v>18258248</v>
      </c>
      <c r="G48" s="426">
        <f t="shared" si="1"/>
        <v>0.651587336623154</v>
      </c>
      <c r="I48" s="1">
        <f>SUM(I11:I46)</f>
        <v>28021183</v>
      </c>
    </row>
    <row r="49" spans="1:7" ht="4.5" customHeight="1">
      <c r="A49" s="27" t="s">
        <v>32</v>
      </c>
      <c r="B49" s="28"/>
      <c r="C49" s="428"/>
      <c r="D49" s="425"/>
      <c r="E49" s="428"/>
      <c r="F49" s="428"/>
      <c r="G49" s="425"/>
    </row>
    <row r="50" spans="1:9" ht="13.5" customHeight="1">
      <c r="A50" s="25" t="s">
        <v>281</v>
      </c>
      <c r="B50" s="26">
        <f>'- 32 -'!D50</f>
        <v>300274</v>
      </c>
      <c r="C50" s="26">
        <f>B50/'- 7 -'!F50</f>
        <v>1315.2606219886113</v>
      </c>
      <c r="D50" s="423">
        <f>B50/I50</f>
        <v>4.295396675535719</v>
      </c>
      <c r="E50" s="26">
        <f>I50/'- 7 -'!F50</f>
        <v>306.2023653088042</v>
      </c>
      <c r="F50" s="26">
        <f>'- 32 -'!F50</f>
        <v>0</v>
      </c>
      <c r="G50" s="423">
        <f>F50/I50</f>
        <v>0</v>
      </c>
      <c r="I50" s="530">
        <v>69906</v>
      </c>
    </row>
    <row r="51" spans="1:7" ht="13.5" customHeight="1">
      <c r="A51" s="331" t="s">
        <v>282</v>
      </c>
      <c r="B51" s="332">
        <f>'- 32 -'!D51</f>
        <v>857052</v>
      </c>
      <c r="C51" s="332">
        <f>B51/'- 7 -'!F51</f>
        <v>1287.4447949526814</v>
      </c>
      <c r="D51" s="424" t="s">
        <v>204</v>
      </c>
      <c r="E51" s="332">
        <f>I51/'- 7 -'!F51</f>
        <v>0</v>
      </c>
      <c r="F51" s="332">
        <f>'- 32 -'!F51</f>
        <v>29607</v>
      </c>
      <c r="G51" s="424" t="s">
        <v>204</v>
      </c>
    </row>
    <row r="52" spans="1:9" ht="49.5" customHeight="1">
      <c r="A52" s="29"/>
      <c r="B52" s="29"/>
      <c r="C52" s="29"/>
      <c r="D52" s="29"/>
      <c r="E52" s="29"/>
      <c r="F52" s="29"/>
      <c r="G52" s="29"/>
      <c r="I52" s="255"/>
    </row>
    <row r="53" ht="15" customHeight="1">
      <c r="A53" s="489" t="s">
        <v>541</v>
      </c>
    </row>
    <row r="54" ht="12" customHeight="1">
      <c r="A54" s="128" t="s">
        <v>396</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6"/>
  <sheetViews>
    <sheetView showGridLines="0" showZeros="0" workbookViewId="0" topLeftCell="A1">
      <selection activeCell="A1" sqref="A1"/>
    </sheetView>
  </sheetViews>
  <sheetFormatPr defaultColWidth="15.83203125" defaultRowHeight="12"/>
  <cols>
    <col min="1" max="1" width="32.83203125" style="1" customWidth="1"/>
    <col min="2" max="2" width="13.83203125" style="1" customWidth="1"/>
    <col min="3" max="3" width="8.83203125" style="1" customWidth="1"/>
    <col min="4" max="4" width="9.83203125" style="1" customWidth="1"/>
    <col min="5" max="5" width="14.83203125" style="1" customWidth="1"/>
    <col min="6" max="6" width="8.83203125" style="1" customWidth="1"/>
    <col min="7" max="7" width="9.83203125" style="1" customWidth="1"/>
    <col min="8" max="8" width="14.83203125" style="1" customWidth="1"/>
    <col min="9" max="9" width="8.83203125" style="1" customWidth="1"/>
    <col min="10" max="10" width="9.83203125" style="1" customWidth="1"/>
    <col min="11" max="16384" width="15.83203125" style="1" customWidth="1"/>
  </cols>
  <sheetData>
    <row r="1" spans="1:10" ht="6.75" customHeight="1">
      <c r="A1" s="5"/>
      <c r="B1" s="6"/>
      <c r="C1" s="6"/>
      <c r="D1" s="6"/>
      <c r="E1" s="6"/>
      <c r="F1" s="6"/>
      <c r="G1" s="6"/>
      <c r="H1" s="6"/>
      <c r="I1" s="6"/>
      <c r="J1" s="6"/>
    </row>
    <row r="2" spans="1:10" ht="15.75" customHeight="1">
      <c r="A2" s="154"/>
      <c r="B2" s="7" t="s">
        <v>526</v>
      </c>
      <c r="C2" s="8"/>
      <c r="D2" s="8"/>
      <c r="E2" s="8"/>
      <c r="F2" s="8"/>
      <c r="G2" s="8"/>
      <c r="H2" s="81"/>
      <c r="I2" s="174"/>
      <c r="J2" s="91"/>
    </row>
    <row r="3" spans="1:10" ht="15.75" customHeight="1">
      <c r="A3" s="156"/>
      <c r="B3" s="9" t="str">
        <f>OPYEAR</f>
        <v>OPERATING FUND 2006/2007 ACTUAL</v>
      </c>
      <c r="C3" s="10"/>
      <c r="D3" s="10"/>
      <c r="E3" s="10"/>
      <c r="F3" s="10"/>
      <c r="G3" s="10"/>
      <c r="H3" s="83"/>
      <c r="I3" s="83"/>
      <c r="J3" s="73"/>
    </row>
    <row r="4" spans="2:10" ht="15.75" customHeight="1">
      <c r="B4" s="6"/>
      <c r="C4" s="6"/>
      <c r="D4" s="6"/>
      <c r="E4" s="6"/>
      <c r="F4" s="6"/>
      <c r="G4" s="6"/>
      <c r="H4" s="6"/>
      <c r="I4" s="6"/>
      <c r="J4" s="6"/>
    </row>
    <row r="5" ht="13.5" customHeight="1"/>
    <row r="6" spans="2:10" ht="18" customHeight="1">
      <c r="B6" s="482" t="s">
        <v>538</v>
      </c>
      <c r="C6" s="176"/>
      <c r="D6" s="177"/>
      <c r="E6" s="177"/>
      <c r="F6" s="177"/>
      <c r="G6" s="177"/>
      <c r="H6" s="177"/>
      <c r="I6" s="177"/>
      <c r="J6" s="178"/>
    </row>
    <row r="7" spans="2:10" ht="15.75" customHeight="1">
      <c r="B7" s="345" t="s">
        <v>177</v>
      </c>
      <c r="C7" s="346"/>
      <c r="D7" s="347"/>
      <c r="E7" s="345" t="s">
        <v>165</v>
      </c>
      <c r="F7" s="346"/>
      <c r="G7" s="347"/>
      <c r="H7" s="345" t="s">
        <v>586</v>
      </c>
      <c r="I7" s="346"/>
      <c r="J7" s="347"/>
    </row>
    <row r="8" spans="1:10" ht="15.75" customHeight="1">
      <c r="A8" s="74"/>
      <c r="B8" s="159"/>
      <c r="C8" s="76"/>
      <c r="D8" s="18" t="s">
        <v>89</v>
      </c>
      <c r="E8" s="159"/>
      <c r="F8" s="157"/>
      <c r="G8" s="18" t="s">
        <v>89</v>
      </c>
      <c r="H8" s="159"/>
      <c r="I8" s="157"/>
      <c r="J8" s="18" t="s">
        <v>89</v>
      </c>
    </row>
    <row r="9" spans="1:10" ht="15.75" customHeight="1">
      <c r="A9" s="41" t="s">
        <v>108</v>
      </c>
      <c r="B9" s="86" t="s">
        <v>109</v>
      </c>
      <c r="C9" s="86" t="s">
        <v>110</v>
      </c>
      <c r="D9" s="86" t="s">
        <v>111</v>
      </c>
      <c r="E9" s="86" t="s">
        <v>109</v>
      </c>
      <c r="F9" s="86" t="s">
        <v>110</v>
      </c>
      <c r="G9" s="86" t="s">
        <v>111</v>
      </c>
      <c r="H9" s="86" t="s">
        <v>109</v>
      </c>
      <c r="I9" s="86" t="s">
        <v>110</v>
      </c>
      <c r="J9" s="86" t="s">
        <v>111</v>
      </c>
    </row>
    <row r="10" ht="4.5" customHeight="1">
      <c r="A10" s="4"/>
    </row>
    <row r="11" spans="1:10" ht="13.5" customHeight="1">
      <c r="A11" s="331" t="s">
        <v>245</v>
      </c>
      <c r="B11" s="332">
        <v>99839</v>
      </c>
      <c r="C11" s="338">
        <f>B11/'- 3 -'!D11*100</f>
        <v>0.8269968797999733</v>
      </c>
      <c r="D11" s="332">
        <f>B11/'- 7 -'!F11</f>
        <v>68.64145754554829</v>
      </c>
      <c r="E11" s="332">
        <v>47260</v>
      </c>
      <c r="F11" s="338">
        <f>E11/'- 3 -'!D11*100</f>
        <v>0.3914689904681211</v>
      </c>
      <c r="G11" s="332">
        <f>E11/'- 7 -'!F11</f>
        <v>32.49226538329323</v>
      </c>
      <c r="H11" s="332">
        <v>168527</v>
      </c>
      <c r="I11" s="338">
        <f>H11/'- 3 -'!D11*100</f>
        <v>1.3959605280706948</v>
      </c>
      <c r="J11" s="332">
        <f>H11/'- 7 -'!F11</f>
        <v>115.86593331041595</v>
      </c>
    </row>
    <row r="12" spans="1:10" ht="13.5" customHeight="1">
      <c r="A12" s="25" t="s">
        <v>246</v>
      </c>
      <c r="B12" s="26">
        <v>110432</v>
      </c>
      <c r="C12" s="78">
        <f>B12/'- 3 -'!D12*100</f>
        <v>0.5020304894819639</v>
      </c>
      <c r="D12" s="26">
        <f>B12/'- 7 -'!F12</f>
        <v>46.103042169554925</v>
      </c>
      <c r="E12" s="26">
        <v>66325</v>
      </c>
      <c r="F12" s="78">
        <f>E12/'- 3 -'!D12*100</f>
        <v>0.30151742443215057</v>
      </c>
      <c r="G12" s="26">
        <f>E12/'- 7 -'!F12</f>
        <v>27.689295420672728</v>
      </c>
      <c r="H12" s="26">
        <v>286750</v>
      </c>
      <c r="I12" s="78">
        <f>H12/'- 3 -'!D12*100</f>
        <v>1.3035826830896222</v>
      </c>
      <c r="J12" s="26">
        <f>H12/'- 7 -'!F12</f>
        <v>119.71210647384703</v>
      </c>
    </row>
    <row r="13" spans="1:10" ht="13.5" customHeight="1">
      <c r="A13" s="331" t="s">
        <v>247</v>
      </c>
      <c r="B13" s="332">
        <v>257704</v>
      </c>
      <c r="C13" s="338">
        <f>B13/'- 3 -'!D13*100</f>
        <v>0.47995660082616065</v>
      </c>
      <c r="D13" s="332">
        <f>B13/'- 7 -'!F13</f>
        <v>38.215170163861494</v>
      </c>
      <c r="E13" s="332">
        <v>134808</v>
      </c>
      <c r="F13" s="338">
        <f>E13/'- 3 -'!D13*100</f>
        <v>0.25107095522061385</v>
      </c>
      <c r="G13" s="332">
        <f>E13/'- 7 -'!F13</f>
        <v>19.99080596129606</v>
      </c>
      <c r="H13" s="332">
        <v>965628</v>
      </c>
      <c r="I13" s="338">
        <f>H13/'- 3 -'!D13*100</f>
        <v>1.7984180786583208</v>
      </c>
      <c r="J13" s="332">
        <f>H13/'- 7 -'!F13</f>
        <v>143.1938904129903</v>
      </c>
    </row>
    <row r="14" spans="1:10" ht="13.5" customHeight="1">
      <c r="A14" s="25" t="s">
        <v>283</v>
      </c>
      <c r="B14" s="26">
        <v>180970</v>
      </c>
      <c r="C14" s="78">
        <f>B14/'- 3 -'!D14*100</f>
        <v>0.36841582923843863</v>
      </c>
      <c r="D14" s="26">
        <f>B14/'- 7 -'!F14</f>
        <v>38.660542619098486</v>
      </c>
      <c r="E14" s="26">
        <v>128968</v>
      </c>
      <c r="F14" s="78">
        <f>E14/'- 3 -'!D14*100</f>
        <v>0.26255099002720317</v>
      </c>
      <c r="G14" s="26">
        <f>E14/'- 7 -'!F14</f>
        <v>27.55137791070284</v>
      </c>
      <c r="H14" s="26">
        <v>715418</v>
      </c>
      <c r="I14" s="78">
        <f>H14/'- 3 -'!D14*100</f>
        <v>1.456436512803809</v>
      </c>
      <c r="J14" s="26">
        <f>H14/'- 7 -'!F14</f>
        <v>152.83443708609272</v>
      </c>
    </row>
    <row r="15" spans="1:10" ht="13.5" customHeight="1">
      <c r="A15" s="331" t="s">
        <v>248</v>
      </c>
      <c r="B15" s="332">
        <v>44945</v>
      </c>
      <c r="C15" s="338">
        <f>B15/'- 3 -'!D15*100</f>
        <v>0.31782601209146066</v>
      </c>
      <c r="D15" s="332">
        <f>B15/'- 7 -'!F15</f>
        <v>27.658461538461538</v>
      </c>
      <c r="E15" s="332">
        <v>26717</v>
      </c>
      <c r="F15" s="338">
        <f>E15/'- 3 -'!D15*100</f>
        <v>0.18892774646896326</v>
      </c>
      <c r="G15" s="332">
        <f>E15/'- 7 -'!F15</f>
        <v>16.44123076923077</v>
      </c>
      <c r="H15" s="332">
        <v>259389</v>
      </c>
      <c r="I15" s="338">
        <f>H15/'- 3 -'!D15*100</f>
        <v>1.8342545655888727</v>
      </c>
      <c r="J15" s="332">
        <f>H15/'- 7 -'!F15</f>
        <v>159.624</v>
      </c>
    </row>
    <row r="16" spans="1:10" ht="13.5" customHeight="1">
      <c r="A16" s="25" t="s">
        <v>249</v>
      </c>
      <c r="B16" s="26">
        <v>82649</v>
      </c>
      <c r="C16" s="78">
        <f>B16/'- 3 -'!D16*100</f>
        <v>0.743417965981856</v>
      </c>
      <c r="D16" s="26">
        <f>B16/'- 7 -'!F16</f>
        <v>74.22451728783116</v>
      </c>
      <c r="E16" s="26">
        <v>6099</v>
      </c>
      <c r="F16" s="78">
        <f>E16/'- 3 -'!D16*100</f>
        <v>0.05485978262923133</v>
      </c>
      <c r="G16" s="26">
        <f>E16/'- 7 -'!F16</f>
        <v>5.477323753929053</v>
      </c>
      <c r="H16" s="26">
        <v>30076</v>
      </c>
      <c r="I16" s="78">
        <f>H16/'- 3 -'!D16*100</f>
        <v>0.2705300577728745</v>
      </c>
      <c r="J16" s="26">
        <f>H16/'- 7 -'!F16</f>
        <v>27.010327795240233</v>
      </c>
    </row>
    <row r="17" spans="1:10" ht="13.5" customHeight="1">
      <c r="A17" s="331" t="s">
        <v>250</v>
      </c>
      <c r="B17" s="332">
        <v>82262</v>
      </c>
      <c r="C17" s="338">
        <f>B17/'- 3 -'!D17*100</f>
        <v>0.6159442725501367</v>
      </c>
      <c r="D17" s="332">
        <f>B17/'- 7 -'!F17</f>
        <v>56.3317094167596</v>
      </c>
      <c r="E17" s="332">
        <v>28529</v>
      </c>
      <c r="F17" s="338">
        <f>E17/'- 3 -'!D17*100</f>
        <v>0.21361350503978568</v>
      </c>
      <c r="G17" s="332">
        <f>E17/'- 7 -'!F17</f>
        <v>19.53620551349025</v>
      </c>
      <c r="H17" s="332">
        <v>217630</v>
      </c>
      <c r="I17" s="338">
        <f>H17/'- 3 -'!D17*100</f>
        <v>1.6295245925832857</v>
      </c>
      <c r="J17" s="332">
        <f>H17/'- 7 -'!F17</f>
        <v>149.0295631077459</v>
      </c>
    </row>
    <row r="18" spans="1:10" ht="13.5" customHeight="1">
      <c r="A18" s="25" t="s">
        <v>251</v>
      </c>
      <c r="B18" s="26">
        <v>274856</v>
      </c>
      <c r="C18" s="78">
        <f>B18/'- 3 -'!D18*100</f>
        <v>0.3159685659237324</v>
      </c>
      <c r="D18" s="26">
        <f>B18/'- 7 -'!F18</f>
        <v>48.06183115338882</v>
      </c>
      <c r="E18" s="26">
        <v>402272</v>
      </c>
      <c r="F18" s="78">
        <f>E18/'- 3 -'!D18*100</f>
        <v>0.462443268297842</v>
      </c>
      <c r="G18" s="26">
        <f>E18/'- 7 -'!F18</f>
        <v>70.34202979646079</v>
      </c>
      <c r="H18" s="26">
        <v>717555</v>
      </c>
      <c r="I18" s="78">
        <f>H18/'- 3 -'!D18*100</f>
        <v>0.8248858468485453</v>
      </c>
      <c r="J18" s="26">
        <f>H18/'- 7 -'!F18</f>
        <v>125.47300132895012</v>
      </c>
    </row>
    <row r="19" spans="1:10" ht="13.5" customHeight="1">
      <c r="A19" s="331" t="s">
        <v>252</v>
      </c>
      <c r="B19" s="332">
        <v>184656</v>
      </c>
      <c r="C19" s="338">
        <f>B19/'- 3 -'!D19*100</f>
        <v>0.7456823005568589</v>
      </c>
      <c r="D19" s="332">
        <f>B19/'- 7 -'!F19</f>
        <v>53.67189271202107</v>
      </c>
      <c r="E19" s="332">
        <v>46459</v>
      </c>
      <c r="F19" s="338">
        <f>E19/'- 3 -'!D19*100</f>
        <v>0.1876118512345719</v>
      </c>
      <c r="G19" s="332">
        <f>E19/'- 7 -'!F19</f>
        <v>13.50371752614476</v>
      </c>
      <c r="H19" s="332">
        <v>639051</v>
      </c>
      <c r="I19" s="338">
        <f>H19/'- 3 -'!D19*100</f>
        <v>2.5806311186918447</v>
      </c>
      <c r="J19" s="332">
        <f>H19/'- 7 -'!F19</f>
        <v>185.74580143352924</v>
      </c>
    </row>
    <row r="20" spans="1:10" ht="13.5" customHeight="1">
      <c r="A20" s="25" t="s">
        <v>253</v>
      </c>
      <c r="B20" s="26">
        <v>264222</v>
      </c>
      <c r="C20" s="78">
        <f>B20/'- 3 -'!D20*100</f>
        <v>0.5727813054198896</v>
      </c>
      <c r="D20" s="26">
        <f>B20/'- 7 -'!F20</f>
        <v>38.91340206185567</v>
      </c>
      <c r="E20" s="26">
        <v>107061</v>
      </c>
      <c r="F20" s="78">
        <f>E20/'- 3 -'!D20*100</f>
        <v>0.23208718176214999</v>
      </c>
      <c r="G20" s="26">
        <f>E20/'- 7 -'!F20</f>
        <v>15.767452135493373</v>
      </c>
      <c r="H20" s="26">
        <v>596425</v>
      </c>
      <c r="I20" s="78">
        <f>H20/'- 3 -'!D20*100</f>
        <v>1.2929320423169066</v>
      </c>
      <c r="J20" s="26">
        <f>H20/'- 7 -'!F20</f>
        <v>87.83873343151694</v>
      </c>
    </row>
    <row r="21" spans="1:10" ht="13.5" customHeight="1">
      <c r="A21" s="331" t="s">
        <v>254</v>
      </c>
      <c r="B21" s="332">
        <v>218909</v>
      </c>
      <c r="C21" s="338">
        <f>B21/'- 3 -'!D21*100</f>
        <v>0.8272976595883786</v>
      </c>
      <c r="D21" s="332">
        <f>B21/'- 7 -'!F21</f>
        <v>70.17438692098092</v>
      </c>
      <c r="E21" s="332">
        <v>99429</v>
      </c>
      <c r="F21" s="338">
        <f>E21/'- 3 -'!D21*100</f>
        <v>0.3757606082674212</v>
      </c>
      <c r="G21" s="332">
        <f>E21/'- 7 -'!F21</f>
        <v>31.87337714377304</v>
      </c>
      <c r="H21" s="332">
        <v>183043</v>
      </c>
      <c r="I21" s="338">
        <f>H21/'- 3 -'!D21*100</f>
        <v>0.691753402117024</v>
      </c>
      <c r="J21" s="332">
        <f>H21/'- 7 -'!F21</f>
        <v>58.67703157557301</v>
      </c>
    </row>
    <row r="22" spans="1:10" ht="13.5" customHeight="1">
      <c r="A22" s="25" t="s">
        <v>255</v>
      </c>
      <c r="B22" s="26">
        <v>62783</v>
      </c>
      <c r="C22" s="78">
        <f>B22/'- 3 -'!D22*100</f>
        <v>0.41904162857505756</v>
      </c>
      <c r="D22" s="26">
        <f>B22/'- 7 -'!F22</f>
        <v>38.60243482538121</v>
      </c>
      <c r="E22" s="26">
        <v>18478</v>
      </c>
      <c r="F22" s="78">
        <f>E22/'- 3 -'!D22*100</f>
        <v>0.1233303794468234</v>
      </c>
      <c r="G22" s="26">
        <f>E22/'- 7 -'!F22</f>
        <v>11.361288735858336</v>
      </c>
      <c r="H22" s="26">
        <v>106678</v>
      </c>
      <c r="I22" s="78">
        <f>H22/'- 3 -'!D22*100</f>
        <v>0.7120163555919595</v>
      </c>
      <c r="J22" s="26">
        <f>H22/'- 7 -'!F22</f>
        <v>65.59149040826365</v>
      </c>
    </row>
    <row r="23" spans="1:10" ht="13.5" customHeight="1">
      <c r="A23" s="331" t="s">
        <v>256</v>
      </c>
      <c r="B23" s="332">
        <v>47740</v>
      </c>
      <c r="C23" s="338">
        <f>B23/'- 3 -'!D23*100</f>
        <v>0.3812007504240998</v>
      </c>
      <c r="D23" s="332">
        <f>B23/'- 7 -'!F23</f>
        <v>36.666666666666664</v>
      </c>
      <c r="E23" s="332">
        <v>16340</v>
      </c>
      <c r="F23" s="338">
        <f>E23/'- 3 -'!D23*100</f>
        <v>0.13047382199266425</v>
      </c>
      <c r="G23" s="332">
        <f>E23/'- 7 -'!F23</f>
        <v>12.549923195084485</v>
      </c>
      <c r="H23" s="332">
        <v>541157</v>
      </c>
      <c r="I23" s="338">
        <f>H23/'- 3 -'!D23*100</f>
        <v>4.32110294296721</v>
      </c>
      <c r="J23" s="332">
        <f>H23/'- 7 -'!F23</f>
        <v>415.6351766513057</v>
      </c>
    </row>
    <row r="24" spans="1:10" ht="13.5" customHeight="1">
      <c r="A24" s="25" t="s">
        <v>257</v>
      </c>
      <c r="B24" s="26">
        <v>163949</v>
      </c>
      <c r="C24" s="78">
        <f>B24/'- 3 -'!D24*100</f>
        <v>0.41009099648292613</v>
      </c>
      <c r="D24" s="26">
        <f>B24/'- 7 -'!F24</f>
        <v>35.99714568009661</v>
      </c>
      <c r="E24" s="26">
        <v>184130</v>
      </c>
      <c r="F24" s="78">
        <f>E24/'- 3 -'!D24*100</f>
        <v>0.46057039190480686</v>
      </c>
      <c r="G24" s="26">
        <f>E24/'- 7 -'!F24</f>
        <v>40.428147985508836</v>
      </c>
      <c r="H24" s="26">
        <v>98391</v>
      </c>
      <c r="I24" s="78">
        <f>H24/'- 3 -'!D24*100</f>
        <v>0.2461086266762931</v>
      </c>
      <c r="J24" s="26">
        <f>H24/'- 7 -'!F24</f>
        <v>21.603029970358985</v>
      </c>
    </row>
    <row r="25" spans="1:10" ht="13.5" customHeight="1">
      <c r="A25" s="331" t="s">
        <v>258</v>
      </c>
      <c r="B25" s="332">
        <v>561434</v>
      </c>
      <c r="C25" s="338">
        <f>B25/'- 3 -'!D25*100</f>
        <v>0.45079357748464355</v>
      </c>
      <c r="D25" s="332">
        <f>B25/'- 7 -'!F25</f>
        <v>38.90067555863502</v>
      </c>
      <c r="E25" s="332">
        <v>608251</v>
      </c>
      <c r="F25" s="338">
        <f>E25/'- 3 -'!D25*100</f>
        <v>0.4883844660255915</v>
      </c>
      <c r="G25" s="332">
        <f>E25/'- 7 -'!F25</f>
        <v>42.14453490386281</v>
      </c>
      <c r="H25" s="332">
        <v>1393653</v>
      </c>
      <c r="I25" s="338">
        <f>H25/'- 3 -'!D25*100</f>
        <v>1.1190092186119933</v>
      </c>
      <c r="J25" s="332">
        <f>H25/'- 7 -'!F25</f>
        <v>96.56351983370864</v>
      </c>
    </row>
    <row r="26" spans="1:10" ht="13.5" customHeight="1">
      <c r="A26" s="25" t="s">
        <v>259</v>
      </c>
      <c r="B26" s="26">
        <v>247812</v>
      </c>
      <c r="C26" s="78">
        <f>B26/'- 3 -'!D26*100</f>
        <v>0.8208095008968019</v>
      </c>
      <c r="D26" s="26">
        <f>B26/'- 7 -'!F26</f>
        <v>77.4049664219897</v>
      </c>
      <c r="E26" s="26">
        <v>113747</v>
      </c>
      <c r="F26" s="78">
        <f>E26/'- 3 -'!D26*100</f>
        <v>0.37675584030841336</v>
      </c>
      <c r="G26" s="26">
        <f>E26/'- 7 -'!F26</f>
        <v>35.52928314852413</v>
      </c>
      <c r="H26" s="26">
        <v>269137</v>
      </c>
      <c r="I26" s="78">
        <f>H26/'- 3 -'!D26*100</f>
        <v>0.8914427333739391</v>
      </c>
      <c r="J26" s="26">
        <f>H26/'- 7 -'!F26</f>
        <v>84.0659066062783</v>
      </c>
    </row>
    <row r="27" spans="1:10" ht="13.5" customHeight="1">
      <c r="A27" s="331" t="s">
        <v>260</v>
      </c>
      <c r="B27" s="332">
        <v>47647</v>
      </c>
      <c r="C27" s="338">
        <f>B27/'- 3 -'!D27*100</f>
        <v>0.15035927874250454</v>
      </c>
      <c r="D27" s="332">
        <f>B27/'- 7 -'!F27</f>
        <v>14.43612257388185</v>
      </c>
      <c r="E27" s="332">
        <v>26392</v>
      </c>
      <c r="F27" s="338">
        <f>E27/'- 3 -'!D27*100</f>
        <v>0.08328503546020063</v>
      </c>
      <c r="G27" s="332">
        <f>E27/'- 7 -'!F27</f>
        <v>7.996267277475807</v>
      </c>
      <c r="H27" s="332">
        <v>415173</v>
      </c>
      <c r="I27" s="338">
        <f>H27/'- 3 -'!D27*100</f>
        <v>1.3101583065746392</v>
      </c>
      <c r="J27" s="332">
        <f>H27/'- 7 -'!F27</f>
        <v>125.78941627733644</v>
      </c>
    </row>
    <row r="28" spans="1:10" ht="13.5" customHeight="1">
      <c r="A28" s="25" t="s">
        <v>261</v>
      </c>
      <c r="B28" s="26">
        <v>148794</v>
      </c>
      <c r="C28" s="78">
        <f>B28/'- 3 -'!D28*100</f>
        <v>0.8529793051309118</v>
      </c>
      <c r="D28" s="26">
        <f>B28/'- 7 -'!F28</f>
        <v>78.1275925439748</v>
      </c>
      <c r="E28" s="26">
        <v>16458</v>
      </c>
      <c r="F28" s="78">
        <f>E28/'- 3 -'!D28*100</f>
        <v>0.09434744279906815</v>
      </c>
      <c r="G28" s="26">
        <f>E28/'- 7 -'!F28</f>
        <v>8.641638225255972</v>
      </c>
      <c r="H28" s="26">
        <v>231810</v>
      </c>
      <c r="I28" s="78">
        <f>H28/'- 3 -'!D28*100</f>
        <v>1.3288784004892444</v>
      </c>
      <c r="J28" s="26">
        <f>H28/'- 7 -'!F28</f>
        <v>121.71698608558677</v>
      </c>
    </row>
    <row r="29" spans="1:10" ht="13.5" customHeight="1">
      <c r="A29" s="331" t="s">
        <v>262</v>
      </c>
      <c r="B29" s="332">
        <v>850255</v>
      </c>
      <c r="C29" s="338">
        <f>B29/'- 3 -'!D29*100</f>
        <v>0.7460336251105378</v>
      </c>
      <c r="D29" s="332">
        <f>B29/'- 7 -'!F29</f>
        <v>67.60664731841132</v>
      </c>
      <c r="E29" s="332">
        <v>236316</v>
      </c>
      <c r="F29" s="338">
        <f>E29/'- 3 -'!D29*100</f>
        <v>0.2073491860108107</v>
      </c>
      <c r="G29" s="332">
        <f>E29/'- 7 -'!F29</f>
        <v>18.790283465193017</v>
      </c>
      <c r="H29" s="332">
        <v>834660</v>
      </c>
      <c r="I29" s="338">
        <f>H29/'- 3 -'!D29*100</f>
        <v>0.7323502073316376</v>
      </c>
      <c r="J29" s="332">
        <f>H29/'- 7 -'!F29</f>
        <v>66.36663618653839</v>
      </c>
    </row>
    <row r="30" spans="1:10" ht="13.5" customHeight="1">
      <c r="A30" s="25" t="s">
        <v>263</v>
      </c>
      <c r="B30" s="26">
        <v>54135</v>
      </c>
      <c r="C30" s="78">
        <f>B30/'- 3 -'!D30*100</f>
        <v>0.48220830828837113</v>
      </c>
      <c r="D30" s="26">
        <f>B30/'- 7 -'!F30</f>
        <v>45.15012510425355</v>
      </c>
      <c r="E30" s="26">
        <v>9876</v>
      </c>
      <c r="F30" s="78">
        <f>E30/'- 3 -'!D30*100</f>
        <v>0.08797061517790622</v>
      </c>
      <c r="G30" s="26">
        <f>E30/'- 7 -'!F30</f>
        <v>8.236864053377815</v>
      </c>
      <c r="H30" s="26">
        <v>206051</v>
      </c>
      <c r="I30" s="78">
        <f>H30/'- 3 -'!D30*100</f>
        <v>1.8354023114644347</v>
      </c>
      <c r="J30" s="26">
        <f>H30/'- 7 -'!F30</f>
        <v>171.85237698081735</v>
      </c>
    </row>
    <row r="31" spans="1:10" ht="13.5" customHeight="1">
      <c r="A31" s="331" t="s">
        <v>264</v>
      </c>
      <c r="B31" s="332">
        <v>166686</v>
      </c>
      <c r="C31" s="338">
        <f>B31/'- 3 -'!D31*100</f>
        <v>0.602111147850361</v>
      </c>
      <c r="D31" s="332">
        <f>B31/'- 7 -'!F31</f>
        <v>49.97331734372658</v>
      </c>
      <c r="E31" s="332">
        <v>118302</v>
      </c>
      <c r="F31" s="338">
        <f>E31/'- 3 -'!D31*100</f>
        <v>0.42733614708489864</v>
      </c>
      <c r="G31" s="332">
        <f>E31/'- 7 -'!F31</f>
        <v>35.46754609503822</v>
      </c>
      <c r="H31" s="332">
        <v>208319</v>
      </c>
      <c r="I31" s="338">
        <f>H31/'- 3 -'!D31*100</f>
        <v>0.7524998632700968</v>
      </c>
      <c r="J31" s="332">
        <f>H31/'- 7 -'!F31</f>
        <v>62.45510418228152</v>
      </c>
    </row>
    <row r="32" spans="1:10" ht="13.5" customHeight="1">
      <c r="A32" s="25" t="s">
        <v>265</v>
      </c>
      <c r="B32" s="26">
        <v>159263</v>
      </c>
      <c r="C32" s="78">
        <f>B32/'- 3 -'!D32*100</f>
        <v>0.7881498074027974</v>
      </c>
      <c r="D32" s="26">
        <f>B32/'- 7 -'!F32</f>
        <v>73.5286241920591</v>
      </c>
      <c r="E32" s="26">
        <v>71119</v>
      </c>
      <c r="F32" s="78">
        <f>E32/'- 3 -'!D32*100</f>
        <v>0.3519488277420339</v>
      </c>
      <c r="G32" s="26">
        <f>E32/'- 7 -'!F32</f>
        <v>32.8342566943675</v>
      </c>
      <c r="H32" s="26">
        <v>265423</v>
      </c>
      <c r="I32" s="78">
        <f>H32/'- 3 -'!D32*100</f>
        <v>1.3135071317900122</v>
      </c>
      <c r="J32" s="26">
        <f>H32/'- 7 -'!F32</f>
        <v>122.54062788550323</v>
      </c>
    </row>
    <row r="33" spans="1:10" ht="13.5" customHeight="1">
      <c r="A33" s="331" t="s">
        <v>266</v>
      </c>
      <c r="B33" s="332">
        <v>272370</v>
      </c>
      <c r="C33" s="338">
        <f>B33/'- 3 -'!D33*100</f>
        <v>1.1973733487649145</v>
      </c>
      <c r="D33" s="332">
        <f>B33/'- 7 -'!F33</f>
        <v>118.30857440708888</v>
      </c>
      <c r="E33" s="332">
        <v>28639</v>
      </c>
      <c r="F33" s="338">
        <f>E33/'- 3 -'!D33*100</f>
        <v>0.12590070615441637</v>
      </c>
      <c r="G33" s="332">
        <f>E33/'- 7 -'!F33</f>
        <v>12.43984015289723</v>
      </c>
      <c r="H33" s="332">
        <v>376468</v>
      </c>
      <c r="I33" s="338">
        <f>H33/'- 3 -'!D33*100</f>
        <v>1.6550014680869034</v>
      </c>
      <c r="J33" s="332">
        <f>H33/'- 7 -'!F33</f>
        <v>163.5253236035097</v>
      </c>
    </row>
    <row r="34" spans="1:10" ht="13.5" customHeight="1">
      <c r="A34" s="25" t="s">
        <v>267</v>
      </c>
      <c r="B34" s="26">
        <v>68047</v>
      </c>
      <c r="C34" s="78">
        <f>B34/'- 3 -'!D34*100</f>
        <v>0.3541298144652664</v>
      </c>
      <c r="D34" s="26">
        <f>B34/'- 7 -'!F34</f>
        <v>33.29924149743088</v>
      </c>
      <c r="E34" s="26">
        <v>79768</v>
      </c>
      <c r="F34" s="78">
        <f>E34/'- 3 -'!D34*100</f>
        <v>0.4151281767052974</v>
      </c>
      <c r="G34" s="26">
        <f>E34/'- 7 -'!F34</f>
        <v>39.03498898947883</v>
      </c>
      <c r="H34" s="26">
        <v>229201</v>
      </c>
      <c r="I34" s="78">
        <f>H34/'- 3 -'!D34*100</f>
        <v>1.1928065543705604</v>
      </c>
      <c r="J34" s="26">
        <f>H34/'- 7 -'!F34</f>
        <v>112.16099828725227</v>
      </c>
    </row>
    <row r="35" spans="1:10" ht="13.5" customHeight="1">
      <c r="A35" s="331" t="s">
        <v>268</v>
      </c>
      <c r="B35" s="332">
        <v>718452</v>
      </c>
      <c r="C35" s="338">
        <f>B35/'- 3 -'!D35*100</f>
        <v>0.5039711174170285</v>
      </c>
      <c r="D35" s="332">
        <f>B35/'- 7 -'!F35</f>
        <v>42.754820280885504</v>
      </c>
      <c r="E35" s="332">
        <v>378491</v>
      </c>
      <c r="F35" s="338">
        <f>E35/'- 3 -'!D35*100</f>
        <v>0.26549934052976193</v>
      </c>
      <c r="G35" s="332">
        <f>E35/'- 7 -'!F35</f>
        <v>22.52386336586527</v>
      </c>
      <c r="H35" s="332">
        <v>476162</v>
      </c>
      <c r="I35" s="338">
        <f>H35/'- 3 -'!D35*100</f>
        <v>0.33401242561998173</v>
      </c>
      <c r="J35" s="332">
        <f>H35/'- 7 -'!F35</f>
        <v>28.336229469174008</v>
      </c>
    </row>
    <row r="36" spans="1:10" ht="13.5" customHeight="1">
      <c r="A36" s="25" t="s">
        <v>269</v>
      </c>
      <c r="B36" s="26">
        <v>162448</v>
      </c>
      <c r="C36" s="78">
        <f>B36/'- 3 -'!D36*100</f>
        <v>0.9052136322114916</v>
      </c>
      <c r="D36" s="26">
        <f>B36/'- 7 -'!F36</f>
        <v>83.77926766374419</v>
      </c>
      <c r="E36" s="26">
        <v>61534</v>
      </c>
      <c r="F36" s="78">
        <f>E36/'- 3 -'!D36*100</f>
        <v>0.3428876664809781</v>
      </c>
      <c r="G36" s="26">
        <f>E36/'- 7 -'!F36</f>
        <v>31.734914904589996</v>
      </c>
      <c r="H36" s="26">
        <v>154735</v>
      </c>
      <c r="I36" s="78">
        <f>H36/'- 3 -'!D36*100</f>
        <v>0.8622342619191691</v>
      </c>
      <c r="J36" s="26">
        <f>H36/'- 7 -'!F36</f>
        <v>79.8014440433213</v>
      </c>
    </row>
    <row r="37" spans="1:10" ht="13.5" customHeight="1">
      <c r="A37" s="331" t="s">
        <v>270</v>
      </c>
      <c r="B37" s="332">
        <v>120680</v>
      </c>
      <c r="C37" s="338">
        <f>B37/'- 3 -'!D37*100</f>
        <v>0.40431797390728524</v>
      </c>
      <c r="D37" s="332">
        <f>B37/'- 7 -'!F37</f>
        <v>35.92094296940112</v>
      </c>
      <c r="E37" s="332">
        <v>197279</v>
      </c>
      <c r="F37" s="338">
        <f>E37/'- 3 -'!D37*100</f>
        <v>0.6609499964737764</v>
      </c>
      <c r="G37" s="332">
        <f>E37/'- 7 -'!F37</f>
        <v>58.720978687939045</v>
      </c>
      <c r="H37" s="332">
        <v>509935</v>
      </c>
      <c r="I37" s="338">
        <f>H37/'- 3 -'!D37*100</f>
        <v>1.7084511602950905</v>
      </c>
      <c r="J37" s="332">
        <f>H37/'- 7 -'!F37</f>
        <v>151.78443862364568</v>
      </c>
    </row>
    <row r="38" spans="1:10" ht="13.5" customHeight="1">
      <c r="A38" s="25" t="s">
        <v>271</v>
      </c>
      <c r="B38" s="26">
        <v>142179</v>
      </c>
      <c r="C38" s="78">
        <f>B38/'- 3 -'!D38*100</f>
        <v>0.19162994980184597</v>
      </c>
      <c r="D38" s="26">
        <f>B38/'- 7 -'!F38</f>
        <v>16.23696682464455</v>
      </c>
      <c r="E38" s="26">
        <v>316876</v>
      </c>
      <c r="F38" s="78">
        <f>E38/'- 3 -'!D38*100</f>
        <v>0.42708791012322317</v>
      </c>
      <c r="G38" s="26">
        <f>E38/'- 7 -'!F38</f>
        <v>36.1875178438874</v>
      </c>
      <c r="H38" s="26">
        <v>844695</v>
      </c>
      <c r="I38" s="78">
        <f>H38/'- 3 -'!D38*100</f>
        <v>1.1384864181621075</v>
      </c>
      <c r="J38" s="26">
        <f>H38/'- 7 -'!F38</f>
        <v>96.46491177982071</v>
      </c>
    </row>
    <row r="39" spans="1:10" ht="13.5" customHeight="1">
      <c r="A39" s="331" t="s">
        <v>272</v>
      </c>
      <c r="B39" s="332">
        <v>197773</v>
      </c>
      <c r="C39" s="338">
        <f>B39/'- 3 -'!D39*100</f>
        <v>1.2099746849506687</v>
      </c>
      <c r="D39" s="332">
        <f>B39/'- 7 -'!F39</f>
        <v>119.50030211480363</v>
      </c>
      <c r="E39" s="332">
        <v>139993</v>
      </c>
      <c r="F39" s="338">
        <f>E39/'- 3 -'!D39*100</f>
        <v>0.8564767995140842</v>
      </c>
      <c r="G39" s="332">
        <f>E39/'- 7 -'!F39</f>
        <v>84.58791540785498</v>
      </c>
      <c r="H39" s="332">
        <v>135832</v>
      </c>
      <c r="I39" s="338">
        <f>H39/'- 3 -'!D39*100</f>
        <v>0.8310198126448971</v>
      </c>
      <c r="J39" s="332">
        <f>H39/'- 7 -'!F39</f>
        <v>82.07371601208459</v>
      </c>
    </row>
    <row r="40" spans="1:10" ht="13.5" customHeight="1">
      <c r="A40" s="25" t="s">
        <v>273</v>
      </c>
      <c r="B40" s="26">
        <v>572574</v>
      </c>
      <c r="C40" s="78">
        <f>B40/'- 3 -'!D40*100</f>
        <v>0.7493098472265037</v>
      </c>
      <c r="D40" s="26">
        <f>B40/'- 7 -'!F40</f>
        <v>65.91652420176483</v>
      </c>
      <c r="E40" s="26">
        <v>143034</v>
      </c>
      <c r="F40" s="78">
        <f>E40/'- 3 -'!D40*100</f>
        <v>0.18718416255051004</v>
      </c>
      <c r="G40" s="26">
        <f>E40/'- 7 -'!F40</f>
        <v>16.466525065188485</v>
      </c>
      <c r="H40" s="26">
        <v>810541</v>
      </c>
      <c r="I40" s="78">
        <f>H40/'- 3 -'!D40*100</f>
        <v>1.0607298844879745</v>
      </c>
      <c r="J40" s="26">
        <f>H40/'- 7 -'!F40</f>
        <v>93.31203555002963</v>
      </c>
    </row>
    <row r="41" spans="1:10" ht="13.5" customHeight="1">
      <c r="A41" s="331" t="s">
        <v>274</v>
      </c>
      <c r="B41" s="332">
        <v>258183</v>
      </c>
      <c r="C41" s="338">
        <f>B41/'- 3 -'!D41*100</f>
        <v>0.553905208392667</v>
      </c>
      <c r="D41" s="332">
        <f>B41/'- 7 -'!F41</f>
        <v>55.19679315873864</v>
      </c>
      <c r="E41" s="332">
        <v>424036</v>
      </c>
      <c r="F41" s="338">
        <f>E41/'- 3 -'!D41*100</f>
        <v>0.9097258492851695</v>
      </c>
      <c r="G41" s="332">
        <f>E41/'- 7 -'!F41</f>
        <v>90.65440940673437</v>
      </c>
      <c r="H41" s="332">
        <v>926199</v>
      </c>
      <c r="I41" s="338">
        <f>H41/'- 3 -'!D41*100</f>
        <v>1.9870651828667256</v>
      </c>
      <c r="J41" s="332">
        <f>H41/'- 7 -'!F41</f>
        <v>198.0115446285409</v>
      </c>
    </row>
    <row r="42" spans="1:10" ht="13.5" customHeight="1">
      <c r="A42" s="25" t="s">
        <v>275</v>
      </c>
      <c r="B42" s="26">
        <v>146833</v>
      </c>
      <c r="C42" s="78">
        <f>B42/'- 3 -'!D42*100</f>
        <v>0.8889841177026524</v>
      </c>
      <c r="D42" s="26">
        <f>B42/'- 7 -'!F42</f>
        <v>84.97280092592592</v>
      </c>
      <c r="E42" s="26">
        <v>73634</v>
      </c>
      <c r="F42" s="78">
        <f>E42/'- 3 -'!D42*100</f>
        <v>0.4458088884849939</v>
      </c>
      <c r="G42" s="26">
        <f>E42/'- 7 -'!F42</f>
        <v>42.61226851851852</v>
      </c>
      <c r="H42" s="26">
        <v>435292</v>
      </c>
      <c r="I42" s="78">
        <f>H42/'- 3 -'!D42*100</f>
        <v>2.635427148958497</v>
      </c>
      <c r="J42" s="26">
        <f>H42/'- 7 -'!F42</f>
        <v>251.90509259259258</v>
      </c>
    </row>
    <row r="43" spans="1:10" ht="13.5" customHeight="1">
      <c r="A43" s="331" t="s">
        <v>276</v>
      </c>
      <c r="B43" s="332">
        <v>37519</v>
      </c>
      <c r="C43" s="338">
        <f>B43/'- 3 -'!D43*100</f>
        <v>0.36847364660648035</v>
      </c>
      <c r="D43" s="332">
        <f>B43/'- 7 -'!F43</f>
        <v>34.43689765947683</v>
      </c>
      <c r="E43" s="332">
        <v>11069</v>
      </c>
      <c r="F43" s="338">
        <f>E43/'- 3 -'!D43*100</f>
        <v>0.10870851553312005</v>
      </c>
      <c r="G43" s="332">
        <f>E43/'- 7 -'!F43</f>
        <v>10.159706287287747</v>
      </c>
      <c r="H43" s="332">
        <v>237377</v>
      </c>
      <c r="I43" s="338">
        <f>H43/'- 3 -'!D43*100</f>
        <v>2.331276654775087</v>
      </c>
      <c r="J43" s="332">
        <f>H43/'- 7 -'!F43</f>
        <v>217.87700780174393</v>
      </c>
    </row>
    <row r="44" spans="1:10" ht="13.5" customHeight="1">
      <c r="A44" s="25" t="s">
        <v>277</v>
      </c>
      <c r="B44" s="26">
        <v>43156</v>
      </c>
      <c r="C44" s="78">
        <f>B44/'- 3 -'!D44*100</f>
        <v>0.5582481697438703</v>
      </c>
      <c r="D44" s="26">
        <f>B44/'- 7 -'!F44</f>
        <v>52.790214067278285</v>
      </c>
      <c r="E44" s="26">
        <v>19166</v>
      </c>
      <c r="F44" s="78">
        <f>E44/'- 3 -'!D44*100</f>
        <v>0.2479234503038052</v>
      </c>
      <c r="G44" s="26">
        <f>E44/'- 7 -'!F44</f>
        <v>23.444648318042812</v>
      </c>
      <c r="H44" s="26">
        <v>115080</v>
      </c>
      <c r="I44" s="78">
        <f>H44/'- 3 -'!D44*100</f>
        <v>1.4886272910863978</v>
      </c>
      <c r="J44" s="26">
        <f>H44/'- 7 -'!F44</f>
        <v>140.77064220183487</v>
      </c>
    </row>
    <row r="45" spans="1:10" ht="13.5" customHeight="1">
      <c r="A45" s="331" t="s">
        <v>278</v>
      </c>
      <c r="B45" s="332">
        <v>124422.23</v>
      </c>
      <c r="C45" s="338">
        <f>B45/'- 3 -'!D45*100</f>
        <v>1.0678917357392146</v>
      </c>
      <c r="D45" s="332">
        <f>B45/'- 7 -'!F45</f>
        <v>84.29690379403793</v>
      </c>
      <c r="E45" s="332">
        <v>17443</v>
      </c>
      <c r="F45" s="338">
        <f>E45/'- 3 -'!D45*100</f>
        <v>0.149709867332382</v>
      </c>
      <c r="G45" s="332">
        <f>E45/'- 7 -'!F45</f>
        <v>11.817750677506774</v>
      </c>
      <c r="H45" s="332">
        <v>61156.74</v>
      </c>
      <c r="I45" s="338">
        <f>H45/'- 3 -'!D45*100</f>
        <v>0.5248963728648156</v>
      </c>
      <c r="J45" s="332">
        <f>H45/'- 7 -'!F45</f>
        <v>41.43410569105691</v>
      </c>
    </row>
    <row r="46" spans="1:10" ht="13.5" customHeight="1">
      <c r="A46" s="25" t="s">
        <v>279</v>
      </c>
      <c r="B46" s="26">
        <v>1911925</v>
      </c>
      <c r="C46" s="78">
        <f>B46/'- 3 -'!D46*100</f>
        <v>0.6584503827894073</v>
      </c>
      <c r="D46" s="26">
        <f>B46/'- 7 -'!F46</f>
        <v>63.25222483210375</v>
      </c>
      <c r="E46" s="26">
        <v>584872</v>
      </c>
      <c r="F46" s="78">
        <f>E46/'- 3 -'!D46*100</f>
        <v>0.20142484264958413</v>
      </c>
      <c r="G46" s="26">
        <f>E46/'- 7 -'!F46</f>
        <v>19.34932345254243</v>
      </c>
      <c r="H46" s="26">
        <v>3231356</v>
      </c>
      <c r="I46" s="78">
        <f>H46/'- 3 -'!D46*100</f>
        <v>1.1128509722551083</v>
      </c>
      <c r="J46" s="26">
        <f>H46/'- 7 -'!F46</f>
        <v>106.90296754557184</v>
      </c>
    </row>
    <row r="47" spans="1:10" ht="4.5" customHeight="1">
      <c r="A47" s="27"/>
      <c r="B47" s="28"/>
      <c r="C47"/>
      <c r="D47"/>
      <c r="E47"/>
      <c r="F47"/>
      <c r="G47"/>
      <c r="H47"/>
      <c r="I47"/>
      <c r="J47"/>
    </row>
    <row r="48" spans="1:10" ht="13.5" customHeight="1">
      <c r="A48" s="333" t="s">
        <v>280</v>
      </c>
      <c r="B48" s="334">
        <f>SUM(B11:B46)</f>
        <v>9088503.23</v>
      </c>
      <c r="C48" s="341">
        <f>B48/'- 3 -'!D48*100</f>
        <v>0.5728262729300774</v>
      </c>
      <c r="D48" s="334">
        <f>B48/'- 7 -'!F48</f>
        <v>52.32223790091805</v>
      </c>
      <c r="E48" s="334">
        <v>4989170</v>
      </c>
      <c r="F48" s="341">
        <f>E48/'- 3 -'!D48*100</f>
        <v>0.31445526109083577</v>
      </c>
      <c r="G48" s="334">
        <f>E48/'- 7 -'!F48</f>
        <v>28.72250062105367</v>
      </c>
      <c r="H48" s="334">
        <v>17893973.740000002</v>
      </c>
      <c r="I48" s="341">
        <f>H48/'- 3 -'!D48*100</f>
        <v>1.127813681306562</v>
      </c>
      <c r="J48" s="334">
        <f>H48/'- 7 -'!F48</f>
        <v>103.0150650028498</v>
      </c>
    </row>
    <row r="49" spans="1:10" ht="4.5" customHeight="1">
      <c r="A49" s="27" t="s">
        <v>32</v>
      </c>
      <c r="B49" s="28"/>
      <c r="C49"/>
      <c r="D49"/>
      <c r="E49"/>
      <c r="F49"/>
      <c r="G49"/>
      <c r="H49"/>
      <c r="I49"/>
      <c r="J49"/>
    </row>
    <row r="50" spans="1:10" ht="13.5" customHeight="1">
      <c r="A50" s="25" t="s">
        <v>281</v>
      </c>
      <c r="B50" s="26">
        <v>0</v>
      </c>
      <c r="C50" s="78">
        <f>B50/'- 3 -'!D50*100</f>
        <v>0</v>
      </c>
      <c r="D50" s="26">
        <f>B50/'- 7 -'!F50</f>
        <v>0</v>
      </c>
      <c r="E50" s="26">
        <v>11395</v>
      </c>
      <c r="F50" s="78">
        <f>E50/'- 3 -'!D50*100</f>
        <v>0.4322965550573955</v>
      </c>
      <c r="G50" s="26">
        <f>E50/'- 7 -'!F50</f>
        <v>49.912395970214625</v>
      </c>
      <c r="H50" s="26">
        <v>25395</v>
      </c>
      <c r="I50" s="78">
        <f>H50/'- 3 -'!D50*100</f>
        <v>0.9634200101520454</v>
      </c>
      <c r="J50" s="26">
        <f>H50/'- 7 -'!F50</f>
        <v>111.23521681997372</v>
      </c>
    </row>
    <row r="51" spans="1:10" ht="13.5" customHeight="1">
      <c r="A51" s="331" t="s">
        <v>282</v>
      </c>
      <c r="B51" s="332">
        <v>39931</v>
      </c>
      <c r="C51" s="338">
        <f>B51/'- 3 -'!D51*100</f>
        <v>0.3946242708701153</v>
      </c>
      <c r="D51" s="332">
        <f>B51/'- 7 -'!F51</f>
        <v>59.983476040258374</v>
      </c>
      <c r="E51" s="332">
        <v>27463</v>
      </c>
      <c r="F51" s="338">
        <f>E51/'- 3 -'!D51*100</f>
        <v>0.2714073364279877</v>
      </c>
      <c r="G51" s="332">
        <f>E51/'- 7 -'!F51</f>
        <v>41.254318762205195</v>
      </c>
      <c r="H51" s="332">
        <v>156678</v>
      </c>
      <c r="I51" s="338">
        <f>H51/'- 3 -'!D51*100</f>
        <v>1.5483945183288155</v>
      </c>
      <c r="J51" s="332">
        <f>H51/'- 7 -'!F51</f>
        <v>235.3582694907616</v>
      </c>
    </row>
    <row r="52" spans="1:10" ht="49.5" customHeight="1">
      <c r="A52" s="29"/>
      <c r="B52" s="29"/>
      <c r="C52" s="29"/>
      <c r="D52" s="29"/>
      <c r="E52" s="29"/>
      <c r="F52" s="29"/>
      <c r="G52" s="29"/>
      <c r="H52" s="29"/>
      <c r="I52" s="29"/>
      <c r="J52" s="29"/>
    </row>
    <row r="53" ht="15" customHeight="1">
      <c r="A53" s="489" t="s">
        <v>533</v>
      </c>
    </row>
    <row r="54" ht="12" customHeight="1">
      <c r="A54" s="528" t="s">
        <v>537</v>
      </c>
    </row>
    <row r="55" ht="12" customHeight="1">
      <c r="A55" s="528" t="s">
        <v>534</v>
      </c>
    </row>
    <row r="56" ht="12">
      <c r="A56" s="489" t="s">
        <v>587</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H54"/>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0.83203125" style="1" customWidth="1"/>
    <col min="9" max="16384" width="15.83203125" style="1" customWidth="1"/>
  </cols>
  <sheetData>
    <row r="1" spans="1:7" ht="6.75" customHeight="1">
      <c r="A1" s="5"/>
      <c r="B1" s="5"/>
      <c r="C1" s="5"/>
      <c r="D1" s="5"/>
      <c r="E1" s="6"/>
      <c r="F1" s="6"/>
      <c r="G1" s="6"/>
    </row>
    <row r="2" spans="1:8" ht="15.75" customHeight="1">
      <c r="A2" s="154"/>
      <c r="B2" s="7" t="s">
        <v>526</v>
      </c>
      <c r="C2" s="160"/>
      <c r="D2" s="160"/>
      <c r="E2" s="7"/>
      <c r="F2" s="161"/>
      <c r="G2" s="162"/>
      <c r="H2" s="163"/>
    </row>
    <row r="3" spans="1:8" ht="15.75" customHeight="1">
      <c r="A3" s="156"/>
      <c r="B3" s="9" t="str">
        <f>OPYEAR</f>
        <v>OPERATING FUND 2006/2007 ACTUAL</v>
      </c>
      <c r="C3" s="164"/>
      <c r="D3" s="164"/>
      <c r="E3" s="9"/>
      <c r="F3" s="165"/>
      <c r="G3" s="165"/>
      <c r="H3" s="166"/>
    </row>
    <row r="4" spans="5:7" ht="15.75" customHeight="1">
      <c r="E4" s="6"/>
      <c r="F4" s="6"/>
      <c r="G4" s="6"/>
    </row>
    <row r="5" spans="2:7" ht="18" customHeight="1">
      <c r="B5" s="482" t="s">
        <v>538</v>
      </c>
      <c r="C5" s="167"/>
      <c r="D5" s="168"/>
      <c r="E5" s="169"/>
      <c r="F5" s="170"/>
      <c r="G5" s="171"/>
    </row>
    <row r="6" spans="2:7" ht="15.75" customHeight="1">
      <c r="B6" s="372" t="s">
        <v>44</v>
      </c>
      <c r="C6" s="373"/>
      <c r="D6" s="374"/>
      <c r="E6" s="375"/>
      <c r="F6" s="376"/>
      <c r="G6" s="377"/>
    </row>
    <row r="7" spans="2:7" ht="15.75" customHeight="1">
      <c r="B7" s="378" t="s">
        <v>7</v>
      </c>
      <c r="C7" s="379"/>
      <c r="D7" s="380"/>
      <c r="E7" s="378" t="s">
        <v>83</v>
      </c>
      <c r="F7" s="379"/>
      <c r="G7" s="380"/>
    </row>
    <row r="8" spans="1:7" ht="15.75" customHeight="1">
      <c r="A8" s="74"/>
      <c r="B8" s="159"/>
      <c r="C8" s="76"/>
      <c r="D8" s="18" t="s">
        <v>89</v>
      </c>
      <c r="E8" s="159"/>
      <c r="F8" s="157"/>
      <c r="G8" s="18" t="s">
        <v>89</v>
      </c>
    </row>
    <row r="9" spans="1:7" ht="15.75" customHeight="1">
      <c r="A9" s="41" t="s">
        <v>108</v>
      </c>
      <c r="B9" s="86" t="s">
        <v>109</v>
      </c>
      <c r="C9" s="86" t="s">
        <v>110</v>
      </c>
      <c r="D9" s="86" t="s">
        <v>111</v>
      </c>
      <c r="E9" s="86" t="s">
        <v>109</v>
      </c>
      <c r="F9" s="86" t="s">
        <v>110</v>
      </c>
      <c r="G9" s="86" t="s">
        <v>111</v>
      </c>
    </row>
    <row r="10" spans="1:4" ht="4.5" customHeight="1">
      <c r="A10" s="4"/>
      <c r="B10" s="4"/>
      <c r="C10" s="4"/>
      <c r="D10" s="4"/>
    </row>
    <row r="11" spans="1:7" ht="13.5" customHeight="1">
      <c r="A11" s="331" t="s">
        <v>245</v>
      </c>
      <c r="B11" s="332">
        <f>'- 27 -'!B11</f>
        <v>0</v>
      </c>
      <c r="C11" s="338">
        <f>'- 27 -'!C11*100</f>
        <v>0</v>
      </c>
      <c r="D11" s="332">
        <f>'- 27 -'!D11</f>
        <v>0</v>
      </c>
      <c r="E11" s="332">
        <f>SUM('- 38 -'!B11,'- 38 -'!E11,'- 38 -'!H11,B11)</f>
        <v>315626</v>
      </c>
      <c r="F11" s="338">
        <f>E11/'- 3 -'!D11*100</f>
        <v>2.6144263983387894</v>
      </c>
      <c r="G11" s="332">
        <f>E11/'- 7 -'!F11</f>
        <v>216.9996562392575</v>
      </c>
    </row>
    <row r="12" spans="1:7" ht="13.5" customHeight="1">
      <c r="A12" s="25" t="s">
        <v>246</v>
      </c>
      <c r="B12" s="26">
        <f>'- 27 -'!B12</f>
        <v>10861</v>
      </c>
      <c r="C12" s="78">
        <f>'- 27 -'!C12*100</f>
        <v>4.937475683011818</v>
      </c>
      <c r="D12" s="26">
        <f>'- 27 -'!D12</f>
        <v>4.534239541107071</v>
      </c>
      <c r="E12" s="26">
        <f>SUM('- 38 -'!B12,'- 38 -'!E12,'- 38 -'!H12,B12)</f>
        <v>474368</v>
      </c>
      <c r="F12" s="78">
        <f>E12/'- 3 -'!D12*100</f>
        <v>2.1565053538338548</v>
      </c>
      <c r="G12" s="26">
        <f>E12/'- 7 -'!F12</f>
        <v>198.03868360518175</v>
      </c>
    </row>
    <row r="13" spans="1:7" ht="13.5" customHeight="1">
      <c r="A13" s="331" t="s">
        <v>247</v>
      </c>
      <c r="B13" s="332">
        <f>'- 27 -'!B13</f>
        <v>105993</v>
      </c>
      <c r="C13" s="338">
        <f>'- 27 -'!C13*100</f>
        <v>19.74049296532737</v>
      </c>
      <c r="D13" s="332">
        <f>'- 27 -'!D13</f>
        <v>15.717802328167865</v>
      </c>
      <c r="E13" s="332">
        <f>SUM('- 38 -'!B13,'- 38 -'!E13,'- 38 -'!H13,B13)</f>
        <v>1464133</v>
      </c>
      <c r="F13" s="338">
        <f>E13/'- 3 -'!D13*100</f>
        <v>2.7268505643583687</v>
      </c>
      <c r="G13" s="332">
        <f>E13/'- 7 -'!F13</f>
        <v>217.1176688663157</v>
      </c>
    </row>
    <row r="14" spans="1:7" ht="13.5" customHeight="1">
      <c r="A14" s="25" t="s">
        <v>283</v>
      </c>
      <c r="B14" s="26">
        <f>'- 27 -'!B14</f>
        <v>96986</v>
      </c>
      <c r="C14" s="78">
        <f>'- 27 -'!C14*100</f>
        <v>19.74425463586186</v>
      </c>
      <c r="D14" s="26">
        <f>'- 27 -'!D14</f>
        <v>20.719077120273447</v>
      </c>
      <c r="E14" s="26">
        <f>SUM('- 38 -'!B14,'- 38 -'!E14,'- 38 -'!H14,B14)</f>
        <v>1122342</v>
      </c>
      <c r="F14" s="78">
        <f>E14/'- 3 -'!D14*100</f>
        <v>2.2848458784280696</v>
      </c>
      <c r="G14" s="26">
        <f>E14/'- 7 -'!F14</f>
        <v>239.7654347361675</v>
      </c>
    </row>
    <row r="15" spans="1:7" ht="13.5" customHeight="1">
      <c r="A15" s="331" t="s">
        <v>248</v>
      </c>
      <c r="B15" s="332">
        <f>'- 27 -'!B15</f>
        <v>0</v>
      </c>
      <c r="C15" s="338">
        <f>'- 27 -'!C15*100</f>
        <v>0</v>
      </c>
      <c r="D15" s="332">
        <f>'- 27 -'!D15</f>
        <v>0</v>
      </c>
      <c r="E15" s="332">
        <f>SUM('- 38 -'!B15,'- 38 -'!E15,'- 38 -'!H15,B15)</f>
        <v>331051</v>
      </c>
      <c r="F15" s="338">
        <f>E15/'- 3 -'!D15*100</f>
        <v>2.3410083241492967</v>
      </c>
      <c r="G15" s="332">
        <f>E15/'- 7 -'!F15</f>
        <v>203.72369230769232</v>
      </c>
    </row>
    <row r="16" spans="1:7" ht="13.5" customHeight="1">
      <c r="A16" s="25" t="s">
        <v>249</v>
      </c>
      <c r="B16" s="26">
        <f>'- 27 -'!B16</f>
        <v>6849</v>
      </c>
      <c r="C16" s="78">
        <f>'- 27 -'!C16*100</f>
        <v>6.160594379859082</v>
      </c>
      <c r="D16" s="26">
        <f>'- 27 -'!D16</f>
        <v>6.150875617422542</v>
      </c>
      <c r="E16" s="26">
        <f>SUM('- 38 -'!B16,'- 38 -'!E16,'- 38 -'!H16,B16)</f>
        <v>125673</v>
      </c>
      <c r="F16" s="78">
        <f>E16/'- 3 -'!D16*100</f>
        <v>1.1304137501825526</v>
      </c>
      <c r="G16" s="26">
        <f>E16/'- 7 -'!F16</f>
        <v>112.86304445442299</v>
      </c>
    </row>
    <row r="17" spans="1:7" ht="13.5" customHeight="1">
      <c r="A17" s="331" t="s">
        <v>250</v>
      </c>
      <c r="B17" s="332">
        <f>'- 27 -'!B17</f>
        <v>30340</v>
      </c>
      <c r="C17" s="338">
        <f>'- 27 -'!C17*100</f>
        <v>22.71735336992919</v>
      </c>
      <c r="D17" s="332">
        <f>'- 27 -'!D17</f>
        <v>20.776349513803293</v>
      </c>
      <c r="E17" s="332">
        <f>SUM('- 38 -'!B17,'- 38 -'!E17,'- 38 -'!H17,B17)</f>
        <v>358761</v>
      </c>
      <c r="F17" s="338">
        <f>E17/'- 3 -'!D17*100</f>
        <v>2.6862559038725</v>
      </c>
      <c r="G17" s="332">
        <f>E17/'- 7 -'!F17</f>
        <v>245.67382755179904</v>
      </c>
    </row>
    <row r="18" spans="1:7" ht="13.5" customHeight="1">
      <c r="A18" s="25" t="s">
        <v>251</v>
      </c>
      <c r="B18" s="26">
        <f>'- 27 -'!B18</f>
        <v>291234</v>
      </c>
      <c r="C18" s="78">
        <f>'- 27 -'!C18*100</f>
        <v>33.47963636530848</v>
      </c>
      <c r="D18" s="26">
        <f>'- 27 -'!D18</f>
        <v>50.925718682241026</v>
      </c>
      <c r="E18" s="26">
        <f>SUM('- 38 -'!B18,'- 38 -'!E18,'- 38 -'!H18,B18)</f>
        <v>1685917</v>
      </c>
      <c r="F18" s="78">
        <f>E18/'- 3 -'!D18*100</f>
        <v>1.9380940447232047</v>
      </c>
      <c r="G18" s="26">
        <f>E18/'- 7 -'!F18</f>
        <v>294.80258096104075</v>
      </c>
    </row>
    <row r="19" spans="1:7" ht="13.5" customHeight="1">
      <c r="A19" s="331" t="s">
        <v>252</v>
      </c>
      <c r="B19" s="332">
        <f>'- 27 -'!B19</f>
        <v>11431</v>
      </c>
      <c r="C19" s="338">
        <f>'- 27 -'!C19*100</f>
        <v>4.616093913907728</v>
      </c>
      <c r="D19" s="332">
        <f>'- 27 -'!D19</f>
        <v>3.3225208257035397</v>
      </c>
      <c r="E19" s="332">
        <f>SUM('- 38 -'!B19,'- 38 -'!E19,'- 38 -'!H19,B19)</f>
        <v>881597</v>
      </c>
      <c r="F19" s="338">
        <f>E19/'- 3 -'!D19*100</f>
        <v>3.5600862096223524</v>
      </c>
      <c r="G19" s="332">
        <f>E19/'- 7 -'!F19</f>
        <v>256.2439324973986</v>
      </c>
    </row>
    <row r="20" spans="1:7" ht="13.5" customHeight="1">
      <c r="A20" s="25" t="s">
        <v>253</v>
      </c>
      <c r="B20" s="26">
        <f>'- 27 -'!B20</f>
        <v>23616</v>
      </c>
      <c r="C20" s="78">
        <f>'- 27 -'!C20*100</f>
        <v>5.119484111389708</v>
      </c>
      <c r="D20" s="26">
        <f>'- 27 -'!D20</f>
        <v>3.478055964653903</v>
      </c>
      <c r="E20" s="26">
        <f>SUM('- 38 -'!B20,'- 38 -'!E20,'- 38 -'!H20,B20)</f>
        <v>991324</v>
      </c>
      <c r="F20" s="78">
        <f>E20/'- 3 -'!D20*100</f>
        <v>2.1489953706128433</v>
      </c>
      <c r="G20" s="26">
        <f>E20/'- 7 -'!F20</f>
        <v>145.99764359351988</v>
      </c>
    </row>
    <row r="21" spans="1:7" ht="13.5" customHeight="1">
      <c r="A21" s="331" t="s">
        <v>254</v>
      </c>
      <c r="B21" s="332">
        <f>'- 27 -'!B21</f>
        <v>7887</v>
      </c>
      <c r="C21" s="338">
        <f>'- 27 -'!C21*100</f>
        <v>2.9806433911687247</v>
      </c>
      <c r="D21" s="332">
        <f>'- 27 -'!D21</f>
        <v>2.5282897900304535</v>
      </c>
      <c r="E21" s="332">
        <f>SUM('- 38 -'!B21,'- 38 -'!E21,'- 38 -'!H21,B21)</f>
        <v>509268</v>
      </c>
      <c r="F21" s="338">
        <f>E21/'- 3 -'!D21*100</f>
        <v>1.9246181038845112</v>
      </c>
      <c r="G21" s="332">
        <f>E21/'- 7 -'!F21</f>
        <v>163.25308543035743</v>
      </c>
    </row>
    <row r="22" spans="1:7" ht="13.5" customHeight="1">
      <c r="A22" s="25" t="s">
        <v>255</v>
      </c>
      <c r="B22" s="26">
        <f>'- 27 -'!B22</f>
        <v>0</v>
      </c>
      <c r="C22" s="78">
        <f>'- 27 -'!C22*100</f>
        <v>0</v>
      </c>
      <c r="D22" s="26">
        <f>'- 27 -'!D22</f>
        <v>0</v>
      </c>
      <c r="E22" s="26">
        <f>SUM('- 38 -'!B22,'- 38 -'!E22,'- 38 -'!H22,B22)</f>
        <v>187939</v>
      </c>
      <c r="F22" s="78">
        <f>E22/'- 3 -'!D22*100</f>
        <v>1.2543883636138404</v>
      </c>
      <c r="G22" s="26">
        <f>E22/'- 7 -'!F22</f>
        <v>115.55521396950319</v>
      </c>
    </row>
    <row r="23" spans="1:7" ht="13.5" customHeight="1">
      <c r="A23" s="331" t="s">
        <v>256</v>
      </c>
      <c r="B23" s="332">
        <f>'- 27 -'!B23</f>
        <v>0</v>
      </c>
      <c r="C23" s="338">
        <f>'- 27 -'!C23*100</f>
        <v>0</v>
      </c>
      <c r="D23" s="332">
        <f>'- 27 -'!D23</f>
        <v>0</v>
      </c>
      <c r="E23" s="332">
        <f>SUM('- 38 -'!B23,'- 38 -'!E23,'- 38 -'!H23,B23)</f>
        <v>605237</v>
      </c>
      <c r="F23" s="338">
        <f>E23/'- 3 -'!D23*100</f>
        <v>4.832777515383974</v>
      </c>
      <c r="G23" s="332">
        <f>E23/'- 7 -'!F23</f>
        <v>464.8517665130568</v>
      </c>
    </row>
    <row r="24" spans="1:7" ht="13.5" customHeight="1">
      <c r="A24" s="25" t="s">
        <v>257</v>
      </c>
      <c r="B24" s="26">
        <f>'- 27 -'!B24</f>
        <v>55922</v>
      </c>
      <c r="C24" s="78">
        <f>'- 27 -'!C24*100</f>
        <v>13.987952781241844</v>
      </c>
      <c r="D24" s="26">
        <f>'- 27 -'!D24</f>
        <v>12.27840597211549</v>
      </c>
      <c r="E24" s="26">
        <f>SUM('- 38 -'!B24,'- 38 -'!E24,'- 38 -'!H24,B24)</f>
        <v>502392</v>
      </c>
      <c r="F24" s="78">
        <f>E24/'- 3 -'!D24*100</f>
        <v>1.2566495428764446</v>
      </c>
      <c r="G24" s="26">
        <f>E24/'- 7 -'!F24</f>
        <v>110.30672960807992</v>
      </c>
    </row>
    <row r="25" spans="1:7" ht="13.5" customHeight="1">
      <c r="A25" s="331" t="s">
        <v>258</v>
      </c>
      <c r="B25" s="332">
        <f>'- 27 -'!B25</f>
        <v>179713</v>
      </c>
      <c r="C25" s="338">
        <f>'- 27 -'!C25*100</f>
        <v>14.429739949931381</v>
      </c>
      <c r="D25" s="332">
        <f>'- 27 -'!D25</f>
        <v>12.451966048848085</v>
      </c>
      <c r="E25" s="332">
        <f>SUM('- 38 -'!B25,'- 38 -'!E25,'- 38 -'!H25,B25)</f>
        <v>2743051</v>
      </c>
      <c r="F25" s="338">
        <f>E25/'- 3 -'!D25*100</f>
        <v>2.202484661621542</v>
      </c>
      <c r="G25" s="332">
        <f>E25/'- 7 -'!F25</f>
        <v>190.06069634505457</v>
      </c>
    </row>
    <row r="26" spans="1:7" ht="13.5" customHeight="1">
      <c r="A26" s="25" t="s">
        <v>259</v>
      </c>
      <c r="B26" s="26">
        <f>'- 27 -'!B26</f>
        <v>13463</v>
      </c>
      <c r="C26" s="78">
        <f>'- 27 -'!C26*100</f>
        <v>4.45925068623539</v>
      </c>
      <c r="D26" s="26">
        <f>'- 27 -'!D26</f>
        <v>4.205216304857098</v>
      </c>
      <c r="E26" s="26">
        <f>SUM('- 38 -'!B26,'- 38 -'!E26,'- 38 -'!H26,B26)</f>
        <v>644159</v>
      </c>
      <c r="F26" s="78">
        <f>E26/'- 3 -'!D26*100</f>
        <v>2.133600581441508</v>
      </c>
      <c r="G26" s="26">
        <f>E26/'- 7 -'!F26</f>
        <v>201.20537248164922</v>
      </c>
    </row>
    <row r="27" spans="1:7" ht="13.5" customHeight="1">
      <c r="A27" s="331" t="s">
        <v>260</v>
      </c>
      <c r="B27" s="332">
        <f>'- 27 -'!B27</f>
        <v>166114</v>
      </c>
      <c r="C27" s="338">
        <f>'- 27 -'!C27*100</f>
        <v>52.42046976521585</v>
      </c>
      <c r="D27" s="332">
        <f>'- 27 -'!D27</f>
        <v>50.32934004738619</v>
      </c>
      <c r="E27" s="332">
        <f>SUM('- 38 -'!B27,'- 38 -'!E27,'- 38 -'!H27,B27)</f>
        <v>655326</v>
      </c>
      <c r="F27" s="338">
        <f>E27/'- 3 -'!D27*100</f>
        <v>2.068007318429503</v>
      </c>
      <c r="G27" s="332">
        <f>E27/'- 7 -'!F27</f>
        <v>198.55114617608027</v>
      </c>
    </row>
    <row r="28" spans="1:7" ht="13.5" customHeight="1">
      <c r="A28" s="25" t="s">
        <v>261</v>
      </c>
      <c r="B28" s="26">
        <f>'- 27 -'!B28</f>
        <v>6852</v>
      </c>
      <c r="C28" s="78">
        <f>'- 27 -'!C28*100</f>
        <v>3.9279905095346637</v>
      </c>
      <c r="D28" s="26">
        <f>'- 27 -'!D28</f>
        <v>3.597794696770806</v>
      </c>
      <c r="E28" s="26">
        <f>SUM('- 38 -'!B28,'- 38 -'!E28,'- 38 -'!H28,B28)</f>
        <v>403914</v>
      </c>
      <c r="F28" s="78">
        <f>E28/'- 3 -'!D28*100</f>
        <v>2.3154850535145712</v>
      </c>
      <c r="G28" s="26">
        <f>E28/'- 7 -'!F28</f>
        <v>212.08401155158833</v>
      </c>
    </row>
    <row r="29" spans="1:7" ht="13.5" customHeight="1">
      <c r="A29" s="331" t="s">
        <v>262</v>
      </c>
      <c r="B29" s="332">
        <f>'- 27 -'!B29</f>
        <v>727165</v>
      </c>
      <c r="C29" s="338">
        <f>'- 27 -'!C29*100</f>
        <v>63.80315799419047</v>
      </c>
      <c r="D29" s="332">
        <f>'- 27 -'!D29</f>
        <v>57.819345604898025</v>
      </c>
      <c r="E29" s="332">
        <f>SUM('- 38 -'!B29,'- 38 -'!E29,'- 38 -'!H29,B29)</f>
        <v>2648396</v>
      </c>
      <c r="F29" s="338">
        <f>E29/'- 3 -'!D29*100</f>
        <v>2.3237645983948907</v>
      </c>
      <c r="G29" s="332">
        <f>E29/'- 7 -'!F29</f>
        <v>210.58291257504075</v>
      </c>
    </row>
    <row r="30" spans="1:7" ht="13.5" customHeight="1">
      <c r="A30" s="25" t="s">
        <v>263</v>
      </c>
      <c r="B30" s="26">
        <f>'- 27 -'!B30</f>
        <v>8790</v>
      </c>
      <c r="C30" s="78">
        <f>'- 27 -'!C30*100</f>
        <v>7.829705421362856</v>
      </c>
      <c r="D30" s="26">
        <f>'- 27 -'!D30</f>
        <v>7.331109257714762</v>
      </c>
      <c r="E30" s="26">
        <f>SUM('- 38 -'!B30,'- 38 -'!E30,'- 38 -'!H30,B30)</f>
        <v>278852</v>
      </c>
      <c r="F30" s="78">
        <f>E30/'- 3 -'!D30*100</f>
        <v>2.4838782891443407</v>
      </c>
      <c r="G30" s="26">
        <f>E30/'- 7 -'!F30</f>
        <v>232.57047539616346</v>
      </c>
    </row>
    <row r="31" spans="1:7" ht="13.5" customHeight="1">
      <c r="A31" s="331" t="s">
        <v>264</v>
      </c>
      <c r="B31" s="332">
        <f>'- 27 -'!B31</f>
        <v>5513</v>
      </c>
      <c r="C31" s="338">
        <f>'- 27 -'!C31*100</f>
        <v>1.9914322487185727</v>
      </c>
      <c r="D31" s="332">
        <f>'- 27 -'!D31</f>
        <v>1.6528256633188427</v>
      </c>
      <c r="E31" s="332">
        <f>SUM('- 38 -'!B31,'- 38 -'!E31,'- 38 -'!H31,B31)</f>
        <v>498820</v>
      </c>
      <c r="F31" s="338">
        <f>E31/'- 3 -'!D31*100</f>
        <v>1.8018614806925422</v>
      </c>
      <c r="G31" s="332">
        <f>E31/'- 7 -'!F31</f>
        <v>149.54879328436516</v>
      </c>
    </row>
    <row r="32" spans="1:7" ht="13.5" customHeight="1">
      <c r="A32" s="25" t="s">
        <v>265</v>
      </c>
      <c r="B32" s="26">
        <f>'- 27 -'!B32</f>
        <v>8976</v>
      </c>
      <c r="C32" s="78">
        <f>'- 27 -'!C32*100</f>
        <v>4.441981295873812</v>
      </c>
      <c r="D32" s="26">
        <f>'- 27 -'!D32</f>
        <v>4.14404432132964</v>
      </c>
      <c r="E32" s="26">
        <f>SUM('- 38 -'!B32,'- 38 -'!E32,'- 38 -'!H32,B32)</f>
        <v>504781</v>
      </c>
      <c r="F32" s="78">
        <f>E32/'- 3 -'!D32*100</f>
        <v>2.4980255798935818</v>
      </c>
      <c r="G32" s="26">
        <f>E32/'- 7 -'!F32</f>
        <v>233.04755309325947</v>
      </c>
    </row>
    <row r="33" spans="1:7" ht="13.5" customHeight="1">
      <c r="A33" s="331" t="s">
        <v>266</v>
      </c>
      <c r="B33" s="332">
        <f>'- 27 -'!B33</f>
        <v>5932</v>
      </c>
      <c r="C33" s="338">
        <f>'- 27 -'!C33*100</f>
        <v>2.6077830542546803</v>
      </c>
      <c r="D33" s="332">
        <f>'- 27 -'!D33</f>
        <v>2.576665797932413</v>
      </c>
      <c r="E33" s="332">
        <f>SUM('- 38 -'!B33,'- 38 -'!E33,'- 38 -'!H33,B33)</f>
        <v>683409</v>
      </c>
      <c r="F33" s="338">
        <f>E33/'- 3 -'!D33*100</f>
        <v>3.004353353548781</v>
      </c>
      <c r="G33" s="332">
        <f>E33/'- 7 -'!F33</f>
        <v>296.85040396142824</v>
      </c>
    </row>
    <row r="34" spans="1:7" ht="13.5" customHeight="1">
      <c r="A34" s="25" t="s">
        <v>267</v>
      </c>
      <c r="B34" s="26">
        <f>'- 27 -'!B34</f>
        <v>13849</v>
      </c>
      <c r="C34" s="78">
        <f>'- 27 -'!C34*100</f>
        <v>7.207288786470343</v>
      </c>
      <c r="D34" s="26">
        <f>'- 27 -'!D34</f>
        <v>6.7770981159774895</v>
      </c>
      <c r="E34" s="26">
        <f>SUM('- 38 -'!B34,'- 38 -'!E34,'- 38 -'!H34,B34)</f>
        <v>390865</v>
      </c>
      <c r="F34" s="78">
        <f>E34/'- 3 -'!D34*100</f>
        <v>2.0341374334058275</v>
      </c>
      <c r="G34" s="26">
        <f>E34/'- 7 -'!F34</f>
        <v>191.27232689013945</v>
      </c>
    </row>
    <row r="35" spans="1:7" ht="13.5" customHeight="1">
      <c r="A35" s="331" t="s">
        <v>268</v>
      </c>
      <c r="B35" s="332">
        <f>'- 27 -'!B35</f>
        <v>550380</v>
      </c>
      <c r="C35" s="338">
        <f>'- 27 -'!C35*100</f>
        <v>38.60739807307713</v>
      </c>
      <c r="D35" s="332">
        <f>'- 27 -'!D35</f>
        <v>32.75291597238753</v>
      </c>
      <c r="E35" s="332">
        <f>SUM('- 38 -'!B35,'- 38 -'!E35,'- 38 -'!H35,B35)</f>
        <v>2123485</v>
      </c>
      <c r="F35" s="338">
        <f>E35/'- 3 -'!D35*100</f>
        <v>1.4895568642975434</v>
      </c>
      <c r="G35" s="332">
        <f>E35/'- 7 -'!F35</f>
        <v>126.3678290883123</v>
      </c>
    </row>
    <row r="36" spans="1:7" ht="13.5" customHeight="1">
      <c r="A36" s="25" t="s">
        <v>269</v>
      </c>
      <c r="B36" s="26">
        <f>'- 27 -'!B36</f>
        <v>0</v>
      </c>
      <c r="C36" s="78">
        <f>'- 27 -'!C36*100</f>
        <v>0</v>
      </c>
      <c r="D36" s="26">
        <f>'- 27 -'!D36</f>
        <v>0</v>
      </c>
      <c r="E36" s="26">
        <f>SUM('- 38 -'!B36,'- 38 -'!E36,'- 38 -'!H36,B36)</f>
        <v>378717</v>
      </c>
      <c r="F36" s="78">
        <f>E36/'- 3 -'!D36*100</f>
        <v>2.1103355606116385</v>
      </c>
      <c r="G36" s="26">
        <f>E36/'- 7 -'!F36</f>
        <v>195.3156266116555</v>
      </c>
    </row>
    <row r="37" spans="1:7" ht="13.5" customHeight="1">
      <c r="A37" s="331" t="s">
        <v>270</v>
      </c>
      <c r="B37" s="332">
        <f>'- 27 -'!B37</f>
        <v>115980</v>
      </c>
      <c r="C37" s="338">
        <f>'- 27 -'!C37*100</f>
        <v>38.85714170845786</v>
      </c>
      <c r="D37" s="332">
        <f>'- 27 -'!D37</f>
        <v>34.521966900821525</v>
      </c>
      <c r="E37" s="332">
        <f>SUM('- 38 -'!B37,'- 38 -'!E37,'- 38 -'!H37,B37)</f>
        <v>943874</v>
      </c>
      <c r="F37" s="338">
        <f>E37/'- 3 -'!D37*100</f>
        <v>3.1622905477607306</v>
      </c>
      <c r="G37" s="332">
        <f>E37/'- 7 -'!F37</f>
        <v>280.9483271818074</v>
      </c>
    </row>
    <row r="38" spans="1:7" ht="13.5" customHeight="1">
      <c r="A38" s="25" t="s">
        <v>271</v>
      </c>
      <c r="B38" s="26">
        <f>'- 27 -'!B38</f>
        <v>224019</v>
      </c>
      <c r="C38" s="78">
        <f>'- 27 -'!C38*100</f>
        <v>30.193453129266445</v>
      </c>
      <c r="D38" s="26">
        <f>'- 27 -'!D38</f>
        <v>25.583166790384286</v>
      </c>
      <c r="E38" s="26">
        <f>SUM('- 38 -'!B38,'- 38 -'!E38,'- 38 -'!H38,B38)</f>
        <v>1527769</v>
      </c>
      <c r="F38" s="78">
        <f>E38/'- 3 -'!D38*100</f>
        <v>2.0591388093798413</v>
      </c>
      <c r="G38" s="26">
        <f>E38/'- 7 -'!F38</f>
        <v>174.47256323873694</v>
      </c>
    </row>
    <row r="39" spans="1:7" ht="13.5" customHeight="1">
      <c r="A39" s="331" t="s">
        <v>272</v>
      </c>
      <c r="B39" s="332">
        <f>'- 27 -'!B39</f>
        <v>11713</v>
      </c>
      <c r="C39" s="338">
        <f>'- 27 -'!C39*100</f>
        <v>7.166010266733671</v>
      </c>
      <c r="D39" s="332">
        <f>'- 27 -'!D39</f>
        <v>7.077341389728097</v>
      </c>
      <c r="E39" s="332">
        <f>SUM('- 38 -'!B39,'- 38 -'!E39,'- 38 -'!H39,B39)</f>
        <v>485311</v>
      </c>
      <c r="F39" s="338">
        <f>E39/'- 3 -'!D39*100</f>
        <v>2.9691313997769866</v>
      </c>
      <c r="G39" s="332">
        <f>E39/'- 7 -'!F39</f>
        <v>293.2392749244713</v>
      </c>
    </row>
    <row r="40" spans="1:7" ht="13.5" customHeight="1">
      <c r="A40" s="25" t="s">
        <v>273</v>
      </c>
      <c r="B40" s="26">
        <f>'- 27 -'!B40</f>
        <v>123220</v>
      </c>
      <c r="C40" s="78">
        <f>'- 27 -'!C40*100</f>
        <v>16.12541948730641</v>
      </c>
      <c r="D40" s="26">
        <f>'- 27 -'!D40</f>
        <v>14.185474911786883</v>
      </c>
      <c r="E40" s="26">
        <f>SUM('- 38 -'!B40,'- 38 -'!E40,'- 38 -'!H40,B40)</f>
        <v>1649369</v>
      </c>
      <c r="F40" s="78">
        <f>E40/'- 3 -'!D40*100</f>
        <v>2.1584780891380526</v>
      </c>
      <c r="G40" s="26">
        <f>E40/'- 7 -'!F40</f>
        <v>189.88055972876984</v>
      </c>
    </row>
    <row r="41" spans="1:7" ht="13.5" customHeight="1">
      <c r="A41" s="331" t="s">
        <v>274</v>
      </c>
      <c r="B41" s="332">
        <f>'- 27 -'!B41</f>
        <v>105978</v>
      </c>
      <c r="C41" s="338">
        <f>'- 27 -'!C41*100</f>
        <v>22.73649549933112</v>
      </c>
      <c r="D41" s="332">
        <f>'- 27 -'!D41</f>
        <v>22.65697487974345</v>
      </c>
      <c r="E41" s="332">
        <f>SUM('- 38 -'!B41,'- 38 -'!E41,'- 38 -'!H41,B41)</f>
        <v>1714396</v>
      </c>
      <c r="F41" s="338">
        <f>E41/'- 3 -'!D41*100</f>
        <v>3.678061195537873</v>
      </c>
      <c r="G41" s="332">
        <f>E41/'- 7 -'!F41</f>
        <v>366.51972207375735</v>
      </c>
    </row>
    <row r="42" spans="1:7" ht="13.5" customHeight="1">
      <c r="A42" s="25" t="s">
        <v>275</v>
      </c>
      <c r="B42" s="26">
        <f>'- 27 -'!B42</f>
        <v>22696</v>
      </c>
      <c r="C42" s="78">
        <f>'- 27 -'!C42*100</f>
        <v>13.741041547458268</v>
      </c>
      <c r="D42" s="26">
        <f>'- 27 -'!D42</f>
        <v>13.13425925925926</v>
      </c>
      <c r="E42" s="26">
        <f>SUM('- 38 -'!B42,'- 38 -'!E42,'- 38 -'!H42,B42)</f>
        <v>678455</v>
      </c>
      <c r="F42" s="78">
        <f>E42/'- 3 -'!D42*100</f>
        <v>4.107630570620726</v>
      </c>
      <c r="G42" s="26">
        <f>E42/'- 7 -'!F42</f>
        <v>392.6244212962963</v>
      </c>
    </row>
    <row r="43" spans="1:7" ht="13.5" customHeight="1">
      <c r="A43" s="331" t="s">
        <v>276</v>
      </c>
      <c r="B43" s="332">
        <f>'- 27 -'!B43</f>
        <v>0</v>
      </c>
      <c r="C43" s="338">
        <f>'- 27 -'!C43*100</f>
        <v>0</v>
      </c>
      <c r="D43" s="332">
        <f>'- 27 -'!D43</f>
        <v>0</v>
      </c>
      <c r="E43" s="332">
        <f>SUM('- 38 -'!B43,'- 38 -'!E43,'- 38 -'!H43,B43)</f>
        <v>285965</v>
      </c>
      <c r="F43" s="338">
        <f>E43/'- 3 -'!D43*100</f>
        <v>2.8084588169146874</v>
      </c>
      <c r="G43" s="332">
        <f>E43/'- 7 -'!F43</f>
        <v>262.4736117485085</v>
      </c>
    </row>
    <row r="44" spans="1:7" ht="13.5" customHeight="1">
      <c r="A44" s="25" t="s">
        <v>277</v>
      </c>
      <c r="B44" s="26">
        <f>'- 27 -'!B44</f>
        <v>12431</v>
      </c>
      <c r="C44" s="78">
        <f>'- 27 -'!C44*100</f>
        <v>16.08022754214026</v>
      </c>
      <c r="D44" s="26">
        <f>'- 27 -'!D44</f>
        <v>15.206116207951071</v>
      </c>
      <c r="E44" s="26">
        <f>SUM('- 38 -'!B44,'- 38 -'!E44,'- 38 -'!H44,B44)</f>
        <v>189833</v>
      </c>
      <c r="F44" s="78">
        <f>E44/'- 3 -'!D44*100</f>
        <v>2.455601186555476</v>
      </c>
      <c r="G44" s="26">
        <f>E44/'- 7 -'!F44</f>
        <v>232.21162079510702</v>
      </c>
    </row>
    <row r="45" spans="1:7" ht="13.5" customHeight="1">
      <c r="A45" s="331" t="s">
        <v>278</v>
      </c>
      <c r="B45" s="332">
        <f>'- 27 -'!B45</f>
        <v>20793</v>
      </c>
      <c r="C45" s="338">
        <f>'- 27 -'!C45*100</f>
        <v>17.846226402810405</v>
      </c>
      <c r="D45" s="332">
        <f>'- 27 -'!D45</f>
        <v>14.08739837398374</v>
      </c>
      <c r="E45" s="332">
        <f>SUM('- 38 -'!B45,'- 38 -'!E45,'- 38 -'!H45,B45)</f>
        <v>223814.96999999997</v>
      </c>
      <c r="F45" s="338">
        <f>E45/'- 3 -'!D45*100</f>
        <v>1.920960239964516</v>
      </c>
      <c r="G45" s="332">
        <f>E45/'- 7 -'!F45</f>
        <v>151.63615853658536</v>
      </c>
    </row>
    <row r="46" spans="1:7" ht="13.5" customHeight="1">
      <c r="A46" s="25" t="s">
        <v>279</v>
      </c>
      <c r="B46" s="26">
        <f>'- 27 -'!B46</f>
        <v>1016800</v>
      </c>
      <c r="C46" s="78">
        <f>'- 27 -'!C46*100</f>
        <v>35.01770985892592</v>
      </c>
      <c r="D46" s="26">
        <f>'- 27 -'!D46</f>
        <v>33.63879974856916</v>
      </c>
      <c r="E46" s="26">
        <f>SUM('- 38 -'!B46,'- 38 -'!E46,'- 38 -'!H46,B46)</f>
        <v>6744953</v>
      </c>
      <c r="F46" s="78">
        <f>E46/'- 3 -'!D46*100</f>
        <v>2.322903296283359</v>
      </c>
      <c r="G46" s="26">
        <f>E46/'- 7 -'!F46</f>
        <v>223.14331557878717</v>
      </c>
    </row>
    <row r="47" spans="1:7" ht="4.5" customHeight="1">
      <c r="A47" s="27"/>
      <c r="B47" s="28"/>
      <c r="C47"/>
      <c r="D47"/>
      <c r="E47"/>
      <c r="F47"/>
      <c r="G47"/>
    </row>
    <row r="48" spans="1:7" ht="13.5" customHeight="1">
      <c r="A48" s="333" t="s">
        <v>280</v>
      </c>
      <c r="B48" s="334">
        <f>SUM(B11:B46)</f>
        <v>3981496</v>
      </c>
      <c r="C48" s="341">
        <f>'- 27 -'!C48*100</f>
        <v>25.09440175845117</v>
      </c>
      <c r="D48" s="334">
        <f>'- 27 -'!D48</f>
        <v>22.92135191479198</v>
      </c>
      <c r="E48" s="334">
        <f>SUM('- 38 -'!B48,'- 38 -'!E48,'- 38 -'!H48,B48)</f>
        <v>35953142.97</v>
      </c>
      <c r="F48" s="341">
        <f>E48/'- 3 -'!D48*100</f>
        <v>2.2660392329119863</v>
      </c>
      <c r="G48" s="334">
        <f>E48/'- 7 -'!F48</f>
        <v>206.98115543961347</v>
      </c>
    </row>
    <row r="49" spans="1:7" ht="4.5" customHeight="1">
      <c r="A49" s="27" t="s">
        <v>32</v>
      </c>
      <c r="B49" s="28"/>
      <c r="C49"/>
      <c r="D49"/>
      <c r="E49"/>
      <c r="F49"/>
      <c r="G49"/>
    </row>
    <row r="50" spans="1:7" ht="13.5" customHeight="1">
      <c r="A50" s="25" t="s">
        <v>281</v>
      </c>
      <c r="B50" s="26">
        <f>'- 27 -'!B50</f>
        <v>5932</v>
      </c>
      <c r="C50" s="78">
        <f>'- 27 -'!C50*100</f>
        <v>22.504459540153313</v>
      </c>
      <c r="D50" s="26">
        <f>'- 27 -'!D50</f>
        <v>25.983355234340777</v>
      </c>
      <c r="E50" s="26">
        <f>SUM('- 38 -'!B50,'- 38 -'!E50,'- 38 -'!H50,B50)</f>
        <v>42722</v>
      </c>
      <c r="F50" s="78">
        <f>E50/'- 3 -'!D50*100</f>
        <v>1.620761160610974</v>
      </c>
      <c r="G50" s="26">
        <f>E50/'- 7 -'!F50</f>
        <v>187.13096802452912</v>
      </c>
    </row>
    <row r="51" spans="1:7" ht="13.5" customHeight="1">
      <c r="A51" s="331" t="s">
        <v>282</v>
      </c>
      <c r="B51" s="332">
        <f>'- 27 -'!B51</f>
        <v>190994</v>
      </c>
      <c r="C51" s="338">
        <f>'- 27 -'!C51*100</f>
        <v>188.7527685020831</v>
      </c>
      <c r="D51" s="332">
        <f>'- 27 -'!D51</f>
        <v>286.9070151719994</v>
      </c>
      <c r="E51" s="332">
        <f>SUM('- 38 -'!B51,'- 38 -'!E51,'- 38 -'!H51,B51)</f>
        <v>415066</v>
      </c>
      <c r="F51" s="338">
        <f>E51/'- 3 -'!D51*100</f>
        <v>4.10195381064775</v>
      </c>
      <c r="G51" s="332">
        <f>E51/'- 7 -'!F51</f>
        <v>623.5030794652246</v>
      </c>
    </row>
    <row r="52" spans="1:8" ht="49.5" customHeight="1">
      <c r="A52" s="29"/>
      <c r="B52" s="29"/>
      <c r="C52" s="29"/>
      <c r="D52" s="29"/>
      <c r="E52" s="29"/>
      <c r="F52" s="29"/>
      <c r="G52" s="29"/>
      <c r="H52" s="29"/>
    </row>
    <row r="53" ht="15" customHeight="1">
      <c r="A53" s="489" t="s">
        <v>535</v>
      </c>
    </row>
    <row r="54" spans="1:4" ht="12" customHeight="1">
      <c r="A54" s="489" t="s">
        <v>536</v>
      </c>
      <c r="B54" s="151"/>
      <c r="C54" s="151"/>
      <c r="D54" s="151"/>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H55"/>
  <sheetViews>
    <sheetView showGridLines="0" showZeros="0" workbookViewId="0" topLeftCell="A1">
      <selection activeCell="A1" sqref="A1"/>
    </sheetView>
  </sheetViews>
  <sheetFormatPr defaultColWidth="14.83203125" defaultRowHeight="12"/>
  <cols>
    <col min="1" max="1" width="31.83203125" style="1" customWidth="1"/>
    <col min="2" max="2" width="15.83203125" style="1" customWidth="1"/>
    <col min="3" max="3" width="13.83203125" style="1" customWidth="1"/>
    <col min="4" max="5" width="14.83203125" style="1" customWidth="1"/>
    <col min="6" max="6" width="12.83203125" style="1" customWidth="1"/>
    <col min="7" max="7" width="16.83203125" style="1" customWidth="1"/>
    <col min="8" max="8" width="11.83203125" style="1" customWidth="1"/>
    <col min="9" max="16384" width="14.83203125" style="1" customWidth="1"/>
  </cols>
  <sheetData>
    <row r="1" ht="6.75" customHeight="1">
      <c r="A1" s="5"/>
    </row>
    <row r="2" spans="1:8" ht="15.75" customHeight="1">
      <c r="A2" s="234" t="str">
        <f>"  SUMMARY"&amp;REPLACE(REVYEAR,1,8,"")</f>
        <v>  SUMMARY OF OPERATING FUND REVENUE: 2006/2007 ACTUAL</v>
      </c>
      <c r="B2" s="47"/>
      <c r="C2" s="47"/>
      <c r="D2" s="47"/>
      <c r="E2" s="47"/>
      <c r="F2" s="47"/>
      <c r="G2" s="47"/>
      <c r="H2" s="47"/>
    </row>
    <row r="3" ht="15.75" customHeight="1">
      <c r="A3" s="235"/>
    </row>
    <row r="4" spans="2:8" ht="15.75" customHeight="1">
      <c r="B4" s="6"/>
      <c r="C4" s="77"/>
      <c r="D4" s="77"/>
      <c r="E4" s="6"/>
      <c r="F4" s="6"/>
      <c r="G4" s="6"/>
      <c r="H4" s="6"/>
    </row>
    <row r="5" spans="2:8" ht="15.75" customHeight="1">
      <c r="B5" s="6"/>
      <c r="C5" s="6"/>
      <c r="D5" s="6"/>
      <c r="E5" s="6"/>
      <c r="F5" s="6"/>
      <c r="G5" s="6"/>
      <c r="H5" s="6"/>
    </row>
    <row r="6" spans="2:8" ht="15.75" customHeight="1">
      <c r="B6" s="236" t="s">
        <v>127</v>
      </c>
      <c r="C6" s="195"/>
      <c r="D6" s="195"/>
      <c r="E6" s="195"/>
      <c r="F6" s="195"/>
      <c r="G6" s="195"/>
      <c r="H6" s="196"/>
    </row>
    <row r="7" spans="2:8" ht="15.75" customHeight="1">
      <c r="B7" s="359" t="s">
        <v>135</v>
      </c>
      <c r="C7" s="362"/>
      <c r="D7" s="362"/>
      <c r="E7" s="353" t="s">
        <v>74</v>
      </c>
      <c r="F7" s="353" t="s">
        <v>32</v>
      </c>
      <c r="G7" s="353" t="s">
        <v>126</v>
      </c>
      <c r="H7" s="353" t="s">
        <v>32</v>
      </c>
    </row>
    <row r="8" spans="1:8" ht="15.75" customHeight="1">
      <c r="A8" s="39"/>
      <c r="B8" s="395"/>
      <c r="C8" s="437"/>
      <c r="D8" s="437"/>
      <c r="E8" s="410" t="s">
        <v>153</v>
      </c>
      <c r="F8" s="410" t="s">
        <v>154</v>
      </c>
      <c r="G8" s="410" t="s">
        <v>155</v>
      </c>
      <c r="H8" s="410" t="s">
        <v>32</v>
      </c>
    </row>
    <row r="9" spans="1:8" ht="15.75" customHeight="1">
      <c r="A9" s="92" t="s">
        <v>108</v>
      </c>
      <c r="B9" s="357" t="s">
        <v>401</v>
      </c>
      <c r="C9" s="357" t="s">
        <v>129</v>
      </c>
      <c r="D9" s="357" t="s">
        <v>130</v>
      </c>
      <c r="E9" s="357" t="s">
        <v>149</v>
      </c>
      <c r="F9" s="357" t="s">
        <v>167</v>
      </c>
      <c r="G9" s="357" t="s">
        <v>168</v>
      </c>
      <c r="H9" s="357" t="s">
        <v>74</v>
      </c>
    </row>
    <row r="10" spans="1:8" ht="4.5" customHeight="1">
      <c r="A10" s="4"/>
      <c r="B10" s="237"/>
      <c r="C10" s="237"/>
      <c r="D10" s="237"/>
      <c r="E10" s="237"/>
      <c r="F10" s="237"/>
      <c r="G10" s="237"/>
      <c r="H10" s="237"/>
    </row>
    <row r="11" spans="1:8" ht="13.5" customHeight="1">
      <c r="A11" s="331" t="s">
        <v>245</v>
      </c>
      <c r="B11" s="338">
        <f>'- 42 -'!H11</f>
        <v>62.707796418339804</v>
      </c>
      <c r="C11" s="338">
        <f>'- 43 -'!C11</f>
        <v>0</v>
      </c>
      <c r="D11" s="338">
        <f>'- 43 -'!E11</f>
        <v>35.61280028923655</v>
      </c>
      <c r="E11" s="338">
        <f>'- 43 -'!G11</f>
        <v>0.44957420135736825</v>
      </c>
      <c r="F11" s="338">
        <f>'- 43 -'!I11</f>
        <v>0</v>
      </c>
      <c r="G11" s="338">
        <f>'- 44 -'!C11</f>
        <v>0.39571961346050305</v>
      </c>
      <c r="H11" s="338">
        <f>'- 44 -'!E11</f>
        <v>0.8341094776057816</v>
      </c>
    </row>
    <row r="12" spans="1:8" ht="13.5" customHeight="1">
      <c r="A12" s="25" t="s">
        <v>246</v>
      </c>
      <c r="B12" s="78">
        <f>'- 42 -'!H12</f>
        <v>60.92719738531376</v>
      </c>
      <c r="C12" s="78">
        <f>'- 43 -'!C12</f>
        <v>0.0025971058294696958</v>
      </c>
      <c r="D12" s="78">
        <f>'- 43 -'!E12</f>
        <v>33.65158010298991</v>
      </c>
      <c r="E12" s="78">
        <f>'- 43 -'!G12</f>
        <v>1.3341345397732942</v>
      </c>
      <c r="F12" s="78">
        <f>'- 43 -'!I12</f>
        <v>2.4705829945760867</v>
      </c>
      <c r="G12" s="78">
        <f>'- 44 -'!C12</f>
        <v>0.8802063470716123</v>
      </c>
      <c r="H12" s="78">
        <f>'- 44 -'!E12</f>
        <v>0.7337015244458643</v>
      </c>
    </row>
    <row r="13" spans="1:8" ht="13.5" customHeight="1">
      <c r="A13" s="331" t="s">
        <v>247</v>
      </c>
      <c r="B13" s="338">
        <f>'- 42 -'!H13</f>
        <v>63.07509144226715</v>
      </c>
      <c r="C13" s="338">
        <f>'- 43 -'!C13</f>
        <v>0.033654745414479034</v>
      </c>
      <c r="D13" s="338">
        <f>'- 43 -'!E13</f>
        <v>34.30605800457458</v>
      </c>
      <c r="E13" s="338">
        <f>'- 43 -'!G13</f>
        <v>0.3360669078862153</v>
      </c>
      <c r="F13" s="338">
        <f>'- 43 -'!I13</f>
        <v>0.5528207826939372</v>
      </c>
      <c r="G13" s="338">
        <f>'- 44 -'!C13</f>
        <v>1.305581823583545</v>
      </c>
      <c r="H13" s="338">
        <f>'- 44 -'!E13</f>
        <v>0.3907262935800891</v>
      </c>
    </row>
    <row r="14" spans="1:8" ht="13.5" customHeight="1">
      <c r="A14" s="25" t="s">
        <v>283</v>
      </c>
      <c r="B14" s="78">
        <f>'- 42 -'!H14</f>
        <v>72.91127748074673</v>
      </c>
      <c r="C14" s="78">
        <f>'- 43 -'!C14</f>
        <v>0.49764906806210607</v>
      </c>
      <c r="D14" s="78">
        <f>'- 43 -'!E14</f>
        <v>24.695335640565933</v>
      </c>
      <c r="E14" s="78">
        <f>'- 43 -'!G14</f>
        <v>1.4065563362928541</v>
      </c>
      <c r="F14" s="78">
        <f>'- 43 -'!I14</f>
        <v>0</v>
      </c>
      <c r="G14" s="78">
        <f>'- 44 -'!C14</f>
        <v>0.3027933007633979</v>
      </c>
      <c r="H14" s="78">
        <f>'- 44 -'!E14</f>
        <v>0.18638817356897813</v>
      </c>
    </row>
    <row r="15" spans="1:8" ht="13.5" customHeight="1">
      <c r="A15" s="331" t="s">
        <v>248</v>
      </c>
      <c r="B15" s="338">
        <f>'- 42 -'!H15</f>
        <v>61.86093110332139</v>
      </c>
      <c r="C15" s="338">
        <f>'- 43 -'!C15</f>
        <v>0</v>
      </c>
      <c r="D15" s="338">
        <f>'- 43 -'!E15</f>
        <v>35.22344212087795</v>
      </c>
      <c r="E15" s="338">
        <f>'- 43 -'!G15</f>
        <v>0.38529390724060997</v>
      </c>
      <c r="F15" s="338">
        <f>'- 43 -'!I15</f>
        <v>1.4100447721103633</v>
      </c>
      <c r="G15" s="338">
        <f>'- 44 -'!C15</f>
        <v>0.9453772154905832</v>
      </c>
      <c r="H15" s="338">
        <f>'- 44 -'!E15</f>
        <v>0.1749108809590977</v>
      </c>
    </row>
    <row r="16" spans="1:8" ht="13.5" customHeight="1">
      <c r="A16" s="25" t="s">
        <v>249</v>
      </c>
      <c r="B16" s="78">
        <f>'- 42 -'!H16</f>
        <v>67.77410422052431</v>
      </c>
      <c r="C16" s="78">
        <f>'- 43 -'!C16</f>
        <v>0.27661548760432003</v>
      </c>
      <c r="D16" s="78">
        <f>'- 43 -'!E16</f>
        <v>25.514345883878935</v>
      </c>
      <c r="E16" s="78">
        <f>'- 43 -'!G16</f>
        <v>1.9646647375248356</v>
      </c>
      <c r="F16" s="78">
        <f>'- 43 -'!I16</f>
        <v>0.9046032161542424</v>
      </c>
      <c r="G16" s="78">
        <f>'- 44 -'!C16</f>
        <v>2.9427938054834564</v>
      </c>
      <c r="H16" s="78">
        <f>'- 44 -'!E16</f>
        <v>0.6228726488299005</v>
      </c>
    </row>
    <row r="17" spans="1:8" ht="13.5" customHeight="1">
      <c r="A17" s="331" t="s">
        <v>250</v>
      </c>
      <c r="B17" s="338">
        <f>'- 42 -'!H17</f>
        <v>59.39766871960539</v>
      </c>
      <c r="C17" s="338">
        <f>'- 43 -'!C17</f>
        <v>0</v>
      </c>
      <c r="D17" s="338">
        <f>'- 43 -'!E17</f>
        <v>34.29297029240714</v>
      </c>
      <c r="E17" s="338">
        <f>'- 43 -'!G17</f>
        <v>0.10350951545603361</v>
      </c>
      <c r="F17" s="338">
        <f>'- 43 -'!I17</f>
        <v>5.485678589925339</v>
      </c>
      <c r="G17" s="338">
        <f>'- 44 -'!C17</f>
        <v>0.11002410034487489</v>
      </c>
      <c r="H17" s="338">
        <f>'- 44 -'!E17</f>
        <v>0.6101487822612196</v>
      </c>
    </row>
    <row r="18" spans="1:8" ht="13.5" customHeight="1">
      <c r="A18" s="25" t="s">
        <v>251</v>
      </c>
      <c r="B18" s="78">
        <f>'- 42 -'!H18</f>
        <v>41.83467346976333</v>
      </c>
      <c r="C18" s="78">
        <f>'- 43 -'!C18</f>
        <v>0.23791092257016538</v>
      </c>
      <c r="D18" s="78">
        <f>'- 43 -'!E18</f>
        <v>3.603540307923028</v>
      </c>
      <c r="E18" s="78">
        <f>'- 43 -'!G18</f>
        <v>0.0070780895125689995</v>
      </c>
      <c r="F18" s="78">
        <f>'- 43 -'!I18</f>
        <v>50.11637468095511</v>
      </c>
      <c r="G18" s="78">
        <f>'- 44 -'!C18</f>
        <v>3.53981354569925</v>
      </c>
      <c r="H18" s="78">
        <f>'- 44 -'!E18</f>
        <v>0.6606089835765456</v>
      </c>
    </row>
    <row r="19" spans="1:8" ht="13.5" customHeight="1">
      <c r="A19" s="331" t="s">
        <v>252</v>
      </c>
      <c r="B19" s="338">
        <f>'- 42 -'!H19</f>
        <v>67.94078367293548</v>
      </c>
      <c r="C19" s="338">
        <f>'- 43 -'!C19</f>
        <v>0</v>
      </c>
      <c r="D19" s="338">
        <f>'- 43 -'!E19</f>
        <v>30.204006164092377</v>
      </c>
      <c r="E19" s="338">
        <f>'- 43 -'!G19</f>
        <v>0.9189878750015306</v>
      </c>
      <c r="F19" s="338">
        <f>'- 43 -'!I19</f>
        <v>0</v>
      </c>
      <c r="G19" s="338">
        <f>'- 44 -'!C19</f>
        <v>0.058119648052209115</v>
      </c>
      <c r="H19" s="338">
        <f>'- 44 -'!E19</f>
        <v>0.8781026399184031</v>
      </c>
    </row>
    <row r="20" spans="1:8" ht="13.5" customHeight="1">
      <c r="A20" s="25" t="s">
        <v>253</v>
      </c>
      <c r="B20" s="78">
        <f>'- 42 -'!H20</f>
        <v>70.21753143554665</v>
      </c>
      <c r="C20" s="78">
        <f>'- 43 -'!C20</f>
        <v>0</v>
      </c>
      <c r="D20" s="78">
        <f>'- 43 -'!E20</f>
        <v>28.26839608507457</v>
      </c>
      <c r="E20" s="78">
        <f>'- 43 -'!G20</f>
        <v>0.4712961154684281</v>
      </c>
      <c r="F20" s="78">
        <f>'- 43 -'!I20</f>
        <v>0</v>
      </c>
      <c r="G20" s="78">
        <f>'- 44 -'!C20</f>
        <v>0.809814750914092</v>
      </c>
      <c r="H20" s="78">
        <f>'- 44 -'!E20</f>
        <v>0.23296161299625442</v>
      </c>
    </row>
    <row r="21" spans="1:8" ht="13.5" customHeight="1">
      <c r="A21" s="331" t="s">
        <v>254</v>
      </c>
      <c r="B21" s="338">
        <f>'- 42 -'!H21</f>
        <v>66.05620817193993</v>
      </c>
      <c r="C21" s="338">
        <f>'- 43 -'!C21</f>
        <v>0</v>
      </c>
      <c r="D21" s="338">
        <f>'- 43 -'!E21</f>
        <v>32.558630556223655</v>
      </c>
      <c r="E21" s="338">
        <f>'- 43 -'!G21</f>
        <v>0.14453410020702925</v>
      </c>
      <c r="F21" s="338">
        <f>'- 43 -'!I21</f>
        <v>0</v>
      </c>
      <c r="G21" s="338">
        <f>'- 44 -'!C21</f>
        <v>0.6776315770432237</v>
      </c>
      <c r="H21" s="338">
        <f>'- 44 -'!E21</f>
        <v>0.5629955945861542</v>
      </c>
    </row>
    <row r="22" spans="1:8" ht="13.5" customHeight="1">
      <c r="A22" s="25" t="s">
        <v>255</v>
      </c>
      <c r="B22" s="78">
        <f>'- 42 -'!H22</f>
        <v>76.03692310284266</v>
      </c>
      <c r="C22" s="78">
        <f>'- 43 -'!C22</f>
        <v>0</v>
      </c>
      <c r="D22" s="78">
        <f>'- 43 -'!E22</f>
        <v>21.741737425461164</v>
      </c>
      <c r="E22" s="78">
        <f>'- 43 -'!G22</f>
        <v>0.044916294782779864</v>
      </c>
      <c r="F22" s="78">
        <f>'- 43 -'!I22</f>
        <v>1.0798996059936041</v>
      </c>
      <c r="G22" s="78">
        <f>'- 44 -'!C22</f>
        <v>0.4932500187068964</v>
      </c>
      <c r="H22" s="78">
        <f>'- 44 -'!E22</f>
        <v>0.6032735522129057</v>
      </c>
    </row>
    <row r="23" spans="1:8" ht="13.5" customHeight="1">
      <c r="A23" s="331" t="s">
        <v>256</v>
      </c>
      <c r="B23" s="338">
        <f>'- 42 -'!H23</f>
        <v>65.37756022464379</v>
      </c>
      <c r="C23" s="338">
        <f>'- 43 -'!C23</f>
        <v>0</v>
      </c>
      <c r="D23" s="338">
        <f>'- 43 -'!E23</f>
        <v>26.573202631770755</v>
      </c>
      <c r="E23" s="338">
        <f>'- 43 -'!G23</f>
        <v>0.7306746448146858</v>
      </c>
      <c r="F23" s="338">
        <f>'- 43 -'!I23</f>
        <v>4.837847458025832</v>
      </c>
      <c r="G23" s="338">
        <f>'- 44 -'!C23</f>
        <v>1.781770965294979</v>
      </c>
      <c r="H23" s="338">
        <f>'- 44 -'!E23</f>
        <v>0.6989440754499566</v>
      </c>
    </row>
    <row r="24" spans="1:8" ht="13.5" customHeight="1">
      <c r="A24" s="25" t="s">
        <v>257</v>
      </c>
      <c r="B24" s="78">
        <f>'- 42 -'!H24</f>
        <v>61.47603076058935</v>
      </c>
      <c r="C24" s="78">
        <f>'- 43 -'!C24</f>
        <v>0.0904275149788204</v>
      </c>
      <c r="D24" s="78">
        <f>'- 43 -'!E24</f>
        <v>35.212952519018955</v>
      </c>
      <c r="E24" s="78">
        <f>'- 43 -'!G24</f>
        <v>0.4197647878397562</v>
      </c>
      <c r="F24" s="78">
        <f>'- 43 -'!I24</f>
        <v>0.9657458297526178</v>
      </c>
      <c r="G24" s="78">
        <f>'- 44 -'!C24</f>
        <v>1.411213717146852</v>
      </c>
      <c r="H24" s="78">
        <f>'- 44 -'!E24</f>
        <v>0.42386487067365447</v>
      </c>
    </row>
    <row r="25" spans="1:8" ht="13.5" customHeight="1">
      <c r="A25" s="331" t="s">
        <v>258</v>
      </c>
      <c r="B25" s="338">
        <f>'- 42 -'!H25</f>
        <v>64.94353193622914</v>
      </c>
      <c r="C25" s="338">
        <f>'- 43 -'!C25</f>
        <v>0</v>
      </c>
      <c r="D25" s="338">
        <f>'- 43 -'!E25</f>
        <v>33.28063396581819</v>
      </c>
      <c r="E25" s="338">
        <f>'- 43 -'!G25</f>
        <v>0.3943031981861943</v>
      </c>
      <c r="F25" s="338">
        <f>'- 43 -'!I25</f>
        <v>0</v>
      </c>
      <c r="G25" s="338">
        <f>'- 44 -'!C25</f>
        <v>0.9899223614533792</v>
      </c>
      <c r="H25" s="338">
        <f>'- 44 -'!E25</f>
        <v>0.39160853831310083</v>
      </c>
    </row>
    <row r="26" spans="1:8" ht="13.5" customHeight="1">
      <c r="A26" s="25" t="s">
        <v>259</v>
      </c>
      <c r="B26" s="78">
        <f>'- 42 -'!H26</f>
        <v>67.75896040220144</v>
      </c>
      <c r="C26" s="78">
        <f>'- 43 -'!C26</f>
        <v>0.15598806540551188</v>
      </c>
      <c r="D26" s="78">
        <f>'- 43 -'!E26</f>
        <v>27.299469342658337</v>
      </c>
      <c r="E26" s="78">
        <f>'- 43 -'!G26</f>
        <v>1.2200705359681758</v>
      </c>
      <c r="F26" s="78">
        <f>'- 43 -'!I26</f>
        <v>1.9893300013207973</v>
      </c>
      <c r="G26" s="78">
        <f>'- 44 -'!C26</f>
        <v>1.042863852545826</v>
      </c>
      <c r="H26" s="78">
        <f>'- 44 -'!E26</f>
        <v>0.5333177998999108</v>
      </c>
    </row>
    <row r="27" spans="1:8" ht="13.5" customHeight="1">
      <c r="A27" s="331" t="s">
        <v>260</v>
      </c>
      <c r="B27" s="338">
        <f>'- 42 -'!H27</f>
        <v>73.86679256024097</v>
      </c>
      <c r="C27" s="338">
        <f>'- 43 -'!C27</f>
        <v>0.01202676353710002</v>
      </c>
      <c r="D27" s="338">
        <f>'- 43 -'!E27</f>
        <v>23.627351337020734</v>
      </c>
      <c r="E27" s="338">
        <f>'- 43 -'!G27</f>
        <v>0.2553056882060156</v>
      </c>
      <c r="F27" s="338">
        <f>'- 43 -'!I27</f>
        <v>1.3357621912508661</v>
      </c>
      <c r="G27" s="338">
        <f>'- 44 -'!C27</f>
        <v>0.25565019678733647</v>
      </c>
      <c r="H27" s="338">
        <f>'- 44 -'!E27</f>
        <v>0.6471112629569755</v>
      </c>
    </row>
    <row r="28" spans="1:8" ht="13.5" customHeight="1">
      <c r="A28" s="25" t="s">
        <v>261</v>
      </c>
      <c r="B28" s="78">
        <f>'- 42 -'!H28</f>
        <v>62.137476336227834</v>
      </c>
      <c r="C28" s="78">
        <f>'- 43 -'!C28</f>
        <v>0</v>
      </c>
      <c r="D28" s="78">
        <f>'- 43 -'!E28</f>
        <v>31.377917792205285</v>
      </c>
      <c r="E28" s="78">
        <f>'- 43 -'!G28</f>
        <v>0.11899845573845505</v>
      </c>
      <c r="F28" s="78">
        <f>'- 43 -'!I28</f>
        <v>6.114373659811098</v>
      </c>
      <c r="G28" s="78">
        <f>'- 44 -'!C28</f>
        <v>0.007766798975936459</v>
      </c>
      <c r="H28" s="78">
        <f>'- 44 -'!E28</f>
        <v>0.24346695704139104</v>
      </c>
    </row>
    <row r="29" spans="1:8" ht="13.5" customHeight="1">
      <c r="A29" s="331" t="s">
        <v>262</v>
      </c>
      <c r="B29" s="338">
        <f>'- 42 -'!H29</f>
        <v>53.590219849688445</v>
      </c>
      <c r="C29" s="338">
        <f>'- 43 -'!C29</f>
        <v>0.01110003224043378</v>
      </c>
      <c r="D29" s="338">
        <f>'- 43 -'!E29</f>
        <v>43.41680705802304</v>
      </c>
      <c r="E29" s="338">
        <f>'- 43 -'!G29</f>
        <v>0.5817390139444512</v>
      </c>
      <c r="F29" s="338">
        <f>'- 43 -'!I29</f>
        <v>0</v>
      </c>
      <c r="G29" s="338">
        <f>'- 44 -'!C29</f>
        <v>1.7198992358705922</v>
      </c>
      <c r="H29" s="338">
        <f>'- 44 -'!E29</f>
        <v>0.680234810233035</v>
      </c>
    </row>
    <row r="30" spans="1:8" ht="13.5" customHeight="1">
      <c r="A30" s="25" t="s">
        <v>263</v>
      </c>
      <c r="B30" s="78">
        <f>'- 42 -'!H30</f>
        <v>69.64864034810523</v>
      </c>
      <c r="C30" s="78">
        <f>'- 43 -'!C30</f>
        <v>0.008318800108856913</v>
      </c>
      <c r="D30" s="78">
        <f>'- 43 -'!E30</f>
        <v>28.920831395133106</v>
      </c>
      <c r="E30" s="78">
        <f>'- 43 -'!G30</f>
        <v>0.43902722042793796</v>
      </c>
      <c r="F30" s="78">
        <f>'- 43 -'!I30</f>
        <v>0</v>
      </c>
      <c r="G30" s="78">
        <f>'- 44 -'!C30</f>
        <v>0.23633165159088493</v>
      </c>
      <c r="H30" s="78">
        <f>'- 44 -'!E30</f>
        <v>0.7468505846339825</v>
      </c>
    </row>
    <row r="31" spans="1:8" ht="13.5" customHeight="1">
      <c r="A31" s="331" t="s">
        <v>264</v>
      </c>
      <c r="B31" s="338">
        <f>'- 42 -'!H31</f>
        <v>64.151813088543</v>
      </c>
      <c r="C31" s="338">
        <f>'- 43 -'!C31</f>
        <v>0.09348915448784635</v>
      </c>
      <c r="D31" s="338">
        <f>'- 43 -'!E31</f>
        <v>32.085441516472365</v>
      </c>
      <c r="E31" s="338">
        <f>'- 43 -'!G31</f>
        <v>0.07137178898732383</v>
      </c>
      <c r="F31" s="338">
        <f>'- 43 -'!I31</f>
        <v>3.117951618038862</v>
      </c>
      <c r="G31" s="338">
        <f>'- 44 -'!C31</f>
        <v>0.13464504767773913</v>
      </c>
      <c r="H31" s="338">
        <f>'- 44 -'!E31</f>
        <v>0.34528778579287117</v>
      </c>
    </row>
    <row r="32" spans="1:8" ht="13.5" customHeight="1">
      <c r="A32" s="25" t="s">
        <v>265</v>
      </c>
      <c r="B32" s="78">
        <f>'- 42 -'!H32</f>
        <v>62.31933425514716</v>
      </c>
      <c r="C32" s="78">
        <f>'- 43 -'!C32</f>
        <v>0.09455944806243878</v>
      </c>
      <c r="D32" s="78">
        <f>'- 43 -'!E32</f>
        <v>36.07366195484837</v>
      </c>
      <c r="E32" s="78">
        <f>'- 43 -'!G32</f>
        <v>0.4960581887661445</v>
      </c>
      <c r="F32" s="78">
        <f>'- 43 -'!I32</f>
        <v>0.018158889413521933</v>
      </c>
      <c r="G32" s="78">
        <f>'- 44 -'!C32</f>
        <v>0.33353081889833563</v>
      </c>
      <c r="H32" s="78">
        <f>'- 44 -'!E32</f>
        <v>0.6646964448640221</v>
      </c>
    </row>
    <row r="33" spans="1:8" ht="13.5" customHeight="1">
      <c r="A33" s="331" t="s">
        <v>266</v>
      </c>
      <c r="B33" s="338">
        <f>'- 42 -'!H33</f>
        <v>63.49328847908284</v>
      </c>
      <c r="C33" s="338">
        <f>'- 43 -'!C33</f>
        <v>0.04490999668738924</v>
      </c>
      <c r="D33" s="338">
        <f>'- 43 -'!E33</f>
        <v>34.429882536323476</v>
      </c>
      <c r="E33" s="338">
        <f>'- 43 -'!G33</f>
        <v>0.12542895093155115</v>
      </c>
      <c r="F33" s="338">
        <f>'- 43 -'!I33</f>
        <v>0.9781314088029683</v>
      </c>
      <c r="G33" s="338">
        <f>'- 44 -'!C33</f>
        <v>0.3982594320963037</v>
      </c>
      <c r="H33" s="338">
        <f>'- 44 -'!E33</f>
        <v>0.5300991960754675</v>
      </c>
    </row>
    <row r="34" spans="1:8" ht="13.5" customHeight="1">
      <c r="A34" s="25" t="s">
        <v>267</v>
      </c>
      <c r="B34" s="78">
        <f>'- 42 -'!H34</f>
        <v>61.13373345620457</v>
      </c>
      <c r="C34" s="78">
        <f>'- 43 -'!C34</f>
        <v>0.10474093570745462</v>
      </c>
      <c r="D34" s="78">
        <f>'- 43 -'!E34</f>
        <v>34.90278881829552</v>
      </c>
      <c r="E34" s="78">
        <f>'- 43 -'!G34</f>
        <v>2.712571128082184</v>
      </c>
      <c r="F34" s="78">
        <f>'- 43 -'!I34</f>
        <v>0.27562440969775337</v>
      </c>
      <c r="G34" s="78">
        <f>'- 44 -'!C34</f>
        <v>0.5813994896544028</v>
      </c>
      <c r="H34" s="78">
        <f>'- 44 -'!E34</f>
        <v>0.2891417623581148</v>
      </c>
    </row>
    <row r="35" spans="1:8" ht="13.5" customHeight="1">
      <c r="A35" s="331" t="s">
        <v>268</v>
      </c>
      <c r="B35" s="338">
        <f>'- 42 -'!H35</f>
        <v>66.84797165780314</v>
      </c>
      <c r="C35" s="338">
        <f>'- 43 -'!C35</f>
        <v>0.012844112274409058</v>
      </c>
      <c r="D35" s="338">
        <f>'- 43 -'!E35</f>
        <v>30.47953120814838</v>
      </c>
      <c r="E35" s="338">
        <f>'- 43 -'!G35</f>
        <v>0.5717880351140432</v>
      </c>
      <c r="F35" s="338">
        <f>'- 43 -'!I35</f>
        <v>0.020702227476283655</v>
      </c>
      <c r="G35" s="338">
        <f>'- 44 -'!C35</f>
        <v>1.759261558830964</v>
      </c>
      <c r="H35" s="338">
        <f>'- 44 -'!E35</f>
        <v>0.30790120035277724</v>
      </c>
    </row>
    <row r="36" spans="1:8" ht="13.5" customHeight="1">
      <c r="A36" s="25" t="s">
        <v>269</v>
      </c>
      <c r="B36" s="78">
        <f>'- 42 -'!H36</f>
        <v>61.00757577795225</v>
      </c>
      <c r="C36" s="78">
        <f>'- 43 -'!C36</f>
        <v>0.08461566456341528</v>
      </c>
      <c r="D36" s="78">
        <f>'- 43 -'!E36</f>
        <v>32.9023140010189</v>
      </c>
      <c r="E36" s="78">
        <f>'- 43 -'!G36</f>
        <v>0.48809762523379085</v>
      </c>
      <c r="F36" s="78">
        <f>'- 43 -'!I36</f>
        <v>4.918829617425765</v>
      </c>
      <c r="G36" s="78">
        <f>'- 44 -'!C36</f>
        <v>0.22418348079367134</v>
      </c>
      <c r="H36" s="78">
        <f>'- 44 -'!E36</f>
        <v>0.3743838330122073</v>
      </c>
    </row>
    <row r="37" spans="1:8" ht="13.5" customHeight="1">
      <c r="A37" s="331" t="s">
        <v>270</v>
      </c>
      <c r="B37" s="338">
        <f>'- 42 -'!H37</f>
        <v>71.7006482869831</v>
      </c>
      <c r="C37" s="338">
        <f>'- 43 -'!C37</f>
        <v>0.08478534016101513</v>
      </c>
      <c r="D37" s="338">
        <f>'- 43 -'!E37</f>
        <v>27.141273116897697</v>
      </c>
      <c r="E37" s="338">
        <f>'- 43 -'!G37</f>
        <v>0.6676684690680958</v>
      </c>
      <c r="F37" s="338">
        <f>'- 43 -'!I37</f>
        <v>0</v>
      </c>
      <c r="G37" s="338">
        <f>'- 44 -'!C37</f>
        <v>0.07161403308537313</v>
      </c>
      <c r="H37" s="338">
        <f>'- 44 -'!E37</f>
        <v>0.33401075380472606</v>
      </c>
    </row>
    <row r="38" spans="1:8" ht="13.5" customHeight="1">
      <c r="A38" s="25" t="s">
        <v>271</v>
      </c>
      <c r="B38" s="78">
        <f>'- 42 -'!H38</f>
        <v>67.20990681485026</v>
      </c>
      <c r="C38" s="78">
        <f>'- 43 -'!C38</f>
        <v>0.040415545694038865</v>
      </c>
      <c r="D38" s="78">
        <f>'- 43 -'!E38</f>
        <v>30.44369239251977</v>
      </c>
      <c r="E38" s="78">
        <f>'- 43 -'!G38</f>
        <v>1.0591200691124796</v>
      </c>
      <c r="F38" s="78">
        <f>'- 43 -'!I38</f>
        <v>0.17662089667383982</v>
      </c>
      <c r="G38" s="78">
        <f>'- 44 -'!C38</f>
        <v>0.9374226962086804</v>
      </c>
      <c r="H38" s="78">
        <f>'- 44 -'!E38</f>
        <v>0.13282158494094476</v>
      </c>
    </row>
    <row r="39" spans="1:8" ht="13.5" customHeight="1">
      <c r="A39" s="331" t="s">
        <v>272</v>
      </c>
      <c r="B39" s="338">
        <f>'- 42 -'!H39</f>
        <v>60.515090987495434</v>
      </c>
      <c r="C39" s="338">
        <f>'- 43 -'!C39</f>
        <v>0.08751873938569918</v>
      </c>
      <c r="D39" s="338">
        <f>'- 43 -'!E39</f>
        <v>38.224513583285095</v>
      </c>
      <c r="E39" s="338">
        <f>'- 43 -'!G39</f>
        <v>0.4508994157623313</v>
      </c>
      <c r="F39" s="338">
        <f>'- 43 -'!I39</f>
        <v>0</v>
      </c>
      <c r="G39" s="338">
        <f>'- 44 -'!C39</f>
        <v>0.1462672255985525</v>
      </c>
      <c r="H39" s="338">
        <f>'- 44 -'!E39</f>
        <v>0.5757100484728832</v>
      </c>
    </row>
    <row r="40" spans="1:8" ht="13.5" customHeight="1">
      <c r="A40" s="25" t="s">
        <v>273</v>
      </c>
      <c r="B40" s="78">
        <f>'- 42 -'!H40</f>
        <v>55.84831524079556</v>
      </c>
      <c r="C40" s="78">
        <f>'- 43 -'!C40</f>
        <v>0.012022835934564616</v>
      </c>
      <c r="D40" s="78">
        <f>'- 43 -'!E40</f>
        <v>38.95335113569401</v>
      </c>
      <c r="E40" s="78">
        <f>'- 43 -'!G40</f>
        <v>0.9518028756789942</v>
      </c>
      <c r="F40" s="78">
        <f>'- 43 -'!I40</f>
        <v>0.034759139228055166</v>
      </c>
      <c r="G40" s="78">
        <f>'- 44 -'!C40</f>
        <v>2.6157109445883044</v>
      </c>
      <c r="H40" s="78">
        <f>'- 44 -'!E40</f>
        <v>1.584037828080527</v>
      </c>
    </row>
    <row r="41" spans="1:8" ht="13.5" customHeight="1">
      <c r="A41" s="331" t="s">
        <v>274</v>
      </c>
      <c r="B41" s="338">
        <f>'- 42 -'!H41</f>
        <v>58.941463152157304</v>
      </c>
      <c r="C41" s="338">
        <f>'- 43 -'!C41</f>
        <v>0.03276780682529259</v>
      </c>
      <c r="D41" s="338">
        <f>'- 43 -'!E41</f>
        <v>37.91960394850627</v>
      </c>
      <c r="E41" s="338">
        <f>'- 43 -'!G41</f>
        <v>0.21148346654572106</v>
      </c>
      <c r="F41" s="338">
        <f>'- 43 -'!I41</f>
        <v>1.1002591237694366</v>
      </c>
      <c r="G41" s="338">
        <f>'- 44 -'!C41</f>
        <v>0.7383637842683225</v>
      </c>
      <c r="H41" s="338">
        <f>'- 44 -'!E41</f>
        <v>1.0560587179276575</v>
      </c>
    </row>
    <row r="42" spans="1:8" ht="13.5" customHeight="1">
      <c r="A42" s="25" t="s">
        <v>275</v>
      </c>
      <c r="B42" s="78">
        <f>'- 42 -'!H42</f>
        <v>69.02817900505993</v>
      </c>
      <c r="C42" s="78">
        <f>'- 43 -'!C42</f>
        <v>0.031117643917032943</v>
      </c>
      <c r="D42" s="78">
        <f>'- 43 -'!E42</f>
        <v>25.378032646850468</v>
      </c>
      <c r="E42" s="78">
        <f>'- 43 -'!G42</f>
        <v>0.36896381439736076</v>
      </c>
      <c r="F42" s="78">
        <f>'- 43 -'!I42</f>
        <v>2.4652792215585118</v>
      </c>
      <c r="G42" s="78">
        <f>'- 44 -'!C42</f>
        <v>1.5854619976439075</v>
      </c>
      <c r="H42" s="78">
        <f>'- 44 -'!E42</f>
        <v>1.1429656705728053</v>
      </c>
    </row>
    <row r="43" spans="1:8" ht="13.5" customHeight="1">
      <c r="A43" s="331" t="s">
        <v>276</v>
      </c>
      <c r="B43" s="338">
        <f>'- 42 -'!H43</f>
        <v>63.748628111856185</v>
      </c>
      <c r="C43" s="338">
        <f>'- 43 -'!C43</f>
        <v>0</v>
      </c>
      <c r="D43" s="338">
        <f>'- 43 -'!E43</f>
        <v>34.073626943818944</v>
      </c>
      <c r="E43" s="338">
        <f>'- 43 -'!G43</f>
        <v>0.3081840344668283</v>
      </c>
      <c r="F43" s="338">
        <f>'- 43 -'!I43</f>
        <v>0</v>
      </c>
      <c r="G43" s="338">
        <f>'- 44 -'!C43</f>
        <v>1.3087054779020688</v>
      </c>
      <c r="H43" s="338">
        <f>'- 44 -'!E43</f>
        <v>0.5608554319559779</v>
      </c>
    </row>
    <row r="44" spans="1:8" ht="13.5" customHeight="1">
      <c r="A44" s="25" t="s">
        <v>277</v>
      </c>
      <c r="B44" s="78">
        <f>'- 42 -'!H44</f>
        <v>72.34238563804185</v>
      </c>
      <c r="C44" s="78">
        <f>'- 43 -'!C44</f>
        <v>0.12028767711198853</v>
      </c>
      <c r="D44" s="78">
        <f>'- 43 -'!E44</f>
        <v>25.38212098043725</v>
      </c>
      <c r="E44" s="78">
        <f>'- 43 -'!G44</f>
        <v>0.40161798912467916</v>
      </c>
      <c r="F44" s="78">
        <f>'- 43 -'!I44</f>
        <v>1.32798386410137</v>
      </c>
      <c r="G44" s="78">
        <f>'- 44 -'!C44</f>
        <v>0.08006409081657835</v>
      </c>
      <c r="H44" s="78">
        <f>'- 44 -'!E44</f>
        <v>0.3455397603662855</v>
      </c>
    </row>
    <row r="45" spans="1:8" ht="13.5" customHeight="1">
      <c r="A45" s="331" t="s">
        <v>278</v>
      </c>
      <c r="B45" s="338">
        <f>'- 42 -'!H45</f>
        <v>66.14007034927624</v>
      </c>
      <c r="C45" s="338">
        <f>'- 43 -'!C45</f>
        <v>1.1022172115709743</v>
      </c>
      <c r="D45" s="338">
        <f>'- 43 -'!E45</f>
        <v>30.51807528477265</v>
      </c>
      <c r="E45" s="338">
        <f>'- 43 -'!G45</f>
        <v>0.13572717913086135</v>
      </c>
      <c r="F45" s="338">
        <f>'- 43 -'!I45</f>
        <v>0</v>
      </c>
      <c r="G45" s="338">
        <f>'- 44 -'!C45</f>
        <v>2.0583755947613174</v>
      </c>
      <c r="H45" s="338">
        <f>'- 44 -'!E45</f>
        <v>0.045534380487955814</v>
      </c>
    </row>
    <row r="46" spans="1:8" ht="13.5" customHeight="1">
      <c r="A46" s="25" t="s">
        <v>279</v>
      </c>
      <c r="B46" s="78">
        <f>'- 42 -'!H46</f>
        <v>60.687732007193475</v>
      </c>
      <c r="C46" s="78">
        <f>'- 43 -'!C46</f>
        <v>0.0033731858192216036</v>
      </c>
      <c r="D46" s="78">
        <f>'- 43 -'!E46</f>
        <v>36.809631991643236</v>
      </c>
      <c r="E46" s="78">
        <f>'- 43 -'!G46</f>
        <v>0.7499860712702237</v>
      </c>
      <c r="F46" s="78">
        <f>'- 43 -'!I46</f>
        <v>0.8558282762820243</v>
      </c>
      <c r="G46" s="78">
        <f>'- 44 -'!C46</f>
        <v>0.3321021983538283</v>
      </c>
      <c r="H46" s="78">
        <f>'- 44 -'!E46</f>
        <v>0.5613462694379876</v>
      </c>
    </row>
    <row r="47" spans="1:8" ht="4.5" customHeight="1">
      <c r="A47" s="27"/>
      <c r="B47"/>
      <c r="C47"/>
      <c r="D47"/>
      <c r="E47"/>
      <c r="F47"/>
      <c r="G47"/>
      <c r="H47"/>
    </row>
    <row r="48" spans="1:8" ht="13.5" customHeight="1">
      <c r="A48" s="333" t="s">
        <v>280</v>
      </c>
      <c r="B48" s="341">
        <f>'- 42 -'!H48</f>
        <v>62.23399213161625</v>
      </c>
      <c r="C48" s="341">
        <f>'- 43 -'!C48</f>
        <v>0.06090269094735335</v>
      </c>
      <c r="D48" s="341">
        <f>'- 43 -'!E48</f>
        <v>31.949509965073148</v>
      </c>
      <c r="E48" s="341">
        <f>'- 43 -'!G48</f>
        <v>0.6113439526867306</v>
      </c>
      <c r="F48" s="341">
        <f>'- 43 -'!I48</f>
        <v>3.49839636417592</v>
      </c>
      <c r="G48" s="341">
        <f>'- 44 -'!C48</f>
        <v>1.096207746031628</v>
      </c>
      <c r="H48" s="341">
        <f>'- 44 -'!E48</f>
        <v>0.5496471494689738</v>
      </c>
    </row>
    <row r="49" spans="1:8" ht="4.5" customHeight="1">
      <c r="A49" s="27" t="s">
        <v>32</v>
      </c>
      <c r="B49"/>
      <c r="C49"/>
      <c r="D49"/>
      <c r="E49"/>
      <c r="F49"/>
      <c r="G49"/>
      <c r="H49"/>
    </row>
    <row r="50" spans="1:8" ht="13.5" customHeight="1">
      <c r="A50" s="25" t="s">
        <v>281</v>
      </c>
      <c r="B50" s="78">
        <f>'- 42 -'!H50</f>
        <v>40.03583568380704</v>
      </c>
      <c r="C50" s="78">
        <f>'- 43 -'!C50</f>
        <v>0</v>
      </c>
      <c r="D50" s="78">
        <f>'- 43 -'!E50</f>
        <v>57.25837130252405</v>
      </c>
      <c r="E50" s="78">
        <f>'- 43 -'!G50</f>
        <v>1.7158458089245678</v>
      </c>
      <c r="F50" s="78">
        <f>'- 43 -'!I50</f>
        <v>0</v>
      </c>
      <c r="G50" s="78">
        <f>'- 44 -'!C50</f>
        <v>0.029109712880595936</v>
      </c>
      <c r="H50" s="78">
        <f>'- 44 -'!E50</f>
        <v>0.9608374918637449</v>
      </c>
    </row>
    <row r="51" spans="1:8" ht="13.5" customHeight="1">
      <c r="A51" s="331" t="s">
        <v>282</v>
      </c>
      <c r="B51" s="338">
        <f>'- 42 -'!H51</f>
        <v>55.89516667992037</v>
      </c>
      <c r="C51" s="338">
        <f>'- 43 -'!C51</f>
        <v>0</v>
      </c>
      <c r="D51" s="338">
        <f>'- 43 -'!E51</f>
        <v>0</v>
      </c>
      <c r="E51" s="338">
        <f>'- 43 -'!G51</f>
        <v>15.846309852844321</v>
      </c>
      <c r="F51" s="338">
        <f>'- 43 -'!I51</f>
        <v>0.22438561871282714</v>
      </c>
      <c r="G51" s="338">
        <f>'- 44 -'!C51</f>
        <v>26.458645640716977</v>
      </c>
      <c r="H51" s="338">
        <f>'- 44 -'!E51</f>
        <v>1.575492207805496</v>
      </c>
    </row>
    <row r="52" spans="1:8" ht="49.5" customHeight="1">
      <c r="A52" s="29"/>
      <c r="B52" s="29"/>
      <c r="C52" s="29"/>
      <c r="D52" s="29"/>
      <c r="E52" s="29"/>
      <c r="F52" s="29"/>
      <c r="G52" s="29"/>
      <c r="H52" s="29"/>
    </row>
    <row r="53" ht="15" customHeight="1">
      <c r="A53" s="129" t="s">
        <v>429</v>
      </c>
    </row>
    <row r="54" ht="12">
      <c r="A54" s="153" t="s">
        <v>0</v>
      </c>
    </row>
    <row r="55" ht="12">
      <c r="A55" s="1" t="s">
        <v>402</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H60"/>
  <sheetViews>
    <sheetView showGridLines="0" showZeros="0" workbookViewId="0" topLeftCell="A1">
      <selection activeCell="A1" sqref="A1"/>
    </sheetView>
  </sheetViews>
  <sheetFormatPr defaultColWidth="15.83203125" defaultRowHeight="12"/>
  <cols>
    <col min="1" max="1" width="26.83203125" style="1" customWidth="1"/>
    <col min="2" max="3" width="15.83203125" style="1" customWidth="1"/>
    <col min="4" max="4" width="14.83203125" style="1" customWidth="1"/>
    <col min="5" max="5" width="15.83203125" style="1" customWidth="1"/>
    <col min="6" max="6" width="14.83203125" style="1" customWidth="1"/>
    <col min="7" max="7" width="15.83203125" style="1" customWidth="1"/>
    <col min="8" max="8" width="13.83203125" style="1" customWidth="1"/>
    <col min="9" max="16384" width="15.83203125" style="1" customWidth="1"/>
  </cols>
  <sheetData>
    <row r="1" spans="1:8" ht="15.75" customHeight="1">
      <c r="A1" s="244"/>
      <c r="B1" s="250" t="s">
        <v>628</v>
      </c>
      <c r="C1" s="47"/>
      <c r="D1" s="47"/>
      <c r="E1" s="47"/>
      <c r="F1" s="47"/>
      <c r="G1" s="246"/>
      <c r="H1" s="246" t="s">
        <v>31</v>
      </c>
    </row>
    <row r="2" ht="15.75" customHeight="1">
      <c r="A2" s="235"/>
    </row>
    <row r="3" spans="2:8" ht="15.75" customHeight="1">
      <c r="B3" s="350" t="s">
        <v>123</v>
      </c>
      <c r="C3" s="465"/>
      <c r="D3" s="465"/>
      <c r="E3" s="465"/>
      <c r="F3" s="465"/>
      <c r="G3" s="466"/>
      <c r="H3" s="466"/>
    </row>
    <row r="4" ht="7.5" customHeight="1"/>
    <row r="5" spans="2:5" ht="15.75" customHeight="1">
      <c r="B5" s="441" t="s">
        <v>325</v>
      </c>
      <c r="C5" s="473"/>
      <c r="D5" s="473"/>
      <c r="E5" s="466"/>
    </row>
    <row r="6" spans="2:8" ht="15.75" customHeight="1">
      <c r="B6" s="467"/>
      <c r="C6" s="467"/>
      <c r="D6" s="468"/>
      <c r="E6" s="468"/>
      <c r="F6" s="467"/>
      <c r="G6" s="467"/>
      <c r="H6" s="251" t="s">
        <v>110</v>
      </c>
    </row>
    <row r="7" spans="2:8" ht="15.75" customHeight="1">
      <c r="B7" s="469" t="s">
        <v>235</v>
      </c>
      <c r="C7" s="469" t="s">
        <v>105</v>
      </c>
      <c r="D7" s="470"/>
      <c r="E7" s="470"/>
      <c r="F7" s="469" t="s">
        <v>74</v>
      </c>
      <c r="G7" s="469" t="s">
        <v>83</v>
      </c>
      <c r="H7" s="253" t="s">
        <v>134</v>
      </c>
    </row>
    <row r="8" spans="1:8" ht="15.75" customHeight="1">
      <c r="A8" s="74"/>
      <c r="B8" s="469" t="s">
        <v>234</v>
      </c>
      <c r="C8" s="469" t="s">
        <v>408</v>
      </c>
      <c r="D8" s="471" t="s">
        <v>74</v>
      </c>
      <c r="E8" s="470"/>
      <c r="F8" s="469" t="s">
        <v>146</v>
      </c>
      <c r="G8" s="469" t="s">
        <v>146</v>
      </c>
      <c r="H8" s="253" t="s">
        <v>147</v>
      </c>
    </row>
    <row r="9" spans="1:8" ht="15.75" customHeight="1">
      <c r="A9" s="41" t="s">
        <v>108</v>
      </c>
      <c r="B9" s="472" t="s">
        <v>409</v>
      </c>
      <c r="C9" s="472" t="s">
        <v>410</v>
      </c>
      <c r="D9" s="472" t="s">
        <v>411</v>
      </c>
      <c r="E9" s="472" t="s">
        <v>83</v>
      </c>
      <c r="F9" s="472" t="s">
        <v>412</v>
      </c>
      <c r="G9" s="472" t="s">
        <v>152</v>
      </c>
      <c r="H9" s="472" t="s">
        <v>413</v>
      </c>
    </row>
    <row r="10" spans="1:7" ht="4.5" customHeight="1">
      <c r="A10" s="4"/>
      <c r="B10" s="237"/>
      <c r="C10" s="237"/>
      <c r="D10" s="237"/>
      <c r="E10" s="237"/>
      <c r="F10" s="237"/>
      <c r="G10" s="237"/>
    </row>
    <row r="11" spans="1:8" ht="13.5" customHeight="1">
      <c r="A11" s="331" t="s">
        <v>245</v>
      </c>
      <c r="B11" s="332">
        <f>'- 60 -'!F11</f>
        <v>6783629</v>
      </c>
      <c r="C11" s="332">
        <v>974930</v>
      </c>
      <c r="D11" s="332">
        <v>218704</v>
      </c>
      <c r="E11" s="332">
        <f>SUM(B11:D11)</f>
        <v>7977263</v>
      </c>
      <c r="F11" s="332">
        <v>1144</v>
      </c>
      <c r="G11" s="332">
        <f>SUM(E11:F11)</f>
        <v>7978407</v>
      </c>
      <c r="H11" s="338">
        <f>G11/'- 44 -'!I11*100</f>
        <v>62.707796418339804</v>
      </c>
    </row>
    <row r="12" spans="1:8" ht="13.5" customHeight="1">
      <c r="A12" s="25" t="s">
        <v>246</v>
      </c>
      <c r="B12" s="26">
        <f>'- 60 -'!F12</f>
        <v>11971252</v>
      </c>
      <c r="C12" s="26">
        <v>1514737</v>
      </c>
      <c r="D12" s="26">
        <v>445765</v>
      </c>
      <c r="E12" s="26">
        <f aca="true" t="shared" si="0" ref="E12:E46">SUM(B12:D12)</f>
        <v>13931754</v>
      </c>
      <c r="F12" s="26">
        <v>402093</v>
      </c>
      <c r="G12" s="26">
        <f aca="true" t="shared" si="1" ref="G12:G46">SUM(E12:F12)</f>
        <v>14333847</v>
      </c>
      <c r="H12" s="78">
        <f>G12/'- 44 -'!I12*100</f>
        <v>60.92719738531376</v>
      </c>
    </row>
    <row r="13" spans="1:8" ht="13.5" customHeight="1">
      <c r="A13" s="331" t="s">
        <v>247</v>
      </c>
      <c r="B13" s="332">
        <f>'- 60 -'!F13</f>
        <v>28991707</v>
      </c>
      <c r="C13" s="332">
        <v>4515696</v>
      </c>
      <c r="D13" s="332">
        <v>874591</v>
      </c>
      <c r="E13" s="332">
        <f t="shared" si="0"/>
        <v>34381994</v>
      </c>
      <c r="F13" s="332">
        <v>7357</v>
      </c>
      <c r="G13" s="332">
        <f t="shared" si="1"/>
        <v>34389351</v>
      </c>
      <c r="H13" s="338">
        <f>G13/'- 44 -'!I13*100</f>
        <v>63.07509144226715</v>
      </c>
    </row>
    <row r="14" spans="1:8" ht="13.5" customHeight="1">
      <c r="A14" s="25" t="s">
        <v>283</v>
      </c>
      <c r="B14" s="26">
        <f>'- 60 -'!F14</f>
        <v>24637346</v>
      </c>
      <c r="C14" s="26">
        <v>3351665</v>
      </c>
      <c r="D14" s="26">
        <v>8344986</v>
      </c>
      <c r="E14" s="26">
        <f t="shared" si="0"/>
        <v>36333997</v>
      </c>
      <c r="F14" s="26">
        <v>441984</v>
      </c>
      <c r="G14" s="26">
        <f t="shared" si="1"/>
        <v>36775981</v>
      </c>
      <c r="H14" s="78">
        <f>G14/'- 44 -'!I14*100</f>
        <v>72.91127748074673</v>
      </c>
    </row>
    <row r="15" spans="1:8" ht="13.5" customHeight="1">
      <c r="A15" s="331" t="s">
        <v>248</v>
      </c>
      <c r="B15" s="332">
        <f>'- 60 -'!F15</f>
        <v>7061103</v>
      </c>
      <c r="C15" s="332">
        <v>1626980</v>
      </c>
      <c r="D15" s="332">
        <v>470754</v>
      </c>
      <c r="E15" s="332">
        <f t="shared" si="0"/>
        <v>9158837</v>
      </c>
      <c r="F15" s="332">
        <v>7258</v>
      </c>
      <c r="G15" s="332">
        <f t="shared" si="1"/>
        <v>9166095</v>
      </c>
      <c r="H15" s="338">
        <f>G15/'- 44 -'!I15*100</f>
        <v>61.86093110332139</v>
      </c>
    </row>
    <row r="16" spans="1:8" ht="13.5" customHeight="1">
      <c r="A16" s="25" t="s">
        <v>249</v>
      </c>
      <c r="B16" s="26">
        <f>'- 60 -'!F16</f>
        <v>6403485</v>
      </c>
      <c r="C16" s="26">
        <v>597920</v>
      </c>
      <c r="D16" s="26">
        <v>348968</v>
      </c>
      <c r="E16" s="26">
        <f t="shared" si="0"/>
        <v>7350373</v>
      </c>
      <c r="F16" s="26">
        <v>82800</v>
      </c>
      <c r="G16" s="26">
        <f t="shared" si="1"/>
        <v>7433173</v>
      </c>
      <c r="H16" s="78">
        <f>G16/'- 44 -'!I16*100</f>
        <v>67.77410422052431</v>
      </c>
    </row>
    <row r="17" spans="1:8" ht="13.5" customHeight="1">
      <c r="A17" s="331" t="s">
        <v>250</v>
      </c>
      <c r="B17" s="332">
        <f>'- 60 -'!F17</f>
        <v>6840627</v>
      </c>
      <c r="C17" s="332">
        <v>909894</v>
      </c>
      <c r="D17" s="332">
        <v>455359</v>
      </c>
      <c r="E17" s="332">
        <f t="shared" si="0"/>
        <v>8205880</v>
      </c>
      <c r="F17" s="332">
        <v>0</v>
      </c>
      <c r="G17" s="332">
        <f t="shared" si="1"/>
        <v>8205880</v>
      </c>
      <c r="H17" s="338">
        <f>G17/'- 44 -'!I17*100</f>
        <v>59.39766871960539</v>
      </c>
    </row>
    <row r="18" spans="1:8" ht="13.5" customHeight="1">
      <c r="A18" s="25" t="s">
        <v>251</v>
      </c>
      <c r="B18" s="26">
        <f>'- 60 -'!F18</f>
        <v>29245187</v>
      </c>
      <c r="C18" s="26">
        <v>371482</v>
      </c>
      <c r="D18" s="26">
        <v>7513884</v>
      </c>
      <c r="E18" s="26">
        <f t="shared" si="0"/>
        <v>37130553</v>
      </c>
      <c r="F18" s="26">
        <v>1287353</v>
      </c>
      <c r="G18" s="26">
        <f t="shared" si="1"/>
        <v>38417906</v>
      </c>
      <c r="H18" s="78">
        <f>G18/'- 44 -'!I18*100</f>
        <v>41.83467346976333</v>
      </c>
    </row>
    <row r="19" spans="1:8" ht="13.5" customHeight="1">
      <c r="A19" s="331" t="s">
        <v>252</v>
      </c>
      <c r="B19" s="332">
        <f>'- 60 -'!F19</f>
        <v>15263449</v>
      </c>
      <c r="C19" s="332">
        <v>1682700</v>
      </c>
      <c r="D19" s="332">
        <v>565388</v>
      </c>
      <c r="E19" s="332">
        <f t="shared" si="0"/>
        <v>17511537</v>
      </c>
      <c r="F19" s="332">
        <v>23183</v>
      </c>
      <c r="G19" s="332">
        <f t="shared" si="1"/>
        <v>17534720</v>
      </c>
      <c r="H19" s="338">
        <f>G19/'- 44 -'!I19*100</f>
        <v>67.94078367293548</v>
      </c>
    </row>
    <row r="20" spans="1:8" ht="13.5" customHeight="1">
      <c r="A20" s="25" t="s">
        <v>253</v>
      </c>
      <c r="B20" s="26">
        <f>'- 60 -'!F20</f>
        <v>30274362</v>
      </c>
      <c r="C20" s="26">
        <v>3155304</v>
      </c>
      <c r="D20" s="26">
        <v>845156</v>
      </c>
      <c r="E20" s="26">
        <f t="shared" si="0"/>
        <v>34274822</v>
      </c>
      <c r="F20" s="26">
        <v>44000</v>
      </c>
      <c r="G20" s="26">
        <f t="shared" si="1"/>
        <v>34318822</v>
      </c>
      <c r="H20" s="78">
        <f>G20/'- 44 -'!I20*100</f>
        <v>70.21753143554665</v>
      </c>
    </row>
    <row r="21" spans="1:8" ht="13.5" customHeight="1">
      <c r="A21" s="331" t="s">
        <v>254</v>
      </c>
      <c r="B21" s="332">
        <f>'- 60 -'!F21</f>
        <v>15507473</v>
      </c>
      <c r="C21" s="332">
        <v>2197620</v>
      </c>
      <c r="D21" s="332">
        <v>553197</v>
      </c>
      <c r="E21" s="332">
        <f t="shared" si="0"/>
        <v>18258290</v>
      </c>
      <c r="F21" s="332">
        <v>0</v>
      </c>
      <c r="G21" s="332">
        <f t="shared" si="1"/>
        <v>18258290</v>
      </c>
      <c r="H21" s="338">
        <f>G21/'- 44 -'!I21*100</f>
        <v>66.05620817193993</v>
      </c>
    </row>
    <row r="22" spans="1:8" ht="13.5" customHeight="1">
      <c r="A22" s="25" t="s">
        <v>255</v>
      </c>
      <c r="B22" s="26">
        <f>'- 60 -'!F22</f>
        <v>9981864</v>
      </c>
      <c r="C22" s="26">
        <v>676629</v>
      </c>
      <c r="D22" s="26">
        <v>432977</v>
      </c>
      <c r="E22" s="26">
        <f t="shared" si="0"/>
        <v>11091470</v>
      </c>
      <c r="F22" s="26">
        <v>462288</v>
      </c>
      <c r="G22" s="26">
        <f t="shared" si="1"/>
        <v>11553758</v>
      </c>
      <c r="H22" s="78">
        <f>G22/'- 44 -'!I22*100</f>
        <v>76.03692310284266</v>
      </c>
    </row>
    <row r="23" spans="1:8" ht="13.5" customHeight="1">
      <c r="A23" s="331" t="s">
        <v>256</v>
      </c>
      <c r="B23" s="332">
        <f>'- 60 -'!F23</f>
        <v>7500670</v>
      </c>
      <c r="C23" s="332">
        <v>512418</v>
      </c>
      <c r="D23" s="332">
        <v>254886</v>
      </c>
      <c r="E23" s="332">
        <f t="shared" si="0"/>
        <v>8267974</v>
      </c>
      <c r="F23" s="332">
        <v>208498</v>
      </c>
      <c r="G23" s="332">
        <f t="shared" si="1"/>
        <v>8476472</v>
      </c>
      <c r="H23" s="338">
        <f>G23/'- 44 -'!I23*100</f>
        <v>65.37756022464379</v>
      </c>
    </row>
    <row r="24" spans="1:8" ht="13.5" customHeight="1">
      <c r="A24" s="25" t="s">
        <v>257</v>
      </c>
      <c r="B24" s="26">
        <f>'- 60 -'!F24</f>
        <v>21270511</v>
      </c>
      <c r="C24" s="26">
        <v>3590818</v>
      </c>
      <c r="D24" s="26">
        <v>862783</v>
      </c>
      <c r="E24" s="26">
        <f t="shared" si="0"/>
        <v>25724112</v>
      </c>
      <c r="F24" s="26">
        <v>425164</v>
      </c>
      <c r="G24" s="26">
        <f t="shared" si="1"/>
        <v>26149276</v>
      </c>
      <c r="H24" s="78">
        <f>G24/'- 44 -'!I24*100</f>
        <v>61.47603076058935</v>
      </c>
    </row>
    <row r="25" spans="1:8" ht="13.5" customHeight="1">
      <c r="A25" s="331" t="s">
        <v>258</v>
      </c>
      <c r="B25" s="332">
        <f>'- 60 -'!F25</f>
        <v>65038524</v>
      </c>
      <c r="C25" s="332">
        <v>13403920</v>
      </c>
      <c r="D25" s="332">
        <v>3021434</v>
      </c>
      <c r="E25" s="332">
        <f t="shared" si="0"/>
        <v>81463878</v>
      </c>
      <c r="F25" s="332">
        <v>262027</v>
      </c>
      <c r="G25" s="332">
        <f t="shared" si="1"/>
        <v>81725905</v>
      </c>
      <c r="H25" s="338">
        <f>G25/'- 44 -'!I25*100</f>
        <v>64.94353193622914</v>
      </c>
    </row>
    <row r="26" spans="1:8" ht="13.5" customHeight="1">
      <c r="A26" s="25" t="s">
        <v>259</v>
      </c>
      <c r="B26" s="26">
        <f>'- 60 -'!F26</f>
        <v>17614548</v>
      </c>
      <c r="C26" s="26">
        <v>2473531</v>
      </c>
      <c r="D26" s="26">
        <v>606021</v>
      </c>
      <c r="E26" s="26">
        <f t="shared" si="0"/>
        <v>20694100</v>
      </c>
      <c r="F26" s="26">
        <v>139465</v>
      </c>
      <c r="G26" s="26">
        <f t="shared" si="1"/>
        <v>20833565</v>
      </c>
      <c r="H26" s="78">
        <f>G26/'- 44 -'!I26*100</f>
        <v>67.75896040220144</v>
      </c>
    </row>
    <row r="27" spans="1:8" ht="13.5" customHeight="1">
      <c r="A27" s="331" t="s">
        <v>260</v>
      </c>
      <c r="B27" s="332">
        <f>'- 60 -'!F27</f>
        <v>21839460</v>
      </c>
      <c r="C27" s="332">
        <v>1201348</v>
      </c>
      <c r="D27" s="332">
        <v>758930</v>
      </c>
      <c r="E27" s="332">
        <f t="shared" si="0"/>
        <v>23799738</v>
      </c>
      <c r="F27" s="332">
        <v>0</v>
      </c>
      <c r="G27" s="332">
        <f t="shared" si="1"/>
        <v>23799738</v>
      </c>
      <c r="H27" s="338">
        <f>G27/'- 44 -'!I27*100</f>
        <v>73.86679256024097</v>
      </c>
    </row>
    <row r="28" spans="1:8" ht="13.5" customHeight="1">
      <c r="A28" s="25" t="s">
        <v>261</v>
      </c>
      <c r="B28" s="26">
        <f>'- 60 -'!F28</f>
        <v>9760620</v>
      </c>
      <c r="C28" s="26">
        <v>1131937</v>
      </c>
      <c r="D28" s="26">
        <v>306899</v>
      </c>
      <c r="E28" s="26">
        <f t="shared" si="0"/>
        <v>11199456</v>
      </c>
      <c r="F28" s="26">
        <v>1100</v>
      </c>
      <c r="G28" s="26">
        <f t="shared" si="1"/>
        <v>11200556</v>
      </c>
      <c r="H28" s="78">
        <f>G28/'- 44 -'!I28*100</f>
        <v>62.137476336227834</v>
      </c>
    </row>
    <row r="29" spans="1:8" ht="13.5" customHeight="1">
      <c r="A29" s="331" t="s">
        <v>262</v>
      </c>
      <c r="B29" s="332">
        <f>'- 60 -'!F29</f>
        <v>48573514</v>
      </c>
      <c r="C29" s="332">
        <v>12850096</v>
      </c>
      <c r="D29" s="332">
        <v>2305772</v>
      </c>
      <c r="E29" s="332">
        <f t="shared" si="0"/>
        <v>63729382</v>
      </c>
      <c r="F29" s="332">
        <v>144181</v>
      </c>
      <c r="G29" s="332">
        <f t="shared" si="1"/>
        <v>63873563</v>
      </c>
      <c r="H29" s="338">
        <f>G29/'- 44 -'!I29*100</f>
        <v>53.590219849688445</v>
      </c>
    </row>
    <row r="30" spans="1:8" ht="13.5" customHeight="1">
      <c r="A30" s="25" t="s">
        <v>263</v>
      </c>
      <c r="B30" s="26">
        <f>'- 60 -'!F30</f>
        <v>6712531</v>
      </c>
      <c r="C30" s="26">
        <v>615723</v>
      </c>
      <c r="D30" s="26">
        <v>198568</v>
      </c>
      <c r="E30" s="26">
        <f t="shared" si="0"/>
        <v>7526822</v>
      </c>
      <c r="F30" s="26">
        <v>0</v>
      </c>
      <c r="G30" s="26">
        <f t="shared" si="1"/>
        <v>7526822</v>
      </c>
      <c r="H30" s="78">
        <f>G30/'- 44 -'!I30*100</f>
        <v>69.64864034810523</v>
      </c>
    </row>
    <row r="31" spans="1:8" ht="13.5" customHeight="1">
      <c r="A31" s="331" t="s">
        <v>264</v>
      </c>
      <c r="B31" s="332">
        <f>'- 60 -'!F31</f>
        <v>15552334</v>
      </c>
      <c r="C31" s="332">
        <v>1780748</v>
      </c>
      <c r="D31" s="332">
        <v>510435</v>
      </c>
      <c r="E31" s="332">
        <f t="shared" si="0"/>
        <v>17843517</v>
      </c>
      <c r="F31" s="332">
        <v>534164</v>
      </c>
      <c r="G31" s="332">
        <f t="shared" si="1"/>
        <v>18377681</v>
      </c>
      <c r="H31" s="338">
        <f>G31/'- 44 -'!I31*100</f>
        <v>64.151813088543</v>
      </c>
    </row>
    <row r="32" spans="1:8" ht="13.5" customHeight="1">
      <c r="A32" s="25" t="s">
        <v>265</v>
      </c>
      <c r="B32" s="26">
        <f>'- 60 -'!F32</f>
        <v>10684252</v>
      </c>
      <c r="C32" s="26">
        <v>1555265</v>
      </c>
      <c r="D32" s="26">
        <v>433174</v>
      </c>
      <c r="E32" s="26">
        <f t="shared" si="0"/>
        <v>12672691</v>
      </c>
      <c r="F32" s="26">
        <v>238084</v>
      </c>
      <c r="G32" s="26">
        <f t="shared" si="1"/>
        <v>12910775</v>
      </c>
      <c r="H32" s="78">
        <f>G32/'- 44 -'!I32*100</f>
        <v>62.31933425514716</v>
      </c>
    </row>
    <row r="33" spans="1:8" ht="13.5" customHeight="1">
      <c r="A33" s="331" t="s">
        <v>266</v>
      </c>
      <c r="B33" s="332">
        <f>'- 60 -'!F33</f>
        <v>12997309</v>
      </c>
      <c r="C33" s="332">
        <v>1383455</v>
      </c>
      <c r="D33" s="332">
        <v>396141</v>
      </c>
      <c r="E33" s="332">
        <f t="shared" si="0"/>
        <v>14776905</v>
      </c>
      <c r="F33" s="332">
        <v>29714</v>
      </c>
      <c r="G33" s="332">
        <f t="shared" si="1"/>
        <v>14806619</v>
      </c>
      <c r="H33" s="338">
        <f>G33/'- 44 -'!I33*100</f>
        <v>63.49328847908284</v>
      </c>
    </row>
    <row r="34" spans="1:8" ht="13.5" customHeight="1">
      <c r="A34" s="25" t="s">
        <v>267</v>
      </c>
      <c r="B34" s="26">
        <f>'- 60 -'!F34</f>
        <v>10628713</v>
      </c>
      <c r="C34" s="26">
        <v>1253277</v>
      </c>
      <c r="D34" s="26">
        <v>477781</v>
      </c>
      <c r="E34" s="26">
        <f t="shared" si="0"/>
        <v>12359771</v>
      </c>
      <c r="F34" s="26">
        <v>526</v>
      </c>
      <c r="G34" s="26">
        <f t="shared" si="1"/>
        <v>12360297</v>
      </c>
      <c r="H34" s="78">
        <f>G34/'- 44 -'!I34*100</f>
        <v>61.13373345620457</v>
      </c>
    </row>
    <row r="35" spans="1:8" ht="13.5" customHeight="1">
      <c r="A35" s="331" t="s">
        <v>268</v>
      </c>
      <c r="B35" s="332">
        <f>'- 60 -'!F35</f>
        <v>79182846</v>
      </c>
      <c r="C35" s="332">
        <v>14892591</v>
      </c>
      <c r="D35" s="332">
        <v>3727168</v>
      </c>
      <c r="E35" s="332">
        <f t="shared" si="0"/>
        <v>97802605</v>
      </c>
      <c r="F35" s="332">
        <v>1115290</v>
      </c>
      <c r="G35" s="332">
        <f t="shared" si="1"/>
        <v>98917895</v>
      </c>
      <c r="H35" s="338">
        <f>G35/'- 44 -'!I35*100</f>
        <v>66.84797165780314</v>
      </c>
    </row>
    <row r="36" spans="1:8" ht="13.5" customHeight="1">
      <c r="A36" s="25" t="s">
        <v>269</v>
      </c>
      <c r="B36" s="26">
        <f>'- 60 -'!F36</f>
        <v>9354047</v>
      </c>
      <c r="C36" s="26">
        <v>1330231</v>
      </c>
      <c r="D36" s="26">
        <v>302761</v>
      </c>
      <c r="E36" s="26">
        <f t="shared" si="0"/>
        <v>10987039</v>
      </c>
      <c r="F36" s="26">
        <v>127118</v>
      </c>
      <c r="G36" s="26">
        <f t="shared" si="1"/>
        <v>11114157</v>
      </c>
      <c r="H36" s="78">
        <f>G36/'- 44 -'!I36*100</f>
        <v>61.00757577795225</v>
      </c>
    </row>
    <row r="37" spans="1:8" ht="13.5" customHeight="1">
      <c r="A37" s="331" t="s">
        <v>270</v>
      </c>
      <c r="B37" s="332">
        <f>'- 60 -'!F37</f>
        <v>18302057</v>
      </c>
      <c r="C37" s="332">
        <v>2574734</v>
      </c>
      <c r="D37" s="332">
        <v>573603.6</v>
      </c>
      <c r="E37" s="332">
        <f t="shared" si="0"/>
        <v>21450394.6</v>
      </c>
      <c r="F37" s="332">
        <v>280857</v>
      </c>
      <c r="G37" s="332">
        <f t="shared" si="1"/>
        <v>21731251.6</v>
      </c>
      <c r="H37" s="338">
        <f>G37/'- 44 -'!I37*100</f>
        <v>71.7006482869831</v>
      </c>
    </row>
    <row r="38" spans="1:8" ht="13.5" customHeight="1">
      <c r="A38" s="25" t="s">
        <v>271</v>
      </c>
      <c r="B38" s="26">
        <f>'- 60 -'!F38</f>
        <v>42103707</v>
      </c>
      <c r="C38" s="26">
        <v>7678992</v>
      </c>
      <c r="D38" s="26">
        <v>1556658</v>
      </c>
      <c r="E38" s="26">
        <f t="shared" si="0"/>
        <v>51339357</v>
      </c>
      <c r="F38" s="26">
        <v>402343</v>
      </c>
      <c r="G38" s="26">
        <f t="shared" si="1"/>
        <v>51741700</v>
      </c>
      <c r="H38" s="78">
        <f>G38/'- 44 -'!I38*100</f>
        <v>67.20990681485026</v>
      </c>
    </row>
    <row r="39" spans="1:8" ht="13.5" customHeight="1">
      <c r="A39" s="331" t="s">
        <v>272</v>
      </c>
      <c r="B39" s="332">
        <f>'- 60 -'!F39</f>
        <v>8496716</v>
      </c>
      <c r="C39" s="332">
        <v>1081289</v>
      </c>
      <c r="D39" s="332">
        <v>336885</v>
      </c>
      <c r="E39" s="332">
        <f t="shared" si="0"/>
        <v>9914890</v>
      </c>
      <c r="F39" s="332">
        <v>204524</v>
      </c>
      <c r="G39" s="332">
        <f t="shared" si="1"/>
        <v>10119414</v>
      </c>
      <c r="H39" s="338">
        <f>G39/'- 44 -'!I39*100</f>
        <v>60.515090987495434</v>
      </c>
    </row>
    <row r="40" spans="1:8" ht="13.5" customHeight="1">
      <c r="A40" s="25" t="s">
        <v>273</v>
      </c>
      <c r="B40" s="26">
        <f>'- 60 -'!F40</f>
        <v>34762820</v>
      </c>
      <c r="C40" s="26">
        <v>8530119</v>
      </c>
      <c r="D40" s="26">
        <v>1481116</v>
      </c>
      <c r="E40" s="26">
        <f t="shared" si="0"/>
        <v>44774055</v>
      </c>
      <c r="F40" s="26">
        <v>182060</v>
      </c>
      <c r="G40" s="26">
        <f t="shared" si="1"/>
        <v>44956115</v>
      </c>
      <c r="H40" s="78">
        <f>G40/'- 44 -'!I40*100</f>
        <v>55.84831524079556</v>
      </c>
    </row>
    <row r="41" spans="1:8" ht="13.5" customHeight="1">
      <c r="A41" s="331" t="s">
        <v>274</v>
      </c>
      <c r="B41" s="332">
        <f>'- 60 -'!F41</f>
        <v>22695352</v>
      </c>
      <c r="C41" s="332">
        <v>4125188</v>
      </c>
      <c r="D41" s="332">
        <v>846652</v>
      </c>
      <c r="E41" s="332">
        <f t="shared" si="0"/>
        <v>27667192</v>
      </c>
      <c r="F41" s="332">
        <v>879150</v>
      </c>
      <c r="G41" s="332">
        <f t="shared" si="1"/>
        <v>28546342</v>
      </c>
      <c r="H41" s="338">
        <f>G41/'- 44 -'!I41*100</f>
        <v>58.941463152157304</v>
      </c>
    </row>
    <row r="42" spans="1:8" ht="13.5" customHeight="1">
      <c r="A42" s="25" t="s">
        <v>275</v>
      </c>
      <c r="B42" s="26">
        <f>'- 60 -'!F42</f>
        <v>10026522</v>
      </c>
      <c r="C42" s="26">
        <v>1119260</v>
      </c>
      <c r="D42" s="26">
        <v>473929</v>
      </c>
      <c r="E42" s="26">
        <f t="shared" si="0"/>
        <v>11619711</v>
      </c>
      <c r="F42" s="26">
        <v>50750</v>
      </c>
      <c r="G42" s="26">
        <f t="shared" si="1"/>
        <v>11670461</v>
      </c>
      <c r="H42" s="78">
        <f>G42/'- 44 -'!I42*100</f>
        <v>69.02817900505993</v>
      </c>
    </row>
    <row r="43" spans="1:8" ht="13.5" customHeight="1">
      <c r="A43" s="331" t="s">
        <v>276</v>
      </c>
      <c r="B43" s="332">
        <f>'- 60 -'!F43</f>
        <v>5358448</v>
      </c>
      <c r="C43" s="332">
        <v>780961</v>
      </c>
      <c r="D43" s="332">
        <v>171545</v>
      </c>
      <c r="E43" s="332">
        <f t="shared" si="0"/>
        <v>6310954</v>
      </c>
      <c r="F43" s="332">
        <v>142843</v>
      </c>
      <c r="G43" s="332">
        <f t="shared" si="1"/>
        <v>6453797</v>
      </c>
      <c r="H43" s="338">
        <f>G43/'- 44 -'!I43*100</f>
        <v>63.748628111856185</v>
      </c>
    </row>
    <row r="44" spans="1:8" ht="13.5" customHeight="1">
      <c r="A44" s="25" t="s">
        <v>277</v>
      </c>
      <c r="B44" s="26">
        <f>'- 60 -'!F44</f>
        <v>5151065</v>
      </c>
      <c r="C44" s="26">
        <v>481866</v>
      </c>
      <c r="D44" s="26">
        <v>221208</v>
      </c>
      <c r="E44" s="26">
        <f t="shared" si="0"/>
        <v>5854139</v>
      </c>
      <c r="F44" s="26">
        <v>0</v>
      </c>
      <c r="G44" s="26">
        <f t="shared" si="1"/>
        <v>5854139</v>
      </c>
      <c r="H44" s="78">
        <f>G44/'- 44 -'!I44*100</f>
        <v>72.34238563804185</v>
      </c>
    </row>
    <row r="45" spans="1:8" ht="13.5" customHeight="1">
      <c r="A45" s="331" t="s">
        <v>278</v>
      </c>
      <c r="B45" s="332">
        <f>'- 60 -'!F45</f>
        <v>6536516</v>
      </c>
      <c r="C45" s="332">
        <v>1071530.53</v>
      </c>
      <c r="D45" s="332">
        <v>287874.86</v>
      </c>
      <c r="E45" s="332">
        <f t="shared" si="0"/>
        <v>7895921.390000001</v>
      </c>
      <c r="F45" s="332">
        <v>339475.5</v>
      </c>
      <c r="G45" s="332">
        <f t="shared" si="1"/>
        <v>8235396.890000001</v>
      </c>
      <c r="H45" s="338">
        <f>G45/'- 44 -'!I45*100</f>
        <v>66.14007034927624</v>
      </c>
    </row>
    <row r="46" spans="1:8" ht="13.5" customHeight="1">
      <c r="A46" s="25" t="s">
        <v>279</v>
      </c>
      <c r="B46" s="26">
        <f>'- 60 -'!F46</f>
        <v>143735543</v>
      </c>
      <c r="C46" s="26">
        <v>19619675</v>
      </c>
      <c r="D46" s="26">
        <v>10297232</v>
      </c>
      <c r="E46" s="26">
        <f t="shared" si="0"/>
        <v>173652450</v>
      </c>
      <c r="F46" s="26">
        <v>3057324</v>
      </c>
      <c r="G46" s="26">
        <f t="shared" si="1"/>
        <v>176709774</v>
      </c>
      <c r="H46" s="78">
        <f>G46/'- 44 -'!I46*100</f>
        <v>60.687732007193475</v>
      </c>
    </row>
    <row r="47" spans="1:8" ht="4.5" customHeight="1">
      <c r="A47" s="27"/>
      <c r="B47" s="28"/>
      <c r="C47" s="28"/>
      <c r="D47" s="28"/>
      <c r="E47" s="28"/>
      <c r="F47" s="28"/>
      <c r="G47" s="28"/>
      <c r="H47"/>
    </row>
    <row r="48" spans="1:8" ht="13.5" customHeight="1">
      <c r="A48" s="333" t="s">
        <v>280</v>
      </c>
      <c r="B48" s="334">
        <f aca="true" t="shared" si="2" ref="B48:G48">SUM(B11:B46)</f>
        <v>826840109</v>
      </c>
      <c r="C48" s="334">
        <f t="shared" si="2"/>
        <v>126614529.53</v>
      </c>
      <c r="D48" s="334">
        <f t="shared" si="2"/>
        <v>51479185.46</v>
      </c>
      <c r="E48" s="334">
        <f t="shared" si="2"/>
        <v>1004933823.99</v>
      </c>
      <c r="F48" s="334">
        <f t="shared" si="2"/>
        <v>11524117.5</v>
      </c>
      <c r="G48" s="334">
        <f t="shared" si="2"/>
        <v>1016457941.49</v>
      </c>
      <c r="H48" s="341">
        <f>G48/'- 44 -'!I48*100</f>
        <v>62.23399213161625</v>
      </c>
    </row>
    <row r="49" spans="1:8" ht="4.5" customHeight="1">
      <c r="A49" s="27" t="s">
        <v>32</v>
      </c>
      <c r="B49" s="28"/>
      <c r="C49" s="28"/>
      <c r="D49" s="28"/>
      <c r="E49" s="28"/>
      <c r="F49" s="28"/>
      <c r="G49" s="28"/>
      <c r="H49"/>
    </row>
    <row r="50" spans="1:8" ht="13.5" customHeight="1">
      <c r="A50" s="25" t="s">
        <v>281</v>
      </c>
      <c r="B50" s="26">
        <f>'- 60 -'!F50</f>
        <v>860069</v>
      </c>
      <c r="C50" s="26">
        <v>197180</v>
      </c>
      <c r="D50" s="26">
        <v>48024</v>
      </c>
      <c r="E50" s="26">
        <f>SUM(B50:D50)</f>
        <v>1105273</v>
      </c>
      <c r="F50" s="26">
        <v>1878</v>
      </c>
      <c r="G50" s="26">
        <f>SUM(E50:F50)</f>
        <v>1107151</v>
      </c>
      <c r="H50" s="78">
        <f>G50/'- 44 -'!I50*100</f>
        <v>40.03583568380704</v>
      </c>
    </row>
    <row r="51" spans="1:8" ht="13.5" customHeight="1">
      <c r="A51" s="331" t="s">
        <v>414</v>
      </c>
      <c r="B51" s="332">
        <f>'- 60 -'!F51</f>
        <v>36974</v>
      </c>
      <c r="C51" s="332">
        <v>0</v>
      </c>
      <c r="D51" s="332">
        <v>3315820</v>
      </c>
      <c r="E51" s="332">
        <f>SUM(B51:D51)</f>
        <v>3352794</v>
      </c>
      <c r="F51" s="332">
        <v>2874785</v>
      </c>
      <c r="G51" s="332">
        <f>SUM(E51:F51)</f>
        <v>6227579</v>
      </c>
      <c r="H51" s="338">
        <f>G51/'- 44 -'!I51*100</f>
        <v>55.89516667992037</v>
      </c>
    </row>
    <row r="52" spans="1:8" ht="49.5" customHeight="1">
      <c r="A52" s="29"/>
      <c r="B52" s="29"/>
      <c r="C52" s="29"/>
      <c r="D52" s="29"/>
      <c r="E52" s="29"/>
      <c r="F52" s="29"/>
      <c r="G52" s="29"/>
      <c r="H52" s="29"/>
    </row>
    <row r="53" spans="1:7" ht="15" customHeight="1">
      <c r="A53" s="129" t="s">
        <v>8</v>
      </c>
      <c r="C53" s="44"/>
      <c r="D53" s="255"/>
      <c r="E53" s="255"/>
      <c r="F53" s="255"/>
      <c r="G53" s="255"/>
    </row>
    <row r="54" spans="1:7" ht="12" customHeight="1">
      <c r="A54" s="129" t="s">
        <v>418</v>
      </c>
      <c r="C54" s="44"/>
      <c r="D54" s="255"/>
      <c r="E54" s="255"/>
      <c r="F54" s="255"/>
      <c r="G54" s="255"/>
    </row>
    <row r="55" spans="1:7" ht="12" customHeight="1">
      <c r="A55" s="44" t="s">
        <v>415</v>
      </c>
      <c r="C55" s="44"/>
      <c r="D55" s="255"/>
      <c r="E55" s="255"/>
      <c r="F55" s="255"/>
      <c r="G55" s="255"/>
    </row>
    <row r="56" ht="12" customHeight="1">
      <c r="A56" s="44" t="s">
        <v>416</v>
      </c>
    </row>
    <row r="57" ht="12" customHeight="1">
      <c r="A57" s="1" t="s">
        <v>417</v>
      </c>
    </row>
    <row r="58" ht="12" customHeight="1">
      <c r="A58" s="2" t="s">
        <v>419</v>
      </c>
    </row>
    <row r="59" ht="12">
      <c r="A59" s="2" t="s">
        <v>420</v>
      </c>
    </row>
    <row r="60" ht="12">
      <c r="A60" s="489" t="s">
        <v>565</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topLeftCell="A1">
      <selection activeCell="A1" sqref="A1"/>
    </sheetView>
  </sheetViews>
  <sheetFormatPr defaultColWidth="15.83203125" defaultRowHeight="12"/>
  <cols>
    <col min="1" max="1" width="34.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4.83203125" style="1" customWidth="1"/>
    <col min="9" max="9" width="8.83203125" style="1" customWidth="1"/>
    <col min="10" max="16384" width="15.83203125" style="1" customWidth="1"/>
  </cols>
  <sheetData>
    <row r="1" ht="6.75" customHeight="1">
      <c r="A1" s="5"/>
    </row>
    <row r="2" spans="1:9" ht="15.75" customHeight="1">
      <c r="A2" s="244"/>
      <c r="B2" s="234" t="str">
        <f>REVYEAR</f>
        <v>ANALYSIS OF OPERATING FUND REVENUE: 2006/2007 ACTUAL</v>
      </c>
      <c r="C2" s="47"/>
      <c r="D2" s="47"/>
      <c r="E2" s="47"/>
      <c r="F2" s="47"/>
      <c r="G2" s="248"/>
      <c r="H2" s="249"/>
      <c r="I2" s="246" t="s">
        <v>33</v>
      </c>
    </row>
    <row r="3" ht="15.75" customHeight="1">
      <c r="A3" s="235"/>
    </row>
    <row r="4" spans="2:9" ht="15.75" customHeight="1">
      <c r="B4" s="6"/>
      <c r="C4" s="6"/>
      <c r="D4" s="6"/>
      <c r="E4" s="6"/>
      <c r="F4" s="6"/>
      <c r="G4" s="6"/>
      <c r="H4" s="6"/>
      <c r="I4" s="49"/>
    </row>
    <row r="5" spans="2:9" ht="15.75" customHeight="1">
      <c r="B5" s="6"/>
      <c r="C5" s="6"/>
      <c r="D5" s="6"/>
      <c r="E5" s="6"/>
      <c r="F5" s="6"/>
      <c r="G5" s="6"/>
      <c r="H5" s="6"/>
      <c r="I5" s="6"/>
    </row>
    <row r="6" spans="2:9" ht="15.75" customHeight="1">
      <c r="B6" s="6"/>
      <c r="C6" s="6"/>
      <c r="D6" s="6"/>
      <c r="E6" s="6"/>
      <c r="F6" s="6"/>
      <c r="G6" s="6"/>
      <c r="H6" s="6"/>
      <c r="I6" s="6"/>
    </row>
    <row r="7" spans="2:9" ht="15.75" customHeight="1">
      <c r="B7" s="359" t="s">
        <v>129</v>
      </c>
      <c r="C7" s="360"/>
      <c r="D7" s="362" t="s">
        <v>130</v>
      </c>
      <c r="E7" s="360"/>
      <c r="F7" s="362" t="s">
        <v>131</v>
      </c>
      <c r="G7" s="360"/>
      <c r="H7" s="361"/>
      <c r="I7" s="360"/>
    </row>
    <row r="8" spans="1:9" ht="15.75" customHeight="1">
      <c r="A8" s="74"/>
      <c r="B8" s="346" t="s">
        <v>148</v>
      </c>
      <c r="C8" s="347"/>
      <c r="D8" s="346" t="s">
        <v>575</v>
      </c>
      <c r="E8" s="347"/>
      <c r="F8" s="346" t="s">
        <v>149</v>
      </c>
      <c r="G8" s="347"/>
      <c r="H8" s="346" t="s">
        <v>150</v>
      </c>
      <c r="I8" s="347"/>
    </row>
    <row r="9" spans="1:9" ht="15.75" customHeight="1">
      <c r="A9" s="41" t="s">
        <v>108</v>
      </c>
      <c r="B9" s="194" t="s">
        <v>152</v>
      </c>
      <c r="C9" s="236" t="s">
        <v>110</v>
      </c>
      <c r="D9" s="236" t="s">
        <v>152</v>
      </c>
      <c r="E9" s="236" t="s">
        <v>110</v>
      </c>
      <c r="F9" s="236" t="s">
        <v>152</v>
      </c>
      <c r="G9" s="236" t="s">
        <v>110</v>
      </c>
      <c r="H9" s="247" t="s">
        <v>152</v>
      </c>
      <c r="I9" s="247" t="s">
        <v>110</v>
      </c>
    </row>
    <row r="10" spans="1:9" ht="4.5" customHeight="1">
      <c r="A10" s="4"/>
      <c r="B10" s="237"/>
      <c r="C10" s="237"/>
      <c r="D10" s="237"/>
      <c r="E10" s="237"/>
      <c r="F10" s="237"/>
      <c r="G10" s="237"/>
      <c r="H10" s="237"/>
      <c r="I10" s="237"/>
    </row>
    <row r="11" spans="1:9" ht="13.5" customHeight="1">
      <c r="A11" s="331" t="s">
        <v>245</v>
      </c>
      <c r="B11" s="332">
        <v>0</v>
      </c>
      <c r="C11" s="338">
        <f>B11/'- 44 -'!I11*100</f>
        <v>0</v>
      </c>
      <c r="D11" s="332">
        <v>4531070</v>
      </c>
      <c r="E11" s="338">
        <f>D11/'- 44 -'!I11*100</f>
        <v>35.61280028923655</v>
      </c>
      <c r="F11" s="332">
        <v>57200</v>
      </c>
      <c r="G11" s="338">
        <f>F11/'- 44 -'!I11*100</f>
        <v>0.44957420135736825</v>
      </c>
      <c r="H11" s="332">
        <v>0</v>
      </c>
      <c r="I11" s="338">
        <f>H11/'- 44 -'!I11*100</f>
        <v>0</v>
      </c>
    </row>
    <row r="12" spans="1:9" ht="13.5" customHeight="1">
      <c r="A12" s="25" t="s">
        <v>246</v>
      </c>
      <c r="B12" s="26">
        <v>611</v>
      </c>
      <c r="C12" s="78">
        <f>B12/'- 44 -'!I12*100</f>
        <v>0.0025971058294696958</v>
      </c>
      <c r="D12" s="26">
        <v>7916934</v>
      </c>
      <c r="E12" s="78">
        <f>D12/'- 44 -'!I12*100</f>
        <v>33.65158010298991</v>
      </c>
      <c r="F12" s="26">
        <v>313871</v>
      </c>
      <c r="G12" s="78">
        <f>F12/'- 44 -'!I12*100</f>
        <v>1.3341345397732942</v>
      </c>
      <c r="H12" s="26">
        <v>581234</v>
      </c>
      <c r="I12" s="78">
        <f>H12/'- 44 -'!I12*100</f>
        <v>2.4705829945760867</v>
      </c>
    </row>
    <row r="13" spans="1:9" ht="13.5" customHeight="1">
      <c r="A13" s="331" t="s">
        <v>247</v>
      </c>
      <c r="B13" s="332">
        <v>18349</v>
      </c>
      <c r="C13" s="338">
        <f>B13/'- 44 -'!I13*100</f>
        <v>0.033654745414479034</v>
      </c>
      <c r="D13" s="332">
        <v>18704104</v>
      </c>
      <c r="E13" s="338">
        <f>D13/'- 44 -'!I13*100</f>
        <v>34.30605800457458</v>
      </c>
      <c r="F13" s="332">
        <v>183228</v>
      </c>
      <c r="G13" s="338">
        <f>F13/'- 44 -'!I13*100</f>
        <v>0.3360669078862153</v>
      </c>
      <c r="H13" s="332">
        <v>301405</v>
      </c>
      <c r="I13" s="338">
        <f>H13/'- 44 -'!I13*100</f>
        <v>0.5528207826939372</v>
      </c>
    </row>
    <row r="14" spans="1:9" ht="13.5" customHeight="1">
      <c r="A14" s="25" t="s">
        <v>283</v>
      </c>
      <c r="B14" s="26">
        <v>251011</v>
      </c>
      <c r="C14" s="78">
        <f>B14/'- 44 -'!I14*100</f>
        <v>0.49764906806210607</v>
      </c>
      <c r="D14" s="26">
        <v>12456169</v>
      </c>
      <c r="E14" s="78">
        <f>D14/'- 44 -'!I14*100</f>
        <v>24.695335640565933</v>
      </c>
      <c r="F14" s="26">
        <v>709458</v>
      </c>
      <c r="G14" s="78">
        <f>F14/'- 44 -'!I14*100</f>
        <v>1.4065563362928541</v>
      </c>
      <c r="H14" s="26">
        <v>0</v>
      </c>
      <c r="I14" s="78">
        <f>H14/'- 44 -'!I14*100</f>
        <v>0</v>
      </c>
    </row>
    <row r="15" spans="1:9" ht="13.5" customHeight="1">
      <c r="A15" s="331" t="s">
        <v>248</v>
      </c>
      <c r="B15" s="332">
        <v>0</v>
      </c>
      <c r="C15" s="338">
        <f>B15/'- 44 -'!I15*100</f>
        <v>0</v>
      </c>
      <c r="D15" s="332">
        <v>5219149</v>
      </c>
      <c r="E15" s="338">
        <f>D15/'- 44 -'!I15*100</f>
        <v>35.22344212087795</v>
      </c>
      <c r="F15" s="332">
        <v>57090</v>
      </c>
      <c r="G15" s="338">
        <f>F15/'- 44 -'!I15*100</f>
        <v>0.38529390724060997</v>
      </c>
      <c r="H15" s="332">
        <v>208930</v>
      </c>
      <c r="I15" s="338">
        <f>H15/'- 44 -'!I15*100</f>
        <v>1.4100447721103633</v>
      </c>
    </row>
    <row r="16" spans="1:9" ht="13.5" customHeight="1">
      <c r="A16" s="25" t="s">
        <v>249</v>
      </c>
      <c r="B16" s="26">
        <v>30338</v>
      </c>
      <c r="C16" s="78">
        <f>B16/'- 44 -'!I16*100</f>
        <v>0.27661548760432003</v>
      </c>
      <c r="D16" s="26">
        <v>2798304</v>
      </c>
      <c r="E16" s="78">
        <f>D16/'- 44 -'!I16*100</f>
        <v>25.514345883878935</v>
      </c>
      <c r="F16" s="26">
        <v>215476</v>
      </c>
      <c r="G16" s="78">
        <f>F16/'- 44 -'!I16*100</f>
        <v>1.9646647375248356</v>
      </c>
      <c r="H16" s="26">
        <v>99213</v>
      </c>
      <c r="I16" s="78">
        <f>H16/'- 44 -'!I16*100</f>
        <v>0.9046032161542424</v>
      </c>
    </row>
    <row r="17" spans="1:9" ht="13.5" customHeight="1">
      <c r="A17" s="331" t="s">
        <v>250</v>
      </c>
      <c r="B17" s="332">
        <v>0</v>
      </c>
      <c r="C17" s="338">
        <f>B17/'- 44 -'!I17*100</f>
        <v>0</v>
      </c>
      <c r="D17" s="332">
        <v>4737627</v>
      </c>
      <c r="E17" s="338">
        <f>D17/'- 44 -'!I17*100</f>
        <v>34.29297029240714</v>
      </c>
      <c r="F17" s="332">
        <v>14300</v>
      </c>
      <c r="G17" s="338">
        <f>F17/'- 44 -'!I17*100</f>
        <v>0.10350951545603361</v>
      </c>
      <c r="H17" s="332">
        <v>757855</v>
      </c>
      <c r="I17" s="338">
        <f>H17/'- 44 -'!I17*100</f>
        <v>5.485678589925339</v>
      </c>
    </row>
    <row r="18" spans="1:9" ht="13.5" customHeight="1">
      <c r="A18" s="25" t="s">
        <v>251</v>
      </c>
      <c r="B18" s="26">
        <v>218480</v>
      </c>
      <c r="C18" s="78">
        <f>B18/'- 44 -'!I18*100</f>
        <v>0.23791092257016538</v>
      </c>
      <c r="D18" s="26">
        <v>3309228</v>
      </c>
      <c r="E18" s="78">
        <f>D18/'- 44 -'!I18*100</f>
        <v>3.603540307923028</v>
      </c>
      <c r="F18" s="26">
        <v>6500</v>
      </c>
      <c r="G18" s="78">
        <f>F18/'- 44 -'!I18*100</f>
        <v>0.0070780895125689995</v>
      </c>
      <c r="H18" s="26">
        <v>46023215</v>
      </c>
      <c r="I18" s="78">
        <f>H18/'- 44 -'!I18*100</f>
        <v>50.11637468095511</v>
      </c>
    </row>
    <row r="19" spans="1:9" ht="13.5" customHeight="1">
      <c r="A19" s="331" t="s">
        <v>252</v>
      </c>
      <c r="B19" s="332">
        <v>0</v>
      </c>
      <c r="C19" s="338">
        <f>B19/'- 44 -'!I19*100</f>
        <v>0</v>
      </c>
      <c r="D19" s="332">
        <v>7795300</v>
      </c>
      <c r="E19" s="338">
        <f>D19/'- 44 -'!I19*100</f>
        <v>30.204006164092377</v>
      </c>
      <c r="F19" s="332">
        <v>237180</v>
      </c>
      <c r="G19" s="338">
        <f>F19/'- 44 -'!I19*100</f>
        <v>0.9189878750015306</v>
      </c>
      <c r="H19" s="332">
        <v>0</v>
      </c>
      <c r="I19" s="338">
        <f>H19/'- 44 -'!I19*100</f>
        <v>0</v>
      </c>
    </row>
    <row r="20" spans="1:9" ht="13.5" customHeight="1">
      <c r="A20" s="25" t="s">
        <v>253</v>
      </c>
      <c r="B20" s="26">
        <v>0</v>
      </c>
      <c r="C20" s="78">
        <f>B20/'- 44 -'!I20*100</f>
        <v>0</v>
      </c>
      <c r="D20" s="26">
        <v>13816180</v>
      </c>
      <c r="E20" s="78">
        <f>D20/'- 44 -'!I20*100</f>
        <v>28.26839608507457</v>
      </c>
      <c r="F20" s="26">
        <v>230346</v>
      </c>
      <c r="G20" s="78">
        <f>F20/'- 44 -'!I20*100</f>
        <v>0.4712961154684281</v>
      </c>
      <c r="H20" s="26">
        <v>0</v>
      </c>
      <c r="I20" s="78">
        <f>H20/'- 44 -'!I20*100</f>
        <v>0</v>
      </c>
    </row>
    <row r="21" spans="1:9" ht="13.5" customHeight="1">
      <c r="A21" s="331" t="s">
        <v>254</v>
      </c>
      <c r="B21" s="332">
        <v>0</v>
      </c>
      <c r="C21" s="338">
        <f>B21/'- 44 -'!I21*100</f>
        <v>0</v>
      </c>
      <c r="D21" s="332">
        <v>8999380</v>
      </c>
      <c r="E21" s="338">
        <f>D21/'- 44 -'!I21*100</f>
        <v>32.558630556223655</v>
      </c>
      <c r="F21" s="332">
        <v>39950</v>
      </c>
      <c r="G21" s="338">
        <f>F21/'- 44 -'!I21*100</f>
        <v>0.14453410020702925</v>
      </c>
      <c r="H21" s="332">
        <v>0</v>
      </c>
      <c r="I21" s="338">
        <f>H21/'- 44 -'!I21*100</f>
        <v>0</v>
      </c>
    </row>
    <row r="22" spans="1:9" ht="13.5" customHeight="1">
      <c r="A22" s="25" t="s">
        <v>255</v>
      </c>
      <c r="B22" s="26">
        <v>0</v>
      </c>
      <c r="C22" s="78">
        <f>B22/'- 44 -'!I22*100</f>
        <v>0</v>
      </c>
      <c r="D22" s="26">
        <v>3303642</v>
      </c>
      <c r="E22" s="78">
        <f>D22/'- 44 -'!I22*100</f>
        <v>21.741737425461164</v>
      </c>
      <c r="F22" s="26">
        <v>6825</v>
      </c>
      <c r="G22" s="78">
        <f>F22/'- 44 -'!I22*100</f>
        <v>0.044916294782779864</v>
      </c>
      <c r="H22" s="26">
        <v>164090</v>
      </c>
      <c r="I22" s="78">
        <f>H22/'- 44 -'!I22*100</f>
        <v>1.0798996059936041</v>
      </c>
    </row>
    <row r="23" spans="1:9" ht="13.5" customHeight="1">
      <c r="A23" s="331" t="s">
        <v>256</v>
      </c>
      <c r="B23" s="332">
        <v>0</v>
      </c>
      <c r="C23" s="338">
        <f>B23/'- 44 -'!I23*100</f>
        <v>0</v>
      </c>
      <c r="D23" s="332">
        <v>3445326</v>
      </c>
      <c r="E23" s="338">
        <f>D23/'- 44 -'!I23*100</f>
        <v>26.573202631770755</v>
      </c>
      <c r="F23" s="332">
        <v>94735</v>
      </c>
      <c r="G23" s="338">
        <f>F23/'- 44 -'!I23*100</f>
        <v>0.7306746448146858</v>
      </c>
      <c r="H23" s="332">
        <v>627247</v>
      </c>
      <c r="I23" s="338">
        <f>H23/'- 44 -'!I23*100</f>
        <v>4.837847458025832</v>
      </c>
    </row>
    <row r="24" spans="1:9" ht="13.5" customHeight="1">
      <c r="A24" s="25" t="s">
        <v>257</v>
      </c>
      <c r="B24" s="26">
        <v>38464</v>
      </c>
      <c r="C24" s="78">
        <f>B24/'- 44 -'!I24*100</f>
        <v>0.0904275149788204</v>
      </c>
      <c r="D24" s="26">
        <v>14978085</v>
      </c>
      <c r="E24" s="78">
        <f>D24/'- 44 -'!I24*100</f>
        <v>35.212952519018955</v>
      </c>
      <c r="F24" s="26">
        <v>178550</v>
      </c>
      <c r="G24" s="78">
        <f>F24/'- 44 -'!I24*100</f>
        <v>0.4197647878397562</v>
      </c>
      <c r="H24" s="26">
        <v>410787</v>
      </c>
      <c r="I24" s="78">
        <f>H24/'- 44 -'!I24*100</f>
        <v>0.9657458297526178</v>
      </c>
    </row>
    <row r="25" spans="1:9" ht="13.5" customHeight="1">
      <c r="A25" s="331" t="s">
        <v>258</v>
      </c>
      <c r="B25" s="332">
        <v>0</v>
      </c>
      <c r="C25" s="338">
        <f>B25/'- 44 -'!I25*100</f>
        <v>0</v>
      </c>
      <c r="D25" s="332">
        <v>41880844</v>
      </c>
      <c r="E25" s="338">
        <f>D25/'- 44 -'!I25*100</f>
        <v>33.28063396581819</v>
      </c>
      <c r="F25" s="332">
        <v>496197</v>
      </c>
      <c r="G25" s="338">
        <f>F25/'- 44 -'!I25*100</f>
        <v>0.3943031981861943</v>
      </c>
      <c r="H25" s="332">
        <v>0</v>
      </c>
      <c r="I25" s="338">
        <f>H25/'- 44 -'!I25*100</f>
        <v>0</v>
      </c>
    </row>
    <row r="26" spans="1:9" ht="13.5" customHeight="1">
      <c r="A26" s="25" t="s">
        <v>259</v>
      </c>
      <c r="B26" s="26">
        <v>47961</v>
      </c>
      <c r="C26" s="78">
        <f>B26/'- 44 -'!I26*100</f>
        <v>0.15598806540551188</v>
      </c>
      <c r="D26" s="26">
        <v>8393654</v>
      </c>
      <c r="E26" s="78">
        <f>D26/'- 44 -'!I26*100</f>
        <v>27.299469342658337</v>
      </c>
      <c r="F26" s="26">
        <v>375130</v>
      </c>
      <c r="G26" s="78">
        <f>F26/'- 44 -'!I26*100</f>
        <v>1.2200705359681758</v>
      </c>
      <c r="H26" s="26">
        <v>611651</v>
      </c>
      <c r="I26" s="78">
        <f>H26/'- 44 -'!I26*100</f>
        <v>1.9893300013207973</v>
      </c>
    </row>
    <row r="27" spans="1:9" ht="13.5" customHeight="1">
      <c r="A27" s="331" t="s">
        <v>260</v>
      </c>
      <c r="B27" s="332">
        <v>3875</v>
      </c>
      <c r="C27" s="338">
        <f>B27/'- 44 -'!I27*100</f>
        <v>0.01202676353710002</v>
      </c>
      <c r="D27" s="332">
        <v>7612687</v>
      </c>
      <c r="E27" s="338">
        <f>D27/'- 44 -'!I27*100</f>
        <v>23.627351337020734</v>
      </c>
      <c r="F27" s="332">
        <v>82259</v>
      </c>
      <c r="G27" s="338">
        <f>F27/'- 44 -'!I27*100</f>
        <v>0.2553056882060156</v>
      </c>
      <c r="H27" s="332">
        <v>430380</v>
      </c>
      <c r="I27" s="338">
        <f>H27/'- 44 -'!I27*100</f>
        <v>1.3357621912508661</v>
      </c>
    </row>
    <row r="28" spans="1:9" ht="13.5" customHeight="1">
      <c r="A28" s="25" t="s">
        <v>261</v>
      </c>
      <c r="B28" s="26">
        <v>0</v>
      </c>
      <c r="C28" s="78">
        <f>B28/'- 44 -'!I28*100</f>
        <v>0</v>
      </c>
      <c r="D28" s="26">
        <v>5656009</v>
      </c>
      <c r="E28" s="78">
        <f>D28/'- 44 -'!I28*100</f>
        <v>31.377917792205285</v>
      </c>
      <c r="F28" s="26">
        <v>21450</v>
      </c>
      <c r="G28" s="78">
        <f>F28/'- 44 -'!I28*100</f>
        <v>0.11899845573845505</v>
      </c>
      <c r="H28" s="26">
        <v>1102143</v>
      </c>
      <c r="I28" s="78">
        <f>H28/'- 44 -'!I28*100</f>
        <v>6.114373659811098</v>
      </c>
    </row>
    <row r="29" spans="1:9" ht="13.5" customHeight="1">
      <c r="A29" s="331" t="s">
        <v>262</v>
      </c>
      <c r="B29" s="332">
        <v>13230</v>
      </c>
      <c r="C29" s="338">
        <f>B29/'- 44 -'!I29*100</f>
        <v>0.01110003224043378</v>
      </c>
      <c r="D29" s="332">
        <v>51747990</v>
      </c>
      <c r="E29" s="338">
        <f>D29/'- 44 -'!I29*100</f>
        <v>43.41680705802304</v>
      </c>
      <c r="F29" s="332">
        <v>693368</v>
      </c>
      <c r="G29" s="338">
        <f>F29/'- 44 -'!I29*100</f>
        <v>0.5817390139444512</v>
      </c>
      <c r="H29" s="332">
        <v>0</v>
      </c>
      <c r="I29" s="338">
        <f>H29/'- 44 -'!I29*100</f>
        <v>0</v>
      </c>
    </row>
    <row r="30" spans="1:9" ht="13.5" customHeight="1">
      <c r="A30" s="25" t="s">
        <v>263</v>
      </c>
      <c r="B30" s="26">
        <v>899</v>
      </c>
      <c r="C30" s="78">
        <f>B30/'- 44 -'!I30*100</f>
        <v>0.008318800108856913</v>
      </c>
      <c r="D30" s="26">
        <v>3125430</v>
      </c>
      <c r="E30" s="78">
        <f>D30/'- 44 -'!I30*100</f>
        <v>28.920831395133106</v>
      </c>
      <c r="F30" s="26">
        <v>47445</v>
      </c>
      <c r="G30" s="78">
        <f>F30/'- 44 -'!I30*100</f>
        <v>0.43902722042793796</v>
      </c>
      <c r="H30" s="26">
        <v>0</v>
      </c>
      <c r="I30" s="78">
        <f>H30/'- 44 -'!I30*100</f>
        <v>0</v>
      </c>
    </row>
    <row r="31" spans="1:9" ht="13.5" customHeight="1">
      <c r="A31" s="331" t="s">
        <v>264</v>
      </c>
      <c r="B31" s="332">
        <v>26782</v>
      </c>
      <c r="C31" s="338">
        <f>B31/'- 44 -'!I31*100</f>
        <v>0.09348915448784635</v>
      </c>
      <c r="D31" s="332">
        <v>9191572</v>
      </c>
      <c r="E31" s="338">
        <f>D31/'- 44 -'!I31*100</f>
        <v>32.085441516472365</v>
      </c>
      <c r="F31" s="332">
        <v>20446</v>
      </c>
      <c r="G31" s="338">
        <f>F31/'- 44 -'!I31*100</f>
        <v>0.07137178898732383</v>
      </c>
      <c r="H31" s="332">
        <v>893205</v>
      </c>
      <c r="I31" s="338">
        <f>H31/'- 44 -'!I31*100</f>
        <v>3.117951618038862</v>
      </c>
    </row>
    <row r="32" spans="1:9" ht="13.5" customHeight="1">
      <c r="A32" s="25" t="s">
        <v>265</v>
      </c>
      <c r="B32" s="26">
        <v>19590</v>
      </c>
      <c r="C32" s="78">
        <f>B32/'- 44 -'!I32*100</f>
        <v>0.09455944806243878</v>
      </c>
      <c r="D32" s="26">
        <v>7473426</v>
      </c>
      <c r="E32" s="78">
        <f>D32/'- 44 -'!I32*100</f>
        <v>36.07366195484837</v>
      </c>
      <c r="F32" s="26">
        <v>102769</v>
      </c>
      <c r="G32" s="78">
        <f>F32/'- 44 -'!I32*100</f>
        <v>0.4960581887661445</v>
      </c>
      <c r="H32" s="26">
        <v>3762</v>
      </c>
      <c r="I32" s="78">
        <f>H32/'- 44 -'!I32*100</f>
        <v>0.018158889413521933</v>
      </c>
    </row>
    <row r="33" spans="1:9" ht="13.5" customHeight="1">
      <c r="A33" s="331" t="s">
        <v>266</v>
      </c>
      <c r="B33" s="332">
        <v>10473</v>
      </c>
      <c r="C33" s="338">
        <f>B33/'- 44 -'!I33*100</f>
        <v>0.04490999668738924</v>
      </c>
      <c r="D33" s="332">
        <v>8029040</v>
      </c>
      <c r="E33" s="338">
        <f>D33/'- 44 -'!I33*100</f>
        <v>34.429882536323476</v>
      </c>
      <c r="F33" s="332">
        <v>29250</v>
      </c>
      <c r="G33" s="338">
        <f>F33/'- 44 -'!I33*100</f>
        <v>0.12542895093155115</v>
      </c>
      <c r="H33" s="332">
        <v>228100</v>
      </c>
      <c r="I33" s="338">
        <f>H33/'- 44 -'!I33*100</f>
        <v>0.9781314088029683</v>
      </c>
    </row>
    <row r="34" spans="1:9" ht="13.5" customHeight="1">
      <c r="A34" s="25" t="s">
        <v>267</v>
      </c>
      <c r="B34" s="26">
        <v>21177</v>
      </c>
      <c r="C34" s="78">
        <f>B34/'- 44 -'!I34*100</f>
        <v>0.10474093570745462</v>
      </c>
      <c r="D34" s="26">
        <v>7056805</v>
      </c>
      <c r="E34" s="78">
        <f>D34/'- 44 -'!I34*100</f>
        <v>34.90278881829552</v>
      </c>
      <c r="F34" s="26">
        <v>548440</v>
      </c>
      <c r="G34" s="78">
        <f>F34/'- 44 -'!I34*100</f>
        <v>2.712571128082184</v>
      </c>
      <c r="H34" s="26">
        <v>55727</v>
      </c>
      <c r="I34" s="78">
        <f>H34/'- 44 -'!I34*100</f>
        <v>0.27562440969775337</v>
      </c>
    </row>
    <row r="35" spans="1:9" ht="13.5" customHeight="1">
      <c r="A35" s="331" t="s">
        <v>268</v>
      </c>
      <c r="B35" s="332">
        <v>19006</v>
      </c>
      <c r="C35" s="338">
        <f>B35/'- 44 -'!I35*100</f>
        <v>0.012844112274409058</v>
      </c>
      <c r="D35" s="332">
        <v>45101908</v>
      </c>
      <c r="E35" s="338">
        <f>D35/'- 44 -'!I35*100</f>
        <v>30.47953120814838</v>
      </c>
      <c r="F35" s="332">
        <v>846100</v>
      </c>
      <c r="G35" s="338">
        <f>F35/'- 44 -'!I35*100</f>
        <v>0.5717880351140432</v>
      </c>
      <c r="H35" s="332">
        <v>30634</v>
      </c>
      <c r="I35" s="338">
        <f>H35/'- 44 -'!I35*100</f>
        <v>0.020702227476283655</v>
      </c>
    </row>
    <row r="36" spans="1:9" ht="13.5" customHeight="1">
      <c r="A36" s="25" t="s">
        <v>269</v>
      </c>
      <c r="B36" s="26">
        <v>15415</v>
      </c>
      <c r="C36" s="78">
        <f>B36/'- 44 -'!I36*100</f>
        <v>0.08461566456341528</v>
      </c>
      <c r="D36" s="26">
        <v>5994034</v>
      </c>
      <c r="E36" s="78">
        <f>D36/'- 44 -'!I36*100</f>
        <v>32.9023140010189</v>
      </c>
      <c r="F36" s="26">
        <v>88920</v>
      </c>
      <c r="G36" s="78">
        <f>F36/'- 44 -'!I36*100</f>
        <v>0.48809762523379085</v>
      </c>
      <c r="H36" s="26">
        <v>896096</v>
      </c>
      <c r="I36" s="78">
        <f>H36/'- 44 -'!I36*100</f>
        <v>4.918829617425765</v>
      </c>
    </row>
    <row r="37" spans="1:9" ht="13.5" customHeight="1">
      <c r="A37" s="331" t="s">
        <v>270</v>
      </c>
      <c r="B37" s="332">
        <v>25697</v>
      </c>
      <c r="C37" s="338">
        <f>B37/'- 44 -'!I37*100</f>
        <v>0.08478534016101513</v>
      </c>
      <c r="D37" s="332">
        <v>8226060</v>
      </c>
      <c r="E37" s="338">
        <f>D37/'- 44 -'!I37*100</f>
        <v>27.141273116897697</v>
      </c>
      <c r="F37" s="332">
        <v>202359</v>
      </c>
      <c r="G37" s="338">
        <f>F37/'- 44 -'!I37*100</f>
        <v>0.6676684690680958</v>
      </c>
      <c r="H37" s="332">
        <v>0</v>
      </c>
      <c r="I37" s="338">
        <f>H37/'- 44 -'!I37*100</f>
        <v>0</v>
      </c>
    </row>
    <row r="38" spans="1:9" ht="13.5" customHeight="1">
      <c r="A38" s="25" t="s">
        <v>271</v>
      </c>
      <c r="B38" s="26">
        <v>31114</v>
      </c>
      <c r="C38" s="78">
        <f>B38/'- 44 -'!I38*100</f>
        <v>0.040415545694038865</v>
      </c>
      <c r="D38" s="26">
        <v>23437146</v>
      </c>
      <c r="E38" s="78">
        <f>D38/'- 44 -'!I38*100</f>
        <v>30.44369239251977</v>
      </c>
      <c r="F38" s="26">
        <v>815366</v>
      </c>
      <c r="G38" s="78">
        <f>F38/'- 44 -'!I38*100</f>
        <v>1.0591200691124796</v>
      </c>
      <c r="H38" s="26">
        <v>135972</v>
      </c>
      <c r="I38" s="78">
        <f>H38/'- 44 -'!I38*100</f>
        <v>0.17662089667383982</v>
      </c>
    </row>
    <row r="39" spans="1:9" ht="13.5" customHeight="1">
      <c r="A39" s="331" t="s">
        <v>272</v>
      </c>
      <c r="B39" s="332">
        <v>14635</v>
      </c>
      <c r="C39" s="338">
        <f>B39/'- 44 -'!I39*100</f>
        <v>0.08751873938569918</v>
      </c>
      <c r="D39" s="332">
        <v>6391954</v>
      </c>
      <c r="E39" s="338">
        <f>D39/'- 44 -'!I39*100</f>
        <v>38.224513583285095</v>
      </c>
      <c r="F39" s="332">
        <v>75400</v>
      </c>
      <c r="G39" s="338">
        <f>F39/'- 44 -'!I39*100</f>
        <v>0.4508994157623313</v>
      </c>
      <c r="H39" s="332">
        <v>0</v>
      </c>
      <c r="I39" s="338">
        <f>H39/'- 44 -'!I39*100</f>
        <v>0</v>
      </c>
    </row>
    <row r="40" spans="1:9" ht="13.5" customHeight="1">
      <c r="A40" s="25" t="s">
        <v>273</v>
      </c>
      <c r="B40" s="26">
        <v>9678</v>
      </c>
      <c r="C40" s="78">
        <f>B40/'- 44 -'!I40*100</f>
        <v>0.012022835934564616</v>
      </c>
      <c r="D40" s="26">
        <v>31356207</v>
      </c>
      <c r="E40" s="78">
        <f>D40/'- 44 -'!I40*100</f>
        <v>38.95335113569401</v>
      </c>
      <c r="F40" s="26">
        <v>766171</v>
      </c>
      <c r="G40" s="78">
        <f>F40/'- 44 -'!I40*100</f>
        <v>0.9518028756789942</v>
      </c>
      <c r="H40" s="26">
        <v>27980</v>
      </c>
      <c r="I40" s="78">
        <f>H40/'- 44 -'!I40*100</f>
        <v>0.034759139228055166</v>
      </c>
    </row>
    <row r="41" spans="1:9" ht="13.5" customHeight="1">
      <c r="A41" s="331" t="s">
        <v>274</v>
      </c>
      <c r="B41" s="332">
        <v>15870</v>
      </c>
      <c r="C41" s="338">
        <f>B41/'- 44 -'!I41*100</f>
        <v>0.03276780682529259</v>
      </c>
      <c r="D41" s="332">
        <v>18365102</v>
      </c>
      <c r="E41" s="338">
        <f>D41/'- 44 -'!I41*100</f>
        <v>37.91960394850627</v>
      </c>
      <c r="F41" s="332">
        <v>102425</v>
      </c>
      <c r="G41" s="338">
        <f>F41/'- 44 -'!I41*100</f>
        <v>0.21148346654572106</v>
      </c>
      <c r="H41" s="332">
        <v>532874</v>
      </c>
      <c r="I41" s="338">
        <f>H41/'- 44 -'!I41*100</f>
        <v>1.1002591237694366</v>
      </c>
    </row>
    <row r="42" spans="1:9" ht="13.5" customHeight="1">
      <c r="A42" s="25" t="s">
        <v>275</v>
      </c>
      <c r="B42" s="26">
        <v>5261</v>
      </c>
      <c r="C42" s="78">
        <f>B42/'- 44 -'!I42*100</f>
        <v>0.031117643917032943</v>
      </c>
      <c r="D42" s="26">
        <v>4290615</v>
      </c>
      <c r="E42" s="78">
        <f>D42/'- 44 -'!I42*100</f>
        <v>25.378032646850468</v>
      </c>
      <c r="F42" s="26">
        <v>62380</v>
      </c>
      <c r="G42" s="78">
        <f>F42/'- 44 -'!I42*100</f>
        <v>0.36896381439736076</v>
      </c>
      <c r="H42" s="26">
        <v>416800</v>
      </c>
      <c r="I42" s="78">
        <f>H42/'- 44 -'!I42*100</f>
        <v>2.4652792215585118</v>
      </c>
    </row>
    <row r="43" spans="1:9" ht="13.5" customHeight="1">
      <c r="A43" s="331" t="s">
        <v>276</v>
      </c>
      <c r="B43" s="332">
        <v>0</v>
      </c>
      <c r="C43" s="338">
        <f>B43/'- 44 -'!I43*100</f>
        <v>0</v>
      </c>
      <c r="D43" s="332">
        <v>3449553</v>
      </c>
      <c r="E43" s="338">
        <f>D43/'- 44 -'!I43*100</f>
        <v>34.073626943818944</v>
      </c>
      <c r="F43" s="332">
        <v>31200</v>
      </c>
      <c r="G43" s="338">
        <f>F43/'- 44 -'!I43*100</f>
        <v>0.3081840344668283</v>
      </c>
      <c r="H43" s="332">
        <v>0</v>
      </c>
      <c r="I43" s="338">
        <f>H43/'- 44 -'!I43*100</f>
        <v>0</v>
      </c>
    </row>
    <row r="44" spans="1:9" ht="13.5" customHeight="1">
      <c r="A44" s="25" t="s">
        <v>277</v>
      </c>
      <c r="B44" s="26">
        <v>9734</v>
      </c>
      <c r="C44" s="78">
        <f>B44/'- 44 -'!I44*100</f>
        <v>0.12028767711198853</v>
      </c>
      <c r="D44" s="26">
        <v>2053989</v>
      </c>
      <c r="E44" s="78">
        <f>D44/'- 44 -'!I44*100</f>
        <v>25.38212098043725</v>
      </c>
      <c r="F44" s="26">
        <v>32500</v>
      </c>
      <c r="G44" s="78">
        <f>F44/'- 44 -'!I44*100</f>
        <v>0.40161798912467916</v>
      </c>
      <c r="H44" s="26">
        <v>107464</v>
      </c>
      <c r="I44" s="78">
        <f>H44/'- 44 -'!I44*100</f>
        <v>1.32798386410137</v>
      </c>
    </row>
    <row r="45" spans="1:9" ht="13.5" customHeight="1">
      <c r="A45" s="331" t="s">
        <v>278</v>
      </c>
      <c r="B45" s="332">
        <v>137242.01</v>
      </c>
      <c r="C45" s="338">
        <f>B45/'- 44 -'!I45*100</f>
        <v>1.1022172115709743</v>
      </c>
      <c r="D45" s="332">
        <v>3799942.47</v>
      </c>
      <c r="E45" s="338">
        <f>D45/'- 44 -'!I45*100</f>
        <v>30.51807528477265</v>
      </c>
      <c r="F45" s="332">
        <v>16900</v>
      </c>
      <c r="G45" s="338">
        <f>F45/'- 44 -'!I45*100</f>
        <v>0.13572717913086135</v>
      </c>
      <c r="H45" s="332">
        <v>0</v>
      </c>
      <c r="I45" s="338">
        <f>H45/'- 44 -'!I45*100</f>
        <v>0</v>
      </c>
    </row>
    <row r="46" spans="1:9" ht="13.5" customHeight="1">
      <c r="A46" s="25" t="s">
        <v>279</v>
      </c>
      <c r="B46" s="26">
        <v>9822</v>
      </c>
      <c r="C46" s="78">
        <f>B46/'- 44 -'!I46*100</f>
        <v>0.0033731858192216036</v>
      </c>
      <c r="D46" s="26">
        <v>107181823</v>
      </c>
      <c r="E46" s="78">
        <f>D46/'- 44 -'!I46*100</f>
        <v>36.809631991643236</v>
      </c>
      <c r="F46" s="26">
        <v>2183800</v>
      </c>
      <c r="G46" s="78">
        <f>F46/'- 44 -'!I46*100</f>
        <v>0.7499860712702237</v>
      </c>
      <c r="H46" s="26">
        <v>2491990</v>
      </c>
      <c r="I46" s="78">
        <f>H46/'- 44 -'!I46*100</f>
        <v>0.8558282762820243</v>
      </c>
    </row>
    <row r="47" spans="1:9" ht="4.5" customHeight="1">
      <c r="A47" s="27"/>
      <c r="B47" s="28"/>
      <c r="C47"/>
      <c r="D47" s="28"/>
      <c r="E47"/>
      <c r="F47" s="28"/>
      <c r="G47"/>
      <c r="H47" s="28"/>
      <c r="I47"/>
    </row>
    <row r="48" spans="1:9" ht="13.5" customHeight="1">
      <c r="A48" s="333" t="s">
        <v>280</v>
      </c>
      <c r="B48" s="334">
        <f>SUM(B11:B46)</f>
        <v>994714.01</v>
      </c>
      <c r="C48" s="341">
        <f>B48/'- 44 -'!I48*100</f>
        <v>0.06090269094735335</v>
      </c>
      <c r="D48" s="334">
        <f>SUM(D11:D46)</f>
        <v>521826288.47</v>
      </c>
      <c r="E48" s="341">
        <f>D48/'- 44 -'!I48*100</f>
        <v>31.949509965073148</v>
      </c>
      <c r="F48" s="334">
        <f>SUM(F11:F46)</f>
        <v>9984984</v>
      </c>
      <c r="G48" s="341">
        <f>F48/'- 44 -'!I48*100</f>
        <v>0.6113439526867306</v>
      </c>
      <c r="H48" s="334">
        <f>SUM(H11:H46)</f>
        <v>57138754</v>
      </c>
      <c r="I48" s="341">
        <f>H48/'- 44 -'!I48*100</f>
        <v>3.49839636417592</v>
      </c>
    </row>
    <row r="49" spans="1:9" ht="4.5" customHeight="1">
      <c r="A49" s="27" t="s">
        <v>32</v>
      </c>
      <c r="B49" s="28"/>
      <c r="C49"/>
      <c r="D49" s="28"/>
      <c r="E49"/>
      <c r="F49" s="28"/>
      <c r="G49"/>
      <c r="H49" s="28"/>
      <c r="I49"/>
    </row>
    <row r="50" spans="1:9" ht="13.5" customHeight="1">
      <c r="A50" s="25" t="s">
        <v>281</v>
      </c>
      <c r="B50" s="26">
        <v>0</v>
      </c>
      <c r="C50" s="78">
        <f>B50/'- 44 -'!I50*100</f>
        <v>0</v>
      </c>
      <c r="D50" s="26">
        <v>1583423</v>
      </c>
      <c r="E50" s="78">
        <f>D50/'- 44 -'!I50*100</f>
        <v>57.25837130252405</v>
      </c>
      <c r="F50" s="26">
        <v>47450</v>
      </c>
      <c r="G50" s="78">
        <f>F50/'- 44 -'!I50*100</f>
        <v>1.7158458089245678</v>
      </c>
      <c r="H50" s="26">
        <v>0</v>
      </c>
      <c r="I50" s="78">
        <f>H50/'- 44 -'!I50*100</f>
        <v>0</v>
      </c>
    </row>
    <row r="51" spans="1:9" ht="13.5" customHeight="1">
      <c r="A51" s="331" t="s">
        <v>282</v>
      </c>
      <c r="B51" s="332">
        <v>0</v>
      </c>
      <c r="C51" s="338">
        <f>B51/'- 44 -'!I51*100</f>
        <v>0</v>
      </c>
      <c r="D51" s="332">
        <v>0</v>
      </c>
      <c r="E51" s="338">
        <f>D51/'- 44 -'!I51*100</f>
        <v>0</v>
      </c>
      <c r="F51" s="332">
        <v>1765522</v>
      </c>
      <c r="G51" s="338">
        <f>F51/'- 44 -'!I51*100</f>
        <v>15.846309852844321</v>
      </c>
      <c r="H51" s="332">
        <v>25000</v>
      </c>
      <c r="I51" s="338">
        <f>H51/'- 44 -'!I51*100</f>
        <v>0.22438561871282714</v>
      </c>
    </row>
    <row r="52" spans="1:9" ht="49.5" customHeight="1">
      <c r="A52" s="29"/>
      <c r="B52" s="29"/>
      <c r="C52" s="29"/>
      <c r="D52" s="29"/>
      <c r="E52" s="29"/>
      <c r="F52" s="29"/>
      <c r="G52" s="29"/>
      <c r="H52" s="29"/>
      <c r="I52" s="29"/>
    </row>
    <row r="53" ht="15" customHeight="1">
      <c r="A53" s="522" t="s">
        <v>567</v>
      </c>
    </row>
    <row r="54" ht="12">
      <c r="A54" s="153" t="s">
        <v>566</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1"/>
  <sheetViews>
    <sheetView showGridLines="0" showZeros="0" workbookViewId="0" topLeftCell="A1">
      <selection activeCell="A1" sqref="A1"/>
    </sheetView>
  </sheetViews>
  <sheetFormatPr defaultColWidth="15.83203125" defaultRowHeight="12"/>
  <cols>
    <col min="1" max="1" width="35.83203125" style="1" customWidth="1"/>
    <col min="2" max="2" width="15.83203125" style="1" customWidth="1"/>
    <col min="3" max="3" width="8.83203125" style="1" customWidth="1"/>
    <col min="4" max="4" width="13.83203125" style="1" customWidth="1"/>
    <col min="5" max="5" width="8.83203125" style="1" customWidth="1"/>
    <col min="6" max="6" width="15.83203125" style="1" customWidth="1"/>
    <col min="7" max="7" width="8.83203125" style="1" customWidth="1"/>
    <col min="8" max="8" width="4.83203125" style="1" customWidth="1"/>
    <col min="9" max="9" width="19.83203125" style="1" customWidth="1"/>
    <col min="10" max="16384" width="15.83203125" style="1" customWidth="1"/>
  </cols>
  <sheetData>
    <row r="1" ht="6.75" customHeight="1">
      <c r="A1" s="5"/>
    </row>
    <row r="2" spans="1:9" ht="15.75" customHeight="1">
      <c r="A2" s="244"/>
      <c r="B2" s="234" t="str">
        <f>REVYEAR</f>
        <v>ANALYSIS OF OPERATING FUND REVENUE: 2006/2007 ACTUAL</v>
      </c>
      <c r="C2" s="47"/>
      <c r="D2" s="47"/>
      <c r="E2" s="47"/>
      <c r="F2" s="47"/>
      <c r="G2" s="245"/>
      <c r="H2" s="48"/>
      <c r="I2" s="246" t="s">
        <v>34</v>
      </c>
    </row>
    <row r="3" ht="15.75" customHeight="1">
      <c r="A3" s="235"/>
    </row>
    <row r="4" spans="2:9" ht="15.75" customHeight="1">
      <c r="B4" s="49"/>
      <c r="C4" s="6"/>
      <c r="D4" s="6"/>
      <c r="E4" s="6"/>
      <c r="F4" s="6"/>
      <c r="G4" s="6"/>
      <c r="H4" s="6"/>
      <c r="I4" s="6"/>
    </row>
    <row r="5" spans="2:9" ht="15.75" customHeight="1">
      <c r="B5" s="6"/>
      <c r="C5" s="6"/>
      <c r="D5" s="6"/>
      <c r="E5" s="6"/>
      <c r="F5" s="6"/>
      <c r="G5" s="6"/>
      <c r="H5" s="6"/>
      <c r="I5" s="6"/>
    </row>
    <row r="6" spans="2:9" ht="15.75" customHeight="1">
      <c r="B6" s="359" t="s">
        <v>126</v>
      </c>
      <c r="C6" s="360"/>
      <c r="D6" s="361"/>
      <c r="E6" s="361"/>
      <c r="F6" s="359" t="s">
        <v>83</v>
      </c>
      <c r="G6" s="360"/>
      <c r="H6" s="6"/>
      <c r="I6" s="418" t="s">
        <v>83</v>
      </c>
    </row>
    <row r="7" spans="2:9" ht="15.75" customHeight="1">
      <c r="B7" s="395" t="s">
        <v>132</v>
      </c>
      <c r="C7" s="396"/>
      <c r="D7" s="438"/>
      <c r="E7" s="438"/>
      <c r="F7" s="395" t="s">
        <v>133</v>
      </c>
      <c r="G7" s="396"/>
      <c r="H7" s="6"/>
      <c r="I7" s="419" t="s">
        <v>134</v>
      </c>
    </row>
    <row r="8" spans="1:9" ht="15.75" customHeight="1">
      <c r="A8" s="74"/>
      <c r="B8" s="346" t="s">
        <v>151</v>
      </c>
      <c r="C8" s="347"/>
      <c r="D8" s="346" t="s">
        <v>74</v>
      </c>
      <c r="E8" s="346"/>
      <c r="F8" s="345" t="s">
        <v>152</v>
      </c>
      <c r="G8" s="347"/>
      <c r="H8" s="6"/>
      <c r="I8" s="348" t="s">
        <v>147</v>
      </c>
    </row>
    <row r="9" spans="1:9" ht="15.75" customHeight="1">
      <c r="A9" s="41" t="s">
        <v>108</v>
      </c>
      <c r="B9" s="194" t="s">
        <v>152</v>
      </c>
      <c r="C9" s="236" t="s">
        <v>110</v>
      </c>
      <c r="D9" s="247" t="s">
        <v>152</v>
      </c>
      <c r="E9" s="247" t="s">
        <v>110</v>
      </c>
      <c r="F9" s="236" t="s">
        <v>152</v>
      </c>
      <c r="G9" s="247" t="s">
        <v>110</v>
      </c>
      <c r="H9" s="6"/>
      <c r="I9" s="247" t="s">
        <v>152</v>
      </c>
    </row>
    <row r="10" spans="1:9" ht="4.5" customHeight="1">
      <c r="A10" s="4"/>
      <c r="B10" s="237"/>
      <c r="C10" s="237"/>
      <c r="D10" s="237"/>
      <c r="E10" s="237"/>
      <c r="F10" s="237"/>
      <c r="G10" s="5"/>
      <c r="H10" s="5"/>
      <c r="I10" s="237"/>
    </row>
    <row r="11" spans="1:9" ht="13.5" customHeight="1">
      <c r="A11" s="331" t="s">
        <v>245</v>
      </c>
      <c r="B11" s="332">
        <v>50348</v>
      </c>
      <c r="C11" s="338">
        <f>B11/I11*100</f>
        <v>0.39571961346050305</v>
      </c>
      <c r="D11" s="332">
        <v>106125</v>
      </c>
      <c r="E11" s="338">
        <f>D11/I11*100</f>
        <v>0.8341094776057816</v>
      </c>
      <c r="F11" s="332">
        <f>SUM('- 43 -'!B11,'- 43 -'!D11,'- 43 -'!F11,'- 43 -'!H11,B11,D11)</f>
        <v>4744743</v>
      </c>
      <c r="G11" s="338">
        <f>F11/I11*100</f>
        <v>37.292203581660196</v>
      </c>
      <c r="I11" s="332">
        <f>SUM('- 42 -'!G11,F11)</f>
        <v>12723150</v>
      </c>
    </row>
    <row r="12" spans="1:9" ht="13.5" customHeight="1">
      <c r="A12" s="25" t="s">
        <v>246</v>
      </c>
      <c r="B12" s="26">
        <v>207079</v>
      </c>
      <c r="C12" s="78">
        <f aca="true" t="shared" si="0" ref="C12:C46">B12/I12*100</f>
        <v>0.8802063470716123</v>
      </c>
      <c r="D12" s="26">
        <v>172612</v>
      </c>
      <c r="E12" s="78">
        <f aca="true" t="shared" si="1" ref="E12:E46">D12/I12*100</f>
        <v>0.7337015244458643</v>
      </c>
      <c r="F12" s="26">
        <f>SUM('- 43 -'!B12,'- 43 -'!D12,'- 43 -'!F12,'- 43 -'!H12,B12,D12)</f>
        <v>9192341</v>
      </c>
      <c r="G12" s="78">
        <f aca="true" t="shared" si="2" ref="G12:G46">F12/I12*100</f>
        <v>39.07280261468624</v>
      </c>
      <c r="I12" s="26">
        <f>SUM('- 42 -'!G12,F12)</f>
        <v>23526188</v>
      </c>
    </row>
    <row r="13" spans="1:9" ht="13.5" customHeight="1">
      <c r="A13" s="331" t="s">
        <v>247</v>
      </c>
      <c r="B13" s="332">
        <v>711820</v>
      </c>
      <c r="C13" s="338">
        <f t="shared" si="0"/>
        <v>1.305581823583545</v>
      </c>
      <c r="D13" s="332">
        <v>213029</v>
      </c>
      <c r="E13" s="338">
        <f t="shared" si="1"/>
        <v>0.3907262935800891</v>
      </c>
      <c r="F13" s="332">
        <f>SUM('- 43 -'!B13,'- 43 -'!D13,'- 43 -'!F13,'- 43 -'!H13,B13,D13)</f>
        <v>20131935</v>
      </c>
      <c r="G13" s="338">
        <f t="shared" si="2"/>
        <v>36.92490855773284</v>
      </c>
      <c r="I13" s="332">
        <f>SUM('- 42 -'!G13,F13)</f>
        <v>54521286</v>
      </c>
    </row>
    <row r="14" spans="1:9" ht="13.5" customHeight="1">
      <c r="A14" s="25" t="s">
        <v>283</v>
      </c>
      <c r="B14" s="26">
        <v>152727</v>
      </c>
      <c r="C14" s="78">
        <f t="shared" si="0"/>
        <v>0.3027933007633979</v>
      </c>
      <c r="D14" s="26">
        <v>94013</v>
      </c>
      <c r="E14" s="78">
        <f t="shared" si="1"/>
        <v>0.18638817356897813</v>
      </c>
      <c r="F14" s="26">
        <f>SUM('- 43 -'!B14,'- 43 -'!D14,'- 43 -'!F14,'- 43 -'!H14,B14,D14)</f>
        <v>13663378</v>
      </c>
      <c r="G14" s="78">
        <f t="shared" si="2"/>
        <v>27.088722519253267</v>
      </c>
      <c r="I14" s="26">
        <f>SUM('- 42 -'!G14,F14)</f>
        <v>50439359</v>
      </c>
    </row>
    <row r="15" spans="1:9" ht="13.5" customHeight="1">
      <c r="A15" s="331" t="s">
        <v>248</v>
      </c>
      <c r="B15" s="332">
        <v>140079</v>
      </c>
      <c r="C15" s="338">
        <f t="shared" si="0"/>
        <v>0.9453772154905832</v>
      </c>
      <c r="D15" s="332">
        <v>25917</v>
      </c>
      <c r="E15" s="338">
        <f t="shared" si="1"/>
        <v>0.1749108809590977</v>
      </c>
      <c r="F15" s="332">
        <f>SUM('- 43 -'!B15,'- 43 -'!D15,'- 43 -'!F15,'- 43 -'!H15,B15,D15)</f>
        <v>5651165</v>
      </c>
      <c r="G15" s="338">
        <f t="shared" si="2"/>
        <v>38.1390688966786</v>
      </c>
      <c r="I15" s="332">
        <f>SUM('- 42 -'!G15,F15)</f>
        <v>14817260</v>
      </c>
    </row>
    <row r="16" spans="1:9" ht="13.5" customHeight="1">
      <c r="A16" s="25" t="s">
        <v>249</v>
      </c>
      <c r="B16" s="26">
        <v>322753</v>
      </c>
      <c r="C16" s="78">
        <f t="shared" si="0"/>
        <v>2.9427938054834564</v>
      </c>
      <c r="D16" s="26">
        <v>68314</v>
      </c>
      <c r="E16" s="78">
        <f t="shared" si="1"/>
        <v>0.6228726488299005</v>
      </c>
      <c r="F16" s="26">
        <f>SUM('- 43 -'!B16,'- 43 -'!D16,'- 43 -'!F16,'- 43 -'!H16,B16,D16)</f>
        <v>3534398</v>
      </c>
      <c r="G16" s="78">
        <f t="shared" si="2"/>
        <v>32.22589577947569</v>
      </c>
      <c r="I16" s="26">
        <f>SUM('- 42 -'!G16,F16)</f>
        <v>10967571</v>
      </c>
    </row>
    <row r="17" spans="1:9" ht="13.5" customHeight="1">
      <c r="A17" s="331" t="s">
        <v>250</v>
      </c>
      <c r="B17" s="332">
        <v>15200</v>
      </c>
      <c r="C17" s="338">
        <f t="shared" si="0"/>
        <v>0.11002410034487489</v>
      </c>
      <c r="D17" s="332">
        <v>84293</v>
      </c>
      <c r="E17" s="338">
        <f t="shared" si="1"/>
        <v>0.6101487822612196</v>
      </c>
      <c r="F17" s="332">
        <f>SUM('- 43 -'!B17,'- 43 -'!D17,'- 43 -'!F17,'- 43 -'!H17,B17,D17)</f>
        <v>5609275</v>
      </c>
      <c r="G17" s="338">
        <f t="shared" si="2"/>
        <v>40.60233128039461</v>
      </c>
      <c r="I17" s="332">
        <f>SUM('- 42 -'!G17,F17)</f>
        <v>13815155</v>
      </c>
    </row>
    <row r="18" spans="1:9" ht="13.5" customHeight="1">
      <c r="A18" s="25" t="s">
        <v>251</v>
      </c>
      <c r="B18" s="26">
        <v>3250706</v>
      </c>
      <c r="C18" s="78">
        <f t="shared" si="0"/>
        <v>3.53981354569925</v>
      </c>
      <c r="D18" s="26">
        <v>606655</v>
      </c>
      <c r="E18" s="78">
        <f t="shared" si="1"/>
        <v>0.6606089835765456</v>
      </c>
      <c r="F18" s="26">
        <f>SUM('- 43 -'!B18,'- 43 -'!D18,'- 43 -'!F18,'- 43 -'!H18,B18,D18)</f>
        <v>53414784</v>
      </c>
      <c r="G18" s="78">
        <f t="shared" si="2"/>
        <v>58.16532653023667</v>
      </c>
      <c r="I18" s="26">
        <f>SUM('- 42 -'!G18,F18)</f>
        <v>91832690</v>
      </c>
    </row>
    <row r="19" spans="1:9" ht="13.5" customHeight="1">
      <c r="A19" s="331" t="s">
        <v>252</v>
      </c>
      <c r="B19" s="332">
        <v>15000</v>
      </c>
      <c r="C19" s="338">
        <f t="shared" si="0"/>
        <v>0.058119648052209115</v>
      </c>
      <c r="D19" s="332">
        <v>226628</v>
      </c>
      <c r="E19" s="338">
        <f t="shared" si="1"/>
        <v>0.8781026399184031</v>
      </c>
      <c r="F19" s="332">
        <f>SUM('- 43 -'!B19,'- 43 -'!D19,'- 43 -'!F19,'- 43 -'!H19,B19,D19)</f>
        <v>8274108</v>
      </c>
      <c r="G19" s="338">
        <f t="shared" si="2"/>
        <v>32.05921632706452</v>
      </c>
      <c r="I19" s="332">
        <f>SUM('- 42 -'!G19,F19)</f>
        <v>25808828</v>
      </c>
    </row>
    <row r="20" spans="1:9" ht="13.5" customHeight="1">
      <c r="A20" s="25" t="s">
        <v>253</v>
      </c>
      <c r="B20" s="26">
        <v>395797</v>
      </c>
      <c r="C20" s="78">
        <f t="shared" si="0"/>
        <v>0.809814750914092</v>
      </c>
      <c r="D20" s="26">
        <v>113860</v>
      </c>
      <c r="E20" s="78">
        <f t="shared" si="1"/>
        <v>0.23296161299625442</v>
      </c>
      <c r="F20" s="26">
        <f>SUM('- 43 -'!B20,'- 43 -'!D20,'- 43 -'!F20,'- 43 -'!H20,B20,D20)</f>
        <v>14556183</v>
      </c>
      <c r="G20" s="78">
        <f t="shared" si="2"/>
        <v>29.782468564453346</v>
      </c>
      <c r="I20" s="26">
        <f>SUM('- 42 -'!G20,F20)</f>
        <v>48875005</v>
      </c>
    </row>
    <row r="21" spans="1:9" ht="13.5" customHeight="1">
      <c r="A21" s="331" t="s">
        <v>254</v>
      </c>
      <c r="B21" s="332">
        <v>187301</v>
      </c>
      <c r="C21" s="338">
        <f t="shared" si="0"/>
        <v>0.6776315770432237</v>
      </c>
      <c r="D21" s="332">
        <v>155615</v>
      </c>
      <c r="E21" s="338">
        <f t="shared" si="1"/>
        <v>0.5629955945861542</v>
      </c>
      <c r="F21" s="332">
        <f>SUM('- 43 -'!B21,'- 43 -'!D21,'- 43 -'!F21,'- 43 -'!H21,B21,D21)</f>
        <v>9382246</v>
      </c>
      <c r="G21" s="338">
        <f t="shared" si="2"/>
        <v>33.943791828060064</v>
      </c>
      <c r="I21" s="332">
        <f>SUM('- 42 -'!G21,F21)</f>
        <v>27640536</v>
      </c>
    </row>
    <row r="22" spans="1:9" ht="13.5" customHeight="1">
      <c r="A22" s="25" t="s">
        <v>255</v>
      </c>
      <c r="B22" s="26">
        <v>74949</v>
      </c>
      <c r="C22" s="78">
        <f t="shared" si="0"/>
        <v>0.4932500187068964</v>
      </c>
      <c r="D22" s="26">
        <v>91667</v>
      </c>
      <c r="E22" s="78">
        <f t="shared" si="1"/>
        <v>0.6032735522129057</v>
      </c>
      <c r="F22" s="26">
        <f>SUM('- 43 -'!B22,'- 43 -'!D22,'- 43 -'!F22,'- 43 -'!H22,B22,D22)</f>
        <v>3641173</v>
      </c>
      <c r="G22" s="78">
        <f t="shared" si="2"/>
        <v>23.963076897157347</v>
      </c>
      <c r="I22" s="26">
        <f>SUM('- 42 -'!G22,F22)</f>
        <v>15194931</v>
      </c>
    </row>
    <row r="23" spans="1:9" ht="13.5" customHeight="1">
      <c r="A23" s="331" t="s">
        <v>256</v>
      </c>
      <c r="B23" s="332">
        <v>231014</v>
      </c>
      <c r="C23" s="338">
        <f t="shared" si="0"/>
        <v>1.781770965294979</v>
      </c>
      <c r="D23" s="332">
        <v>90621</v>
      </c>
      <c r="E23" s="338">
        <f t="shared" si="1"/>
        <v>0.6989440754499566</v>
      </c>
      <c r="F23" s="332">
        <f>SUM('- 43 -'!B23,'- 43 -'!D23,'- 43 -'!F23,'- 43 -'!H23,B23,D23)</f>
        <v>4488943</v>
      </c>
      <c r="G23" s="338">
        <f t="shared" si="2"/>
        <v>34.622439775356206</v>
      </c>
      <c r="I23" s="332">
        <f>SUM('- 42 -'!G23,F23)</f>
        <v>12965415</v>
      </c>
    </row>
    <row r="24" spans="1:9" ht="13.5" customHeight="1">
      <c r="A24" s="25" t="s">
        <v>257</v>
      </c>
      <c r="B24" s="26">
        <v>600270</v>
      </c>
      <c r="C24" s="78">
        <f t="shared" si="0"/>
        <v>1.411213717146852</v>
      </c>
      <c r="D24" s="26">
        <v>180294</v>
      </c>
      <c r="E24" s="78">
        <f t="shared" si="1"/>
        <v>0.42386487067365447</v>
      </c>
      <c r="F24" s="26">
        <f>SUM('- 43 -'!B24,'- 43 -'!D24,'- 43 -'!F24,'- 43 -'!H24,B24,D24)</f>
        <v>16386450</v>
      </c>
      <c r="G24" s="78">
        <f t="shared" si="2"/>
        <v>38.523969239410654</v>
      </c>
      <c r="I24" s="26">
        <f>SUM('- 42 -'!G24,F24)</f>
        <v>42535726</v>
      </c>
    </row>
    <row r="25" spans="1:9" ht="13.5" customHeight="1">
      <c r="A25" s="331" t="s">
        <v>258</v>
      </c>
      <c r="B25" s="332">
        <v>1245733</v>
      </c>
      <c r="C25" s="338">
        <f t="shared" si="0"/>
        <v>0.9899223614533792</v>
      </c>
      <c r="D25" s="332">
        <v>492806</v>
      </c>
      <c r="E25" s="338">
        <f t="shared" si="1"/>
        <v>0.39160853831310083</v>
      </c>
      <c r="F25" s="332">
        <f>SUM('- 43 -'!B25,'- 43 -'!D25,'- 43 -'!F25,'- 43 -'!H25,B25,D25)</f>
        <v>44115580</v>
      </c>
      <c r="G25" s="338">
        <f t="shared" si="2"/>
        <v>35.056468063770865</v>
      </c>
      <c r="I25" s="332">
        <f>SUM('- 42 -'!G25,F25)</f>
        <v>125841485</v>
      </c>
    </row>
    <row r="26" spans="1:9" ht="13.5" customHeight="1">
      <c r="A26" s="25" t="s">
        <v>259</v>
      </c>
      <c r="B26" s="26">
        <v>320645</v>
      </c>
      <c r="C26" s="78">
        <f t="shared" si="0"/>
        <v>1.042863852545826</v>
      </c>
      <c r="D26" s="26">
        <v>163977</v>
      </c>
      <c r="E26" s="78">
        <f t="shared" si="1"/>
        <v>0.5333177998999108</v>
      </c>
      <c r="F26" s="26">
        <f>SUM('- 43 -'!B26,'- 43 -'!D26,'- 43 -'!F26,'- 43 -'!H26,B26,D26)</f>
        <v>9913018</v>
      </c>
      <c r="G26" s="78">
        <f t="shared" si="2"/>
        <v>32.24103959779856</v>
      </c>
      <c r="I26" s="26">
        <f>SUM('- 42 -'!G26,F26)</f>
        <v>30746583</v>
      </c>
    </row>
    <row r="27" spans="1:9" ht="13.5" customHeight="1">
      <c r="A27" s="331" t="s">
        <v>260</v>
      </c>
      <c r="B27" s="332">
        <v>82370</v>
      </c>
      <c r="C27" s="338">
        <f t="shared" si="0"/>
        <v>0.25565019678733647</v>
      </c>
      <c r="D27" s="332">
        <v>208498</v>
      </c>
      <c r="E27" s="338">
        <f t="shared" si="1"/>
        <v>0.6471112629569755</v>
      </c>
      <c r="F27" s="332">
        <f>SUM('- 43 -'!B27,'- 43 -'!D27,'- 43 -'!F27,'- 43 -'!H27,B27,D27)</f>
        <v>8420069</v>
      </c>
      <c r="G27" s="338">
        <f t="shared" si="2"/>
        <v>26.133207439759026</v>
      </c>
      <c r="I27" s="332">
        <f>SUM('- 42 -'!G27,F27)</f>
        <v>32219807</v>
      </c>
    </row>
    <row r="28" spans="1:9" ht="13.5" customHeight="1">
      <c r="A28" s="25" t="s">
        <v>261</v>
      </c>
      <c r="B28" s="26">
        <v>1400</v>
      </c>
      <c r="C28" s="78">
        <f t="shared" si="0"/>
        <v>0.007766798975936459</v>
      </c>
      <c r="D28" s="26">
        <v>43886</v>
      </c>
      <c r="E28" s="78">
        <f t="shared" si="1"/>
        <v>0.24346695704139104</v>
      </c>
      <c r="F28" s="26">
        <f>SUM('- 43 -'!B28,'- 43 -'!D28,'- 43 -'!F28,'- 43 -'!H28,B28,D28)</f>
        <v>6824888</v>
      </c>
      <c r="G28" s="78">
        <f t="shared" si="2"/>
        <v>37.862523663772166</v>
      </c>
      <c r="I28" s="26">
        <f>SUM('- 42 -'!G28,F28)</f>
        <v>18025444</v>
      </c>
    </row>
    <row r="29" spans="1:9" ht="13.5" customHeight="1">
      <c r="A29" s="331" t="s">
        <v>262</v>
      </c>
      <c r="B29" s="332">
        <v>2049928</v>
      </c>
      <c r="C29" s="338">
        <f t="shared" si="0"/>
        <v>1.7198992358705922</v>
      </c>
      <c r="D29" s="332">
        <v>810764</v>
      </c>
      <c r="E29" s="338">
        <f t="shared" si="1"/>
        <v>0.680234810233035</v>
      </c>
      <c r="F29" s="332">
        <f>SUM('- 43 -'!B29,'- 43 -'!D29,'- 43 -'!F29,'- 43 -'!H29,B29,D29)</f>
        <v>55315280</v>
      </c>
      <c r="G29" s="338">
        <f t="shared" si="2"/>
        <v>46.409780150311555</v>
      </c>
      <c r="I29" s="332">
        <f>SUM('- 42 -'!G29,F29)</f>
        <v>119188843</v>
      </c>
    </row>
    <row r="30" spans="1:9" ht="13.5" customHeight="1">
      <c r="A30" s="25" t="s">
        <v>263</v>
      </c>
      <c r="B30" s="26">
        <v>25540</v>
      </c>
      <c r="C30" s="78">
        <f t="shared" si="0"/>
        <v>0.23633165159088493</v>
      </c>
      <c r="D30" s="26">
        <v>80711</v>
      </c>
      <c r="E30" s="78">
        <f t="shared" si="1"/>
        <v>0.7468505846339825</v>
      </c>
      <c r="F30" s="26">
        <f>SUM('- 43 -'!B30,'- 43 -'!D30,'- 43 -'!F30,'- 43 -'!H30,B30,D30)</f>
        <v>3280025</v>
      </c>
      <c r="G30" s="78">
        <f t="shared" si="2"/>
        <v>30.351359651894764</v>
      </c>
      <c r="I30" s="26">
        <f>SUM('- 42 -'!G30,F30)</f>
        <v>10806847</v>
      </c>
    </row>
    <row r="31" spans="1:9" ht="13.5" customHeight="1">
      <c r="A31" s="331" t="s">
        <v>264</v>
      </c>
      <c r="B31" s="332">
        <v>38572</v>
      </c>
      <c r="C31" s="338">
        <f t="shared" si="0"/>
        <v>0.13464504767773913</v>
      </c>
      <c r="D31" s="332">
        <v>98915.19</v>
      </c>
      <c r="E31" s="338">
        <f t="shared" si="1"/>
        <v>0.34528778579287117</v>
      </c>
      <c r="F31" s="332">
        <f>SUM('- 43 -'!B31,'- 43 -'!D31,'- 43 -'!F31,'- 43 -'!H31,B31,D31)</f>
        <v>10269492.19</v>
      </c>
      <c r="G31" s="338">
        <f t="shared" si="2"/>
        <v>35.848186911457006</v>
      </c>
      <c r="I31" s="332">
        <f>SUM('- 42 -'!G31,F31)</f>
        <v>28647173.189999998</v>
      </c>
    </row>
    <row r="32" spans="1:9" ht="13.5" customHeight="1">
      <c r="A32" s="25" t="s">
        <v>265</v>
      </c>
      <c r="B32" s="26">
        <v>69098</v>
      </c>
      <c r="C32" s="78">
        <f t="shared" si="0"/>
        <v>0.33353081889833563</v>
      </c>
      <c r="D32" s="26">
        <v>137706</v>
      </c>
      <c r="E32" s="78">
        <f t="shared" si="1"/>
        <v>0.6646964448640221</v>
      </c>
      <c r="F32" s="26">
        <f>SUM('- 43 -'!B32,'- 43 -'!D32,'- 43 -'!F32,'- 43 -'!H32,B32,D32)</f>
        <v>7806351</v>
      </c>
      <c r="G32" s="78">
        <f t="shared" si="2"/>
        <v>37.68066574485283</v>
      </c>
      <c r="I32" s="26">
        <f>SUM('- 42 -'!G32,F32)</f>
        <v>20717126</v>
      </c>
    </row>
    <row r="33" spans="1:9" ht="13.5" customHeight="1">
      <c r="A33" s="331" t="s">
        <v>266</v>
      </c>
      <c r="B33" s="332">
        <v>92874</v>
      </c>
      <c r="C33" s="338">
        <f t="shared" si="0"/>
        <v>0.3982594320963037</v>
      </c>
      <c r="D33" s="332">
        <v>123619</v>
      </c>
      <c r="E33" s="338">
        <f t="shared" si="1"/>
        <v>0.5300991960754675</v>
      </c>
      <c r="F33" s="332">
        <f>SUM('- 43 -'!B33,'- 43 -'!D33,'- 43 -'!F33,'- 43 -'!H33,B33,D33)</f>
        <v>8513356</v>
      </c>
      <c r="G33" s="338">
        <f t="shared" si="2"/>
        <v>36.50671152091715</v>
      </c>
      <c r="I33" s="332">
        <f>SUM('- 42 -'!G33,F33)</f>
        <v>23319975</v>
      </c>
    </row>
    <row r="34" spans="1:9" ht="13.5" customHeight="1">
      <c r="A34" s="25" t="s">
        <v>267</v>
      </c>
      <c r="B34" s="26">
        <v>117550</v>
      </c>
      <c r="C34" s="78">
        <f t="shared" si="0"/>
        <v>0.5813994896544028</v>
      </c>
      <c r="D34" s="26">
        <v>58460</v>
      </c>
      <c r="E34" s="78">
        <f t="shared" si="1"/>
        <v>0.2891417623581148</v>
      </c>
      <c r="F34" s="26">
        <f>SUM('- 43 -'!B34,'- 43 -'!D34,'- 43 -'!F34,'- 43 -'!H34,B34,D34)</f>
        <v>7858159</v>
      </c>
      <c r="G34" s="78">
        <f t="shared" si="2"/>
        <v>38.86626654379543</v>
      </c>
      <c r="I34" s="26">
        <f>SUM('- 42 -'!G34,F34)</f>
        <v>20218456</v>
      </c>
    </row>
    <row r="35" spans="1:9" ht="13.5" customHeight="1">
      <c r="A35" s="331" t="s">
        <v>268</v>
      </c>
      <c r="B35" s="332">
        <v>2603257</v>
      </c>
      <c r="C35" s="338">
        <f t="shared" si="0"/>
        <v>1.759261558830964</v>
      </c>
      <c r="D35" s="332">
        <v>455615</v>
      </c>
      <c r="E35" s="338">
        <f t="shared" si="1"/>
        <v>0.30790120035277724</v>
      </c>
      <c r="F35" s="332">
        <f>SUM('- 43 -'!B35,'- 43 -'!D35,'- 43 -'!F35,'- 43 -'!H35,B35,D35)</f>
        <v>49056520</v>
      </c>
      <c r="G35" s="338">
        <f t="shared" si="2"/>
        <v>33.15202834219686</v>
      </c>
      <c r="I35" s="332">
        <f>SUM('- 42 -'!G35,F35)</f>
        <v>147974415</v>
      </c>
    </row>
    <row r="36" spans="1:9" ht="13.5" customHeight="1">
      <c r="A36" s="25" t="s">
        <v>269</v>
      </c>
      <c r="B36" s="26">
        <v>40841</v>
      </c>
      <c r="C36" s="78">
        <f t="shared" si="0"/>
        <v>0.22418348079367134</v>
      </c>
      <c r="D36" s="26">
        <v>68204</v>
      </c>
      <c r="E36" s="78">
        <f t="shared" si="1"/>
        <v>0.3743838330122073</v>
      </c>
      <c r="F36" s="26">
        <f>SUM('- 43 -'!B36,'- 43 -'!D36,'- 43 -'!F36,'- 43 -'!H36,B36,D36)</f>
        <v>7103510</v>
      </c>
      <c r="G36" s="78">
        <f t="shared" si="2"/>
        <v>38.99242422204775</v>
      </c>
      <c r="I36" s="26">
        <f>SUM('- 42 -'!G36,F36)</f>
        <v>18217667</v>
      </c>
    </row>
    <row r="37" spans="1:9" ht="13.5" customHeight="1">
      <c r="A37" s="331" t="s">
        <v>270</v>
      </c>
      <c r="B37" s="332">
        <v>21705</v>
      </c>
      <c r="C37" s="338">
        <f t="shared" si="0"/>
        <v>0.07161403308537313</v>
      </c>
      <c r="D37" s="332">
        <v>101233</v>
      </c>
      <c r="E37" s="338">
        <f t="shared" si="1"/>
        <v>0.33401075380472606</v>
      </c>
      <c r="F37" s="332">
        <f>SUM('- 43 -'!B37,'- 43 -'!D37,'- 43 -'!F37,'- 43 -'!H37,B37,D37)</f>
        <v>8577054</v>
      </c>
      <c r="G37" s="338">
        <f t="shared" si="2"/>
        <v>28.299351713016907</v>
      </c>
      <c r="I37" s="332">
        <f>SUM('- 42 -'!G37,F37)</f>
        <v>30308305.6</v>
      </c>
    </row>
    <row r="38" spans="1:9" ht="13.5" customHeight="1">
      <c r="A38" s="25" t="s">
        <v>271</v>
      </c>
      <c r="B38" s="26">
        <v>721677</v>
      </c>
      <c r="C38" s="78">
        <f t="shared" si="0"/>
        <v>0.9374226962086804</v>
      </c>
      <c r="D38" s="26">
        <v>102253</v>
      </c>
      <c r="E38" s="78">
        <f t="shared" si="1"/>
        <v>0.13282158494094476</v>
      </c>
      <c r="F38" s="26">
        <f>SUM('- 43 -'!B38,'- 43 -'!D38,'- 43 -'!F38,'- 43 -'!H38,B38,D38)</f>
        <v>25243528</v>
      </c>
      <c r="G38" s="78">
        <f t="shared" si="2"/>
        <v>32.79009318514976</v>
      </c>
      <c r="I38" s="26">
        <f>SUM('- 42 -'!G38,F38)</f>
        <v>76985228</v>
      </c>
    </row>
    <row r="39" spans="1:9" ht="13.5" customHeight="1">
      <c r="A39" s="331" t="s">
        <v>272</v>
      </c>
      <c r="B39" s="332">
        <v>24459</v>
      </c>
      <c r="C39" s="338">
        <f t="shared" si="0"/>
        <v>0.1462672255985525</v>
      </c>
      <c r="D39" s="332">
        <v>96271</v>
      </c>
      <c r="E39" s="338">
        <f t="shared" si="1"/>
        <v>0.5757100484728832</v>
      </c>
      <c r="F39" s="332">
        <f>SUM('- 43 -'!B39,'- 43 -'!D39,'- 43 -'!F39,'- 43 -'!H39,B39,D39)</f>
        <v>6602719</v>
      </c>
      <c r="G39" s="338">
        <f t="shared" si="2"/>
        <v>39.484909012504566</v>
      </c>
      <c r="I39" s="332">
        <f>SUM('- 42 -'!G39,F39)</f>
        <v>16722133</v>
      </c>
    </row>
    <row r="40" spans="1:9" ht="13.5" customHeight="1">
      <c r="A40" s="25" t="s">
        <v>273</v>
      </c>
      <c r="B40" s="26">
        <v>2105564</v>
      </c>
      <c r="C40" s="78">
        <f t="shared" si="0"/>
        <v>2.6157109445883044</v>
      </c>
      <c r="D40" s="26">
        <v>1275100</v>
      </c>
      <c r="E40" s="78">
        <f t="shared" si="1"/>
        <v>1.584037828080527</v>
      </c>
      <c r="F40" s="26">
        <f>SUM('- 43 -'!B40,'- 43 -'!D40,'- 43 -'!F40,'- 43 -'!H40,B40,D40)</f>
        <v>35540700</v>
      </c>
      <c r="G40" s="78">
        <f t="shared" si="2"/>
        <v>44.15168475920444</v>
      </c>
      <c r="I40" s="26">
        <f>SUM('- 42 -'!G40,F40)</f>
        <v>80496815</v>
      </c>
    </row>
    <row r="41" spans="1:9" ht="13.5" customHeight="1">
      <c r="A41" s="331" t="s">
        <v>274</v>
      </c>
      <c r="B41" s="332">
        <v>357602</v>
      </c>
      <c r="C41" s="338">
        <f t="shared" si="0"/>
        <v>0.7383637842683225</v>
      </c>
      <c r="D41" s="332">
        <v>511467</v>
      </c>
      <c r="E41" s="338">
        <f t="shared" si="1"/>
        <v>1.0560587179276575</v>
      </c>
      <c r="F41" s="332">
        <f>SUM('- 43 -'!B41,'- 43 -'!D41,'- 43 -'!F41,'- 43 -'!H41,B41,D41)</f>
        <v>19885340</v>
      </c>
      <c r="G41" s="338">
        <f t="shared" si="2"/>
        <v>41.058536847842696</v>
      </c>
      <c r="I41" s="332">
        <f>SUM('- 42 -'!G41,F41)</f>
        <v>48431682</v>
      </c>
    </row>
    <row r="42" spans="1:9" ht="13.5" customHeight="1">
      <c r="A42" s="25" t="s">
        <v>275</v>
      </c>
      <c r="B42" s="26">
        <v>268051</v>
      </c>
      <c r="C42" s="78">
        <f t="shared" si="0"/>
        <v>1.5854619976439075</v>
      </c>
      <c r="D42" s="26">
        <v>193239</v>
      </c>
      <c r="E42" s="78">
        <f t="shared" si="1"/>
        <v>1.1429656705728053</v>
      </c>
      <c r="F42" s="26">
        <f>SUM('- 43 -'!B42,'- 43 -'!D42,'- 43 -'!F42,'- 43 -'!H42,B42,D42)</f>
        <v>5236346</v>
      </c>
      <c r="G42" s="78">
        <f t="shared" si="2"/>
        <v>30.971820994940085</v>
      </c>
      <c r="I42" s="26">
        <f>SUM('- 42 -'!G42,F42)</f>
        <v>16906807</v>
      </c>
    </row>
    <row r="43" spans="1:9" ht="13.5" customHeight="1">
      <c r="A43" s="331" t="s">
        <v>276</v>
      </c>
      <c r="B43" s="332">
        <v>132491</v>
      </c>
      <c r="C43" s="338">
        <f t="shared" si="0"/>
        <v>1.3087054779020688</v>
      </c>
      <c r="D43" s="332">
        <v>56780</v>
      </c>
      <c r="E43" s="338">
        <f t="shared" si="1"/>
        <v>0.5608554319559779</v>
      </c>
      <c r="F43" s="332">
        <f>SUM('- 43 -'!B43,'- 43 -'!D43,'- 43 -'!F43,'- 43 -'!H43,B43,D43)</f>
        <v>3670024</v>
      </c>
      <c r="G43" s="338">
        <f t="shared" si="2"/>
        <v>36.251371888143815</v>
      </c>
      <c r="I43" s="332">
        <f>SUM('- 42 -'!G43,F43)</f>
        <v>10123821</v>
      </c>
    </row>
    <row r="44" spans="1:9" ht="13.5" customHeight="1">
      <c r="A44" s="25" t="s">
        <v>277</v>
      </c>
      <c r="B44" s="26">
        <v>6479</v>
      </c>
      <c r="C44" s="78">
        <f t="shared" si="0"/>
        <v>0.08006409081657835</v>
      </c>
      <c r="D44" s="26">
        <v>27962</v>
      </c>
      <c r="E44" s="78">
        <f t="shared" si="1"/>
        <v>0.3455397603662855</v>
      </c>
      <c r="F44" s="26">
        <f>SUM('- 43 -'!B44,'- 43 -'!D44,'- 43 -'!F44,'- 43 -'!H44,B44,D44)</f>
        <v>2238128</v>
      </c>
      <c r="G44" s="78">
        <f t="shared" si="2"/>
        <v>27.65761436195815</v>
      </c>
      <c r="I44" s="26">
        <f>SUM('- 42 -'!G44,F44)</f>
        <v>8092267</v>
      </c>
    </row>
    <row r="45" spans="1:9" ht="13.5" customHeight="1">
      <c r="A45" s="331" t="s">
        <v>278</v>
      </c>
      <c r="B45" s="332">
        <v>256297.58</v>
      </c>
      <c r="C45" s="338">
        <f t="shared" si="0"/>
        <v>2.0583755947613174</v>
      </c>
      <c r="D45" s="332">
        <v>5669.69</v>
      </c>
      <c r="E45" s="338">
        <f t="shared" si="1"/>
        <v>0.045534380487955814</v>
      </c>
      <c r="F45" s="332">
        <f>SUM('- 43 -'!B45,'- 43 -'!D45,'- 43 -'!F45,'- 43 -'!H45,B45,D45)</f>
        <v>4216051.750000001</v>
      </c>
      <c r="G45" s="338">
        <f t="shared" si="2"/>
        <v>33.859929650723764</v>
      </c>
      <c r="I45" s="332">
        <f>SUM('- 42 -'!G45,F45)</f>
        <v>12451448.64</v>
      </c>
    </row>
    <row r="46" spans="1:9" ht="13.5" customHeight="1">
      <c r="A46" s="25" t="s">
        <v>279</v>
      </c>
      <c r="B46" s="26">
        <v>967011</v>
      </c>
      <c r="C46" s="78">
        <f t="shared" si="0"/>
        <v>0.3321021983538283</v>
      </c>
      <c r="D46" s="26">
        <v>1634521</v>
      </c>
      <c r="E46" s="78">
        <f t="shared" si="1"/>
        <v>0.5613462694379876</v>
      </c>
      <c r="F46" s="26">
        <f>SUM('- 43 -'!B46,'- 43 -'!D46,'- 43 -'!F46,'- 43 -'!H46,B46,D46)</f>
        <v>114468967</v>
      </c>
      <c r="G46" s="78">
        <f t="shared" si="2"/>
        <v>39.31226799280652</v>
      </c>
      <c r="I46" s="26">
        <f>SUM('- 42 -'!G46,F46)</f>
        <v>291178741</v>
      </c>
    </row>
    <row r="47" spans="1:9" ht="4.5" customHeight="1">
      <c r="A47" s="27"/>
      <c r="B47" s="28"/>
      <c r="C47"/>
      <c r="D47" s="28"/>
      <c r="E47"/>
      <c r="F47" s="28"/>
      <c r="G47"/>
      <c r="I47" s="28"/>
    </row>
    <row r="48" spans="1:9" ht="13.5" customHeight="1">
      <c r="A48" s="333" t="s">
        <v>280</v>
      </c>
      <c r="B48" s="334">
        <f>SUM(B11:B46)</f>
        <v>17904187.58</v>
      </c>
      <c r="C48" s="341">
        <f>B48/I48*100</f>
        <v>1.096207746031628</v>
      </c>
      <c r="D48" s="334">
        <f>SUM(D11:D46)</f>
        <v>8977299.879999999</v>
      </c>
      <c r="E48" s="341">
        <f>D48/I48*100</f>
        <v>0.5496471494689738</v>
      </c>
      <c r="F48" s="334">
        <f>SUM(F11:F46)</f>
        <v>616826227.94</v>
      </c>
      <c r="G48" s="341">
        <f>F48/I48*100</f>
        <v>37.76600786838375</v>
      </c>
      <c r="I48" s="334">
        <f>SUM(I11:I46)</f>
        <v>1633284169.43</v>
      </c>
    </row>
    <row r="49" spans="1:9" ht="4.5" customHeight="1">
      <c r="A49" s="27" t="s">
        <v>32</v>
      </c>
      <c r="B49" s="28"/>
      <c r="C49"/>
      <c r="D49" s="28"/>
      <c r="E49"/>
      <c r="F49" s="28"/>
      <c r="G49"/>
      <c r="I49" s="28"/>
    </row>
    <row r="50" spans="1:9" ht="13.5" customHeight="1">
      <c r="A50" s="25" t="s">
        <v>281</v>
      </c>
      <c r="B50" s="26">
        <v>805</v>
      </c>
      <c r="C50" s="78">
        <f>B50/I50*100</f>
        <v>0.029109712880595936</v>
      </c>
      <c r="D50" s="26">
        <v>26571</v>
      </c>
      <c r="E50" s="78">
        <f>D50/I50*100</f>
        <v>0.9608374918637449</v>
      </c>
      <c r="F50" s="26">
        <f>SUM('- 43 -'!B50,'- 43 -'!D50,'- 43 -'!F50,'- 43 -'!H50,B50,D50)</f>
        <v>1658249</v>
      </c>
      <c r="G50" s="78">
        <f>F50/I50*100</f>
        <v>59.96416431619296</v>
      </c>
      <c r="I50" s="26">
        <f>SUM('- 42 -'!G50,F50)</f>
        <v>2765400</v>
      </c>
    </row>
    <row r="51" spans="1:9" ht="13.5" customHeight="1">
      <c r="A51" s="331" t="s">
        <v>282</v>
      </c>
      <c r="B51" s="332">
        <v>2947899</v>
      </c>
      <c r="C51" s="338">
        <f>B51/I51*100</f>
        <v>26.458645640716977</v>
      </c>
      <c r="D51" s="332">
        <v>175534</v>
      </c>
      <c r="E51" s="338">
        <f>D51/I51*100</f>
        <v>1.575492207805496</v>
      </c>
      <c r="F51" s="332">
        <f>SUM('- 43 -'!B51,'- 43 -'!D51,'- 43 -'!F51,'- 43 -'!H51,B51,D51)</f>
        <v>4913955</v>
      </c>
      <c r="G51" s="338">
        <f>F51/I51*100</f>
        <v>44.10483332007962</v>
      </c>
      <c r="I51" s="332">
        <f>SUM('- 42 -'!G51,F51)</f>
        <v>11141534</v>
      </c>
    </row>
    <row r="52" ht="49.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H54"/>
  <sheetViews>
    <sheetView showGridLines="0" showZeros="0" workbookViewId="0" topLeftCell="A1">
      <selection activeCell="A1" sqref="A1"/>
    </sheetView>
  </sheetViews>
  <sheetFormatPr defaultColWidth="12.83203125" defaultRowHeight="12"/>
  <cols>
    <col min="1" max="1" width="29.83203125" style="1" customWidth="1"/>
    <col min="2" max="8" width="14.83203125" style="1" customWidth="1"/>
    <col min="9" max="16384" width="12.83203125" style="1" customWidth="1"/>
  </cols>
  <sheetData>
    <row r="1" spans="1:8" ht="6.75" customHeight="1">
      <c r="A1" s="5"/>
      <c r="B1" s="99"/>
      <c r="C1" s="99"/>
      <c r="D1" s="99"/>
      <c r="E1" s="99"/>
      <c r="F1" s="99"/>
      <c r="G1" s="99"/>
      <c r="H1" s="99"/>
    </row>
    <row r="2" spans="1:8" ht="15.75" customHeight="1">
      <c r="A2" s="70"/>
      <c r="B2" s="100" t="s">
        <v>188</v>
      </c>
      <c r="C2" s="101"/>
      <c r="D2" s="101"/>
      <c r="E2" s="101"/>
      <c r="F2" s="101"/>
      <c r="G2" s="101"/>
      <c r="H2" s="102" t="s">
        <v>189</v>
      </c>
    </row>
    <row r="3" spans="1:8" ht="15.75" customHeight="1">
      <c r="A3" s="72"/>
      <c r="B3" s="103" t="s">
        <v>629</v>
      </c>
      <c r="C3" s="104"/>
      <c r="D3" s="105"/>
      <c r="E3" s="104"/>
      <c r="F3" s="105"/>
      <c r="G3" s="104"/>
      <c r="H3" s="106"/>
    </row>
    <row r="4" spans="2:8" ht="15.75" customHeight="1">
      <c r="B4" s="99"/>
      <c r="C4" s="99"/>
      <c r="D4" s="99"/>
      <c r="E4" s="99"/>
      <c r="F4" s="99"/>
      <c r="G4" s="107"/>
      <c r="H4" s="99"/>
    </row>
    <row r="5" spans="2:8" ht="15.75" customHeight="1">
      <c r="B5" s="99"/>
      <c r="C5" s="99"/>
      <c r="D5" s="99"/>
      <c r="E5" s="99"/>
      <c r="F5" s="99"/>
      <c r="G5" s="99"/>
      <c r="H5" s="99"/>
    </row>
    <row r="6" spans="2:8" ht="15.75" customHeight="1">
      <c r="B6" s="335" t="s">
        <v>78</v>
      </c>
      <c r="C6" s="336"/>
      <c r="D6" s="336"/>
      <c r="E6" s="336"/>
      <c r="F6" s="336"/>
      <c r="G6" s="336"/>
      <c r="H6" s="337"/>
    </row>
    <row r="7" spans="2:8" ht="15.75" customHeight="1">
      <c r="B7" s="108" t="s">
        <v>372</v>
      </c>
      <c r="C7" s="109"/>
      <c r="D7" s="109"/>
      <c r="E7" s="110" t="s">
        <v>373</v>
      </c>
      <c r="F7" s="109"/>
      <c r="G7" s="109"/>
      <c r="H7" s="111"/>
    </row>
    <row r="8" spans="1:8" ht="15.75" customHeight="1">
      <c r="A8" s="112"/>
      <c r="B8" s="113" t="s">
        <v>97</v>
      </c>
      <c r="C8" s="114" t="s">
        <v>32</v>
      </c>
      <c r="D8" s="115" t="s">
        <v>98</v>
      </c>
      <c r="E8" s="116" t="s">
        <v>97</v>
      </c>
      <c r="F8" s="114" t="s">
        <v>32</v>
      </c>
      <c r="G8" s="115" t="s">
        <v>98</v>
      </c>
      <c r="H8" s="117" t="s">
        <v>74</v>
      </c>
    </row>
    <row r="9" spans="1:8" ht="15.75" customHeight="1">
      <c r="A9" s="118" t="s">
        <v>108</v>
      </c>
      <c r="B9" s="119" t="s">
        <v>112</v>
      </c>
      <c r="C9" s="120" t="s">
        <v>61</v>
      </c>
      <c r="D9" s="120" t="s">
        <v>113</v>
      </c>
      <c r="E9" s="121" t="s">
        <v>112</v>
      </c>
      <c r="F9" s="120" t="s">
        <v>61</v>
      </c>
      <c r="G9" s="120" t="s">
        <v>113</v>
      </c>
      <c r="H9" s="122" t="s">
        <v>114</v>
      </c>
    </row>
    <row r="10" spans="1:8" ht="4.5" customHeight="1">
      <c r="A10" s="4"/>
      <c r="B10" s="95"/>
      <c r="C10" s="95"/>
      <c r="D10" s="95"/>
      <c r="E10" s="95"/>
      <c r="F10" s="95"/>
      <c r="G10" s="95"/>
      <c r="H10" s="95"/>
    </row>
    <row r="11" spans="1:8" ht="13.5" customHeight="1">
      <c r="A11" s="331" t="s">
        <v>245</v>
      </c>
      <c r="B11" s="338">
        <v>1426.5</v>
      </c>
      <c r="C11" s="338">
        <v>0</v>
      </c>
      <c r="D11" s="339">
        <v>0</v>
      </c>
      <c r="E11" s="340">
        <v>0</v>
      </c>
      <c r="F11" s="338">
        <v>0</v>
      </c>
      <c r="G11" s="338">
        <v>0</v>
      </c>
      <c r="H11" s="338">
        <v>0</v>
      </c>
    </row>
    <row r="12" spans="1:8" ht="13.5" customHeight="1">
      <c r="A12" s="25" t="s">
        <v>246</v>
      </c>
      <c r="B12" s="78">
        <v>2304.19</v>
      </c>
      <c r="C12" s="78">
        <v>0</v>
      </c>
      <c r="D12" s="123">
        <v>16</v>
      </c>
      <c r="E12" s="124">
        <v>0</v>
      </c>
      <c r="F12" s="78">
        <v>0</v>
      </c>
      <c r="G12" s="78">
        <v>0</v>
      </c>
      <c r="H12" s="78">
        <v>0</v>
      </c>
    </row>
    <row r="13" spans="1:8" ht="13.5" customHeight="1">
      <c r="A13" s="331" t="s">
        <v>247</v>
      </c>
      <c r="B13" s="338">
        <v>5032.5</v>
      </c>
      <c r="C13" s="338">
        <v>0</v>
      </c>
      <c r="D13" s="339">
        <v>0</v>
      </c>
      <c r="E13" s="340">
        <v>642</v>
      </c>
      <c r="F13" s="338">
        <v>0</v>
      </c>
      <c r="G13" s="338">
        <v>494</v>
      </c>
      <c r="H13" s="338">
        <v>0</v>
      </c>
    </row>
    <row r="14" spans="1:8" ht="13.5" customHeight="1">
      <c r="A14" s="25" t="s">
        <v>283</v>
      </c>
      <c r="B14" s="78">
        <v>0</v>
      </c>
      <c r="C14" s="78">
        <v>4579</v>
      </c>
      <c r="D14" s="123">
        <v>0</v>
      </c>
      <c r="E14" s="124">
        <v>0</v>
      </c>
      <c r="F14" s="78">
        <v>0</v>
      </c>
      <c r="G14" s="78">
        <v>0</v>
      </c>
      <c r="H14" s="78">
        <v>0</v>
      </c>
    </row>
    <row r="15" spans="1:8" ht="13.5" customHeight="1">
      <c r="A15" s="331" t="s">
        <v>248</v>
      </c>
      <c r="B15" s="338">
        <v>1625</v>
      </c>
      <c r="C15" s="338">
        <v>0</v>
      </c>
      <c r="D15" s="339">
        <v>0</v>
      </c>
      <c r="E15" s="340">
        <v>0</v>
      </c>
      <c r="F15" s="338">
        <v>0</v>
      </c>
      <c r="G15" s="338">
        <v>0</v>
      </c>
      <c r="H15" s="338">
        <v>0</v>
      </c>
    </row>
    <row r="16" spans="1:8" ht="13.5" customHeight="1">
      <c r="A16" s="25" t="s">
        <v>249</v>
      </c>
      <c r="B16" s="78">
        <v>672</v>
      </c>
      <c r="C16" s="78">
        <v>0</v>
      </c>
      <c r="D16" s="123">
        <v>0</v>
      </c>
      <c r="E16" s="124">
        <v>311.5</v>
      </c>
      <c r="F16" s="78">
        <v>0</v>
      </c>
      <c r="G16" s="78">
        <v>113</v>
      </c>
      <c r="H16" s="78">
        <v>0</v>
      </c>
    </row>
    <row r="17" spans="1:8" ht="13.5" customHeight="1">
      <c r="A17" s="331" t="s">
        <v>250</v>
      </c>
      <c r="B17" s="338">
        <v>1427.6</v>
      </c>
      <c r="C17" s="338">
        <v>0</v>
      </c>
      <c r="D17" s="339">
        <v>0</v>
      </c>
      <c r="E17" s="340">
        <v>0</v>
      </c>
      <c r="F17" s="338">
        <v>0</v>
      </c>
      <c r="G17" s="338">
        <v>0</v>
      </c>
      <c r="H17" s="338">
        <v>0</v>
      </c>
    </row>
    <row r="18" spans="1:8" ht="13.5" customHeight="1">
      <c r="A18" s="25" t="s">
        <v>251</v>
      </c>
      <c r="B18" s="78">
        <v>5718.8</v>
      </c>
      <c r="C18" s="78">
        <v>0</v>
      </c>
      <c r="D18" s="123">
        <v>0</v>
      </c>
      <c r="E18" s="124">
        <v>0</v>
      </c>
      <c r="F18" s="78">
        <v>0</v>
      </c>
      <c r="G18" s="78">
        <v>0</v>
      </c>
      <c r="H18" s="78">
        <v>0</v>
      </c>
    </row>
    <row r="19" spans="1:8" ht="13.5" customHeight="1">
      <c r="A19" s="331" t="s">
        <v>252</v>
      </c>
      <c r="B19" s="338">
        <v>3262.94</v>
      </c>
      <c r="C19" s="338">
        <v>0</v>
      </c>
      <c r="D19" s="339">
        <v>0</v>
      </c>
      <c r="E19" s="340">
        <v>0</v>
      </c>
      <c r="F19" s="338">
        <v>0</v>
      </c>
      <c r="G19" s="338">
        <v>0</v>
      </c>
      <c r="H19" s="338">
        <v>0</v>
      </c>
    </row>
    <row r="20" spans="1:8" ht="13.5" customHeight="1">
      <c r="A20" s="25" t="s">
        <v>253</v>
      </c>
      <c r="B20" s="78">
        <v>6377.9</v>
      </c>
      <c r="C20" s="78">
        <v>0</v>
      </c>
      <c r="D20" s="123">
        <v>0</v>
      </c>
      <c r="E20" s="124">
        <v>0</v>
      </c>
      <c r="F20" s="78">
        <v>0</v>
      </c>
      <c r="G20" s="78">
        <v>0</v>
      </c>
      <c r="H20" s="78">
        <v>0</v>
      </c>
    </row>
    <row r="21" spans="1:8" ht="13.5" customHeight="1">
      <c r="A21" s="331" t="s">
        <v>254</v>
      </c>
      <c r="B21" s="338">
        <v>3076.5</v>
      </c>
      <c r="C21" s="338">
        <v>0</v>
      </c>
      <c r="D21" s="339">
        <v>0</v>
      </c>
      <c r="E21" s="340">
        <v>0</v>
      </c>
      <c r="F21" s="338">
        <v>0</v>
      </c>
      <c r="G21" s="338">
        <v>0</v>
      </c>
      <c r="H21" s="338">
        <v>0</v>
      </c>
    </row>
    <row r="22" spans="1:8" ht="13.5" customHeight="1">
      <c r="A22" s="25" t="s">
        <v>255</v>
      </c>
      <c r="B22" s="78">
        <v>830.9</v>
      </c>
      <c r="C22" s="78">
        <v>0</v>
      </c>
      <c r="D22" s="123">
        <v>0</v>
      </c>
      <c r="E22" s="124">
        <v>546</v>
      </c>
      <c r="F22" s="78">
        <v>0</v>
      </c>
      <c r="G22" s="78">
        <v>152.5</v>
      </c>
      <c r="H22" s="78">
        <v>0</v>
      </c>
    </row>
    <row r="23" spans="1:8" ht="13.5" customHeight="1">
      <c r="A23" s="331" t="s">
        <v>256</v>
      </c>
      <c r="B23" s="338">
        <v>1272</v>
      </c>
      <c r="C23" s="338">
        <v>0</v>
      </c>
      <c r="D23" s="339">
        <v>0</v>
      </c>
      <c r="E23" s="340">
        <v>0</v>
      </c>
      <c r="F23" s="338">
        <v>0</v>
      </c>
      <c r="G23" s="338">
        <v>0</v>
      </c>
      <c r="H23" s="338">
        <v>0</v>
      </c>
    </row>
    <row r="24" spans="1:8" ht="13.5" customHeight="1">
      <c r="A24" s="25" t="s">
        <v>257</v>
      </c>
      <c r="B24" s="78">
        <v>2850.5</v>
      </c>
      <c r="C24" s="78">
        <v>0</v>
      </c>
      <c r="D24" s="123">
        <v>243</v>
      </c>
      <c r="E24" s="124">
        <v>906</v>
      </c>
      <c r="F24" s="78">
        <v>0</v>
      </c>
      <c r="G24" s="78">
        <v>65</v>
      </c>
      <c r="H24" s="78">
        <v>115.5</v>
      </c>
    </row>
    <row r="25" spans="1:8" ht="13.5" customHeight="1">
      <c r="A25" s="331" t="s">
        <v>258</v>
      </c>
      <c r="B25" s="338">
        <v>10479.5</v>
      </c>
      <c r="C25" s="338">
        <v>280.5</v>
      </c>
      <c r="D25" s="339">
        <v>3295.5</v>
      </c>
      <c r="E25" s="340">
        <v>0</v>
      </c>
      <c r="F25" s="338">
        <v>0</v>
      </c>
      <c r="G25" s="338">
        <v>0</v>
      </c>
      <c r="H25" s="338">
        <v>0</v>
      </c>
    </row>
    <row r="26" spans="1:8" ht="13.5" customHeight="1">
      <c r="A26" s="25" t="s">
        <v>259</v>
      </c>
      <c r="B26" s="78">
        <v>2502</v>
      </c>
      <c r="C26" s="78">
        <v>0</v>
      </c>
      <c r="D26" s="123">
        <v>114.5</v>
      </c>
      <c r="E26" s="124">
        <v>231</v>
      </c>
      <c r="F26" s="78">
        <v>0</v>
      </c>
      <c r="G26" s="78">
        <v>41</v>
      </c>
      <c r="H26" s="78">
        <v>110.5</v>
      </c>
    </row>
    <row r="27" spans="1:8" ht="13.5" customHeight="1">
      <c r="A27" s="331" t="s">
        <v>260</v>
      </c>
      <c r="B27" s="338">
        <v>2542.4</v>
      </c>
      <c r="C27" s="338">
        <v>0</v>
      </c>
      <c r="D27" s="339">
        <v>0</v>
      </c>
      <c r="E27" s="340">
        <v>236</v>
      </c>
      <c r="F27" s="338">
        <v>0</v>
      </c>
      <c r="G27" s="338">
        <v>252</v>
      </c>
      <c r="H27" s="338">
        <v>0</v>
      </c>
    </row>
    <row r="28" spans="1:8" ht="13.5" customHeight="1">
      <c r="A28" s="25" t="s">
        <v>261</v>
      </c>
      <c r="B28" s="78">
        <v>1904.5</v>
      </c>
      <c r="C28" s="78">
        <v>0</v>
      </c>
      <c r="D28" s="123">
        <v>0</v>
      </c>
      <c r="E28" s="124">
        <v>0</v>
      </c>
      <c r="F28" s="78">
        <v>0</v>
      </c>
      <c r="G28" s="78">
        <v>0</v>
      </c>
      <c r="H28" s="78">
        <v>0</v>
      </c>
    </row>
    <row r="29" spans="1:8" ht="13.5" customHeight="1">
      <c r="A29" s="331" t="s">
        <v>262</v>
      </c>
      <c r="B29" s="338">
        <v>8129</v>
      </c>
      <c r="C29" s="338">
        <v>0</v>
      </c>
      <c r="D29" s="339">
        <v>1305.5</v>
      </c>
      <c r="E29" s="340">
        <v>2325.5</v>
      </c>
      <c r="F29" s="338">
        <v>0</v>
      </c>
      <c r="G29" s="338">
        <v>752.5</v>
      </c>
      <c r="H29" s="338">
        <v>0</v>
      </c>
    </row>
    <row r="30" spans="1:8" ht="13.5" customHeight="1">
      <c r="A30" s="25" t="s">
        <v>263</v>
      </c>
      <c r="B30" s="78">
        <v>1199</v>
      </c>
      <c r="C30" s="78">
        <v>0</v>
      </c>
      <c r="D30" s="123">
        <v>0</v>
      </c>
      <c r="E30" s="124">
        <v>0</v>
      </c>
      <c r="F30" s="78">
        <v>0</v>
      </c>
      <c r="G30" s="78">
        <v>0</v>
      </c>
      <c r="H30" s="78">
        <v>0</v>
      </c>
    </row>
    <row r="31" spans="1:8" ht="13.5" customHeight="1">
      <c r="A31" s="331" t="s">
        <v>264</v>
      </c>
      <c r="B31" s="338">
        <v>2442</v>
      </c>
      <c r="C31" s="338">
        <v>0</v>
      </c>
      <c r="D31" s="339">
        <v>0</v>
      </c>
      <c r="E31" s="340">
        <v>477</v>
      </c>
      <c r="F31" s="338">
        <v>0</v>
      </c>
      <c r="G31" s="338">
        <v>147.5</v>
      </c>
      <c r="H31" s="338">
        <v>0</v>
      </c>
    </row>
    <row r="32" spans="1:8" ht="13.5" customHeight="1">
      <c r="A32" s="25" t="s">
        <v>265</v>
      </c>
      <c r="B32" s="78">
        <v>1731.4</v>
      </c>
      <c r="C32" s="78">
        <v>0</v>
      </c>
      <c r="D32" s="123">
        <v>105</v>
      </c>
      <c r="E32" s="124">
        <v>135.4</v>
      </c>
      <c r="F32" s="78">
        <v>0</v>
      </c>
      <c r="G32" s="78">
        <v>52</v>
      </c>
      <c r="H32" s="78">
        <v>0</v>
      </c>
    </row>
    <row r="33" spans="1:8" ht="13.5" customHeight="1">
      <c r="A33" s="331" t="s">
        <v>266</v>
      </c>
      <c r="B33" s="338">
        <v>1898.7</v>
      </c>
      <c r="C33" s="338">
        <v>0</v>
      </c>
      <c r="D33" s="339">
        <v>0</v>
      </c>
      <c r="E33" s="340">
        <v>134.5</v>
      </c>
      <c r="F33" s="338">
        <v>152</v>
      </c>
      <c r="G33" s="338">
        <v>93</v>
      </c>
      <c r="H33" s="338">
        <v>0</v>
      </c>
    </row>
    <row r="34" spans="1:8" ht="13.5" customHeight="1">
      <c r="A34" s="25" t="s">
        <v>267</v>
      </c>
      <c r="B34" s="78">
        <v>1688.1</v>
      </c>
      <c r="C34" s="78">
        <v>0</v>
      </c>
      <c r="D34" s="123">
        <v>193.7</v>
      </c>
      <c r="E34" s="124">
        <v>43.5</v>
      </c>
      <c r="F34" s="78">
        <v>86.5</v>
      </c>
      <c r="G34" s="78">
        <v>0</v>
      </c>
      <c r="H34" s="78">
        <v>0</v>
      </c>
    </row>
    <row r="35" spans="1:8" ht="13.5" customHeight="1">
      <c r="A35" s="331" t="s">
        <v>268</v>
      </c>
      <c r="B35" s="338">
        <v>10137.5</v>
      </c>
      <c r="C35" s="338">
        <v>0</v>
      </c>
      <c r="D35" s="339">
        <v>1044.5</v>
      </c>
      <c r="E35" s="340">
        <v>3127.5</v>
      </c>
      <c r="F35" s="338">
        <v>0</v>
      </c>
      <c r="G35" s="338">
        <v>1287</v>
      </c>
      <c r="H35" s="338">
        <v>522.5</v>
      </c>
    </row>
    <row r="36" spans="1:8" ht="13.5" customHeight="1">
      <c r="A36" s="25" t="s">
        <v>269</v>
      </c>
      <c r="B36" s="78">
        <v>1914.6</v>
      </c>
      <c r="C36" s="78">
        <v>0</v>
      </c>
      <c r="D36" s="123">
        <v>0</v>
      </c>
      <c r="E36" s="124">
        <v>0</v>
      </c>
      <c r="F36" s="78">
        <v>0</v>
      </c>
      <c r="G36" s="78">
        <v>0</v>
      </c>
      <c r="H36" s="78">
        <v>0</v>
      </c>
    </row>
    <row r="37" spans="1:8" ht="13.5" customHeight="1">
      <c r="A37" s="331" t="s">
        <v>270</v>
      </c>
      <c r="B37" s="338">
        <v>1607.6</v>
      </c>
      <c r="C37" s="338">
        <v>0</v>
      </c>
      <c r="D37" s="339">
        <v>593</v>
      </c>
      <c r="E37" s="340">
        <v>760</v>
      </c>
      <c r="F37" s="338">
        <v>0</v>
      </c>
      <c r="G37" s="338">
        <v>399</v>
      </c>
      <c r="H37" s="338">
        <v>0</v>
      </c>
    </row>
    <row r="38" spans="1:8" ht="13.5" customHeight="1">
      <c r="A38" s="25" t="s">
        <v>271</v>
      </c>
      <c r="B38" s="78">
        <v>4668.5</v>
      </c>
      <c r="C38" s="78">
        <v>0</v>
      </c>
      <c r="D38" s="123">
        <v>193</v>
      </c>
      <c r="E38" s="124">
        <v>2776.5</v>
      </c>
      <c r="F38" s="78">
        <v>0</v>
      </c>
      <c r="G38" s="78">
        <v>800</v>
      </c>
      <c r="H38" s="78">
        <v>158.5</v>
      </c>
    </row>
    <row r="39" spans="1:8" ht="13.5" customHeight="1">
      <c r="A39" s="331" t="s">
        <v>272</v>
      </c>
      <c r="B39" s="338">
        <v>1655</v>
      </c>
      <c r="C39" s="338">
        <v>0</v>
      </c>
      <c r="D39" s="339">
        <v>0</v>
      </c>
      <c r="E39" s="340">
        <v>0</v>
      </c>
      <c r="F39" s="338">
        <v>0</v>
      </c>
      <c r="G39" s="338">
        <v>0</v>
      </c>
      <c r="H39" s="338">
        <v>0</v>
      </c>
    </row>
    <row r="40" spans="1:8" ht="13.5" customHeight="1">
      <c r="A40" s="25" t="s">
        <v>273</v>
      </c>
      <c r="B40" s="78">
        <v>5889.13</v>
      </c>
      <c r="C40" s="78">
        <v>0</v>
      </c>
      <c r="D40" s="123">
        <v>668</v>
      </c>
      <c r="E40" s="124">
        <v>893.34</v>
      </c>
      <c r="F40" s="78">
        <v>0</v>
      </c>
      <c r="G40" s="78">
        <v>588</v>
      </c>
      <c r="H40" s="78">
        <v>0</v>
      </c>
    </row>
    <row r="41" spans="1:8" ht="13.5" customHeight="1">
      <c r="A41" s="331" t="s">
        <v>274</v>
      </c>
      <c r="B41" s="338">
        <v>3144.5</v>
      </c>
      <c r="C41" s="338">
        <v>0</v>
      </c>
      <c r="D41" s="339">
        <v>0</v>
      </c>
      <c r="E41" s="340">
        <v>960</v>
      </c>
      <c r="F41" s="338">
        <v>0</v>
      </c>
      <c r="G41" s="338">
        <v>456</v>
      </c>
      <c r="H41" s="338">
        <v>69</v>
      </c>
    </row>
    <row r="42" spans="1:8" ht="13.5" customHeight="1">
      <c r="A42" s="25" t="s">
        <v>275</v>
      </c>
      <c r="B42" s="78">
        <v>1280</v>
      </c>
      <c r="C42" s="78">
        <v>0</v>
      </c>
      <c r="D42" s="123">
        <v>0</v>
      </c>
      <c r="E42" s="124">
        <v>205</v>
      </c>
      <c r="F42" s="78">
        <v>0</v>
      </c>
      <c r="G42" s="78">
        <v>88</v>
      </c>
      <c r="H42" s="78">
        <v>0</v>
      </c>
    </row>
    <row r="43" spans="1:8" ht="13.5" customHeight="1">
      <c r="A43" s="331" t="s">
        <v>276</v>
      </c>
      <c r="B43" s="338">
        <v>1089.5</v>
      </c>
      <c r="C43" s="338">
        <v>0</v>
      </c>
      <c r="D43" s="339">
        <v>0</v>
      </c>
      <c r="E43" s="340">
        <v>0</v>
      </c>
      <c r="F43" s="338">
        <v>0</v>
      </c>
      <c r="G43" s="338">
        <v>0</v>
      </c>
      <c r="H43" s="338">
        <v>0</v>
      </c>
    </row>
    <row r="44" spans="1:8" ht="13.5" customHeight="1">
      <c r="A44" s="25" t="s">
        <v>277</v>
      </c>
      <c r="B44" s="78">
        <v>765</v>
      </c>
      <c r="C44" s="78">
        <v>52.5</v>
      </c>
      <c r="D44" s="123">
        <v>0</v>
      </c>
      <c r="E44" s="124">
        <v>0</v>
      </c>
      <c r="F44" s="78">
        <v>0</v>
      </c>
      <c r="G44" s="78">
        <v>0</v>
      </c>
      <c r="H44" s="78">
        <v>0</v>
      </c>
    </row>
    <row r="45" spans="1:8" ht="13.5" customHeight="1">
      <c r="A45" s="331" t="s">
        <v>278</v>
      </c>
      <c r="B45" s="338">
        <v>642.4</v>
      </c>
      <c r="C45" s="338">
        <v>0</v>
      </c>
      <c r="D45" s="339">
        <v>0</v>
      </c>
      <c r="E45" s="340">
        <v>656</v>
      </c>
      <c r="F45" s="338">
        <v>0</v>
      </c>
      <c r="G45" s="338">
        <v>127</v>
      </c>
      <c r="H45" s="338">
        <v>0</v>
      </c>
    </row>
    <row r="46" spans="1:8" ht="13.5" customHeight="1">
      <c r="A46" s="25" t="s">
        <v>279</v>
      </c>
      <c r="B46" s="78">
        <v>21926.1</v>
      </c>
      <c r="C46" s="78">
        <v>0</v>
      </c>
      <c r="D46" s="123">
        <v>954</v>
      </c>
      <c r="E46" s="124">
        <v>3386.5</v>
      </c>
      <c r="F46" s="78">
        <v>0</v>
      </c>
      <c r="G46" s="78">
        <v>1849.5</v>
      </c>
      <c r="H46" s="78">
        <v>244</v>
      </c>
    </row>
    <row r="47" spans="1:8" ht="4.5" customHeight="1">
      <c r="A47" s="25"/>
      <c r="B47" s="78"/>
      <c r="C47" s="78"/>
      <c r="D47" s="123"/>
      <c r="E47" s="124"/>
      <c r="F47" s="78"/>
      <c r="G47" s="78"/>
      <c r="H47" s="78"/>
    </row>
    <row r="48" spans="1:8" ht="13.5" customHeight="1">
      <c r="A48" s="333" t="s">
        <v>280</v>
      </c>
      <c r="B48" s="341">
        <f aca="true" t="shared" si="0" ref="B48:H48">SUM(B11:B46)</f>
        <v>125113.76000000001</v>
      </c>
      <c r="C48" s="341">
        <f t="shared" si="0"/>
        <v>4912</v>
      </c>
      <c r="D48" s="342">
        <f t="shared" si="0"/>
        <v>8725.7</v>
      </c>
      <c r="E48" s="343">
        <f t="shared" si="0"/>
        <v>18753.239999999998</v>
      </c>
      <c r="F48" s="341">
        <f t="shared" si="0"/>
        <v>238.5</v>
      </c>
      <c r="G48" s="341">
        <f t="shared" si="0"/>
        <v>7757</v>
      </c>
      <c r="H48" s="341">
        <f t="shared" si="0"/>
        <v>1220</v>
      </c>
    </row>
    <row r="49" spans="1:8" ht="4.5" customHeight="1">
      <c r="A49" s="27" t="s">
        <v>32</v>
      </c>
      <c r="B49" s="79"/>
      <c r="C49" s="79"/>
      <c r="D49" s="79"/>
      <c r="E49" s="79"/>
      <c r="F49" s="79"/>
      <c r="G49" s="79"/>
      <c r="H49" s="79"/>
    </row>
    <row r="50" spans="1:8" ht="13.5" customHeight="1">
      <c r="A50" s="25" t="s">
        <v>281</v>
      </c>
      <c r="B50" s="78">
        <v>228.3</v>
      </c>
      <c r="C50" s="78">
        <v>0</v>
      </c>
      <c r="D50" s="123">
        <v>0</v>
      </c>
      <c r="E50" s="124">
        <v>0</v>
      </c>
      <c r="F50" s="78">
        <v>0</v>
      </c>
      <c r="G50" s="78">
        <v>0</v>
      </c>
      <c r="H50" s="78">
        <v>0</v>
      </c>
    </row>
    <row r="51" spans="1:8" ht="13.5" customHeight="1">
      <c r="A51" s="331" t="s">
        <v>282</v>
      </c>
      <c r="B51" s="338">
        <v>55.2</v>
      </c>
      <c r="C51" s="338">
        <v>0</v>
      </c>
      <c r="D51" s="339">
        <v>0</v>
      </c>
      <c r="E51" s="340">
        <v>0</v>
      </c>
      <c r="F51" s="338">
        <v>0</v>
      </c>
      <c r="G51" s="338">
        <v>0</v>
      </c>
      <c r="H51" s="338">
        <v>0</v>
      </c>
    </row>
    <row r="52" spans="1:8" ht="49.5" customHeight="1">
      <c r="A52" s="29"/>
      <c r="B52" s="125"/>
      <c r="C52" s="125"/>
      <c r="D52" s="125"/>
      <c r="E52" s="125"/>
      <c r="F52" s="125"/>
      <c r="G52" s="125"/>
      <c r="H52" s="125"/>
    </row>
    <row r="53" spans="1:8" ht="15" customHeight="1">
      <c r="A53" s="127" t="s">
        <v>374</v>
      </c>
      <c r="C53" s="95"/>
      <c r="D53" s="95"/>
      <c r="E53" s="95"/>
      <c r="F53" s="95"/>
      <c r="G53" s="95"/>
      <c r="H53" s="95"/>
    </row>
    <row r="54" spans="1:8" ht="12" customHeight="1">
      <c r="A54" s="127" t="s">
        <v>375</v>
      </c>
      <c r="C54" s="95"/>
      <c r="D54" s="95"/>
      <c r="E54" s="95"/>
      <c r="F54" s="95"/>
      <c r="G54" s="95"/>
      <c r="H54" s="95"/>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sheetPr codeName="Sheet23">
    <pageSetUpPr fitToPage="1"/>
  </sheetPr>
  <dimension ref="A1:D56"/>
  <sheetViews>
    <sheetView showGridLines="0" workbookViewId="0" topLeftCell="A1">
      <selection activeCell="A1" sqref="A1"/>
    </sheetView>
  </sheetViews>
  <sheetFormatPr defaultColWidth="15.83203125" defaultRowHeight="12"/>
  <cols>
    <col min="1" max="1" width="36.83203125" style="1" customWidth="1"/>
    <col min="2" max="2" width="34.83203125" style="1" customWidth="1"/>
    <col min="3" max="3" width="25.83203125" style="1" customWidth="1"/>
    <col min="4" max="4" width="35.83203125" style="1" customWidth="1"/>
    <col min="5" max="16384" width="15.83203125" style="1" customWidth="1"/>
  </cols>
  <sheetData>
    <row r="1" ht="6.75" customHeight="1">
      <c r="A1" s="5"/>
    </row>
    <row r="2" spans="1:4" ht="13.5" customHeight="1">
      <c r="A2" s="70"/>
      <c r="B2" s="238" t="s">
        <v>323</v>
      </c>
      <c r="C2" s="239"/>
      <c r="D2" s="240"/>
    </row>
    <row r="3" spans="1:4" ht="13.5" customHeight="1">
      <c r="A3" s="72"/>
      <c r="B3" s="241" t="s">
        <v>634</v>
      </c>
      <c r="C3" s="242"/>
      <c r="D3" s="243"/>
    </row>
    <row r="7" spans="2:3" ht="12">
      <c r="B7" s="353"/>
      <c r="C7" s="353" t="s">
        <v>632</v>
      </c>
    </row>
    <row r="8" spans="1:3" ht="12">
      <c r="A8" s="74"/>
      <c r="B8" s="410" t="s">
        <v>324</v>
      </c>
      <c r="C8" s="419" t="s">
        <v>134</v>
      </c>
    </row>
    <row r="9" spans="1:3" ht="14.25">
      <c r="A9" s="41" t="s">
        <v>108</v>
      </c>
      <c r="B9" s="357" t="s">
        <v>9</v>
      </c>
      <c r="C9" s="357" t="s">
        <v>543</v>
      </c>
    </row>
    <row r="10" spans="1:4" ht="4.5" customHeight="1">
      <c r="A10" s="4"/>
      <c r="B10" s="5"/>
      <c r="C10" s="5"/>
      <c r="D10" s="5"/>
    </row>
    <row r="11" spans="1:4" ht="13.5" customHeight="1">
      <c r="A11" s="331" t="s">
        <v>245</v>
      </c>
      <c r="B11" s="332">
        <v>400269.98</v>
      </c>
      <c r="C11" s="338">
        <f>B11/'- 3 -'!B11*100</f>
        <v>3.30158481638523</v>
      </c>
      <c r="D11" s="64"/>
    </row>
    <row r="12" spans="1:4" ht="13.5" customHeight="1">
      <c r="A12" s="25" t="s">
        <v>246</v>
      </c>
      <c r="B12" s="26">
        <v>2046775.64</v>
      </c>
      <c r="C12" s="78">
        <f>B12/'- 3 -'!B12*100</f>
        <v>9.215861280736767</v>
      </c>
      <c r="D12" s="64"/>
    </row>
    <row r="13" spans="1:4" ht="13.5" customHeight="1">
      <c r="A13" s="331" t="s">
        <v>247</v>
      </c>
      <c r="B13" s="332">
        <v>2242939</v>
      </c>
      <c r="C13" s="338">
        <f>B13/'- 3 -'!B13*100</f>
        <v>4.166742368570071</v>
      </c>
      <c r="D13" s="64"/>
    </row>
    <row r="14" spans="1:4" ht="13.5" customHeight="1">
      <c r="A14" s="25" t="s">
        <v>283</v>
      </c>
      <c r="B14" s="26">
        <v>192057.23</v>
      </c>
      <c r="C14" s="78">
        <f>B14/'- 3 -'!B14*100</f>
        <v>0.3895342210119972</v>
      </c>
      <c r="D14" s="64"/>
    </row>
    <row r="15" spans="1:4" ht="13.5" customHeight="1">
      <c r="A15" s="331" t="s">
        <v>248</v>
      </c>
      <c r="B15" s="332">
        <v>903814</v>
      </c>
      <c r="C15" s="338">
        <f>B15/'- 3 -'!B15*100</f>
        <v>6.367863178877115</v>
      </c>
      <c r="D15" s="64"/>
    </row>
    <row r="16" spans="1:4" ht="13.5" customHeight="1">
      <c r="A16" s="25" t="s">
        <v>249</v>
      </c>
      <c r="B16" s="26">
        <v>474499.2303112615</v>
      </c>
      <c r="C16" s="78">
        <f>B16/'- 3 -'!B16*100</f>
        <v>4.268064376555727</v>
      </c>
      <c r="D16" s="64"/>
    </row>
    <row r="17" spans="1:4" ht="13.5" customHeight="1">
      <c r="A17" s="331" t="s">
        <v>250</v>
      </c>
      <c r="B17" s="332">
        <v>1103142</v>
      </c>
      <c r="C17" s="338">
        <f>B17/'- 3 -'!B17*100</f>
        <v>8.174249301480637</v>
      </c>
      <c r="D17" s="64"/>
    </row>
    <row r="18" spans="1:4" ht="13.5" customHeight="1">
      <c r="A18" s="25" t="s">
        <v>251</v>
      </c>
      <c r="B18" s="26">
        <v>2229679</v>
      </c>
      <c r="C18" s="78">
        <f>B18/'- 3 -'!B18*100</f>
        <v>2.444816200162388</v>
      </c>
      <c r="D18" s="64"/>
    </row>
    <row r="19" spans="1:4" ht="13.5" customHeight="1">
      <c r="A19" s="331" t="s">
        <v>252</v>
      </c>
      <c r="B19" s="332">
        <v>1202144</v>
      </c>
      <c r="C19" s="338">
        <f>B19/'- 3 -'!B19*100</f>
        <v>4.815863171516612</v>
      </c>
      <c r="D19" s="64"/>
    </row>
    <row r="20" spans="1:4" ht="13.5" customHeight="1">
      <c r="A20" s="25" t="s">
        <v>253</v>
      </c>
      <c r="B20" s="26">
        <v>2557801</v>
      </c>
      <c r="C20" s="78">
        <f>B20/'- 3 -'!B20*100</f>
        <v>5.503709860056537</v>
      </c>
      <c r="D20" s="64"/>
    </row>
    <row r="21" spans="1:4" ht="13.5" customHeight="1">
      <c r="A21" s="331" t="s">
        <v>254</v>
      </c>
      <c r="B21" s="332">
        <v>1194855</v>
      </c>
      <c r="C21" s="338">
        <f>B21/'- 3 -'!B21*100</f>
        <v>4.440689201296973</v>
      </c>
      <c r="D21" s="64"/>
    </row>
    <row r="22" spans="1:4" ht="13.5" customHeight="1">
      <c r="A22" s="25" t="s">
        <v>255</v>
      </c>
      <c r="B22" s="26">
        <v>157026</v>
      </c>
      <c r="C22" s="78">
        <f>B22/'- 3 -'!B22*100</f>
        <v>1.0469604702514437</v>
      </c>
      <c r="D22" s="64"/>
    </row>
    <row r="23" spans="1:4" ht="13.5" customHeight="1">
      <c r="A23" s="331" t="s">
        <v>256</v>
      </c>
      <c r="B23" s="332">
        <v>673650</v>
      </c>
      <c r="C23" s="338">
        <f>B23/'- 3 -'!B23*100</f>
        <v>5.363650572317798</v>
      </c>
      <c r="D23" s="64"/>
    </row>
    <row r="24" spans="1:4" ht="13.5" customHeight="1">
      <c r="A24" s="25" t="s">
        <v>257</v>
      </c>
      <c r="B24" s="26">
        <v>2374068</v>
      </c>
      <c r="C24" s="78">
        <f>B24/'- 3 -'!B24*100</f>
        <v>5.909559888052145</v>
      </c>
      <c r="D24" s="64"/>
    </row>
    <row r="25" spans="1:4" ht="13.5" customHeight="1">
      <c r="A25" s="331" t="s">
        <v>258</v>
      </c>
      <c r="B25" s="332">
        <v>6387906</v>
      </c>
      <c r="C25" s="338">
        <f>B25/'- 3 -'!B25*100</f>
        <v>5.071360482569438</v>
      </c>
      <c r="D25" s="64"/>
    </row>
    <row r="26" spans="1:4" ht="13.5" customHeight="1">
      <c r="A26" s="25" t="s">
        <v>259</v>
      </c>
      <c r="B26" s="26">
        <v>795034</v>
      </c>
      <c r="C26" s="78">
        <f>B26/'- 3 -'!B26*100</f>
        <v>2.629939679702924</v>
      </c>
      <c r="D26" s="64"/>
    </row>
    <row r="27" spans="1:4" ht="13.5" customHeight="1">
      <c r="A27" s="331" t="s">
        <v>260</v>
      </c>
      <c r="B27" s="332">
        <v>746929</v>
      </c>
      <c r="C27" s="338">
        <f>B27/'- 3 -'!B27*100</f>
        <v>2.3570707768463537</v>
      </c>
      <c r="D27" s="64"/>
    </row>
    <row r="28" spans="1:4" ht="13.5" customHeight="1">
      <c r="A28" s="25" t="s">
        <v>261</v>
      </c>
      <c r="B28" s="26">
        <v>2018054</v>
      </c>
      <c r="C28" s="78">
        <f>B28/'- 3 -'!B28*100</f>
        <v>11.507500374354402</v>
      </c>
      <c r="D28" s="64"/>
    </row>
    <row r="29" spans="1:4" ht="13.5" customHeight="1">
      <c r="A29" s="331" t="s">
        <v>262</v>
      </c>
      <c r="B29" s="332">
        <v>5853081</v>
      </c>
      <c r="C29" s="338">
        <f>B29/'- 3 -'!B29*100</f>
        <v>5.053910089118466</v>
      </c>
      <c r="D29" s="64"/>
    </row>
    <row r="30" spans="1:4" ht="13.5" customHeight="1">
      <c r="A30" s="25" t="s">
        <v>263</v>
      </c>
      <c r="B30" s="26">
        <v>744019</v>
      </c>
      <c r="C30" s="78">
        <f>B30/'- 3 -'!B30*100</f>
        <v>6.606882419676925</v>
      </c>
      <c r="D30" s="64"/>
    </row>
    <row r="31" spans="1:4" ht="13.5" customHeight="1">
      <c r="A31" s="331" t="s">
        <v>264</v>
      </c>
      <c r="B31" s="332">
        <v>1093408.12</v>
      </c>
      <c r="C31" s="338">
        <f>B31/'- 3 -'!B31*100</f>
        <v>3.8862618155916593</v>
      </c>
      <c r="D31" s="64"/>
    </row>
    <row r="32" spans="1:4" ht="13.5" customHeight="1">
      <c r="A32" s="25" t="s">
        <v>265</v>
      </c>
      <c r="B32" s="26">
        <v>1775864</v>
      </c>
      <c r="C32" s="78">
        <f>B32/'- 3 -'!B32*100</f>
        <v>8.698562139038355</v>
      </c>
      <c r="D32" s="64"/>
    </row>
    <row r="33" spans="1:4" ht="13.5" customHeight="1">
      <c r="A33" s="331" t="s">
        <v>266</v>
      </c>
      <c r="B33" s="332">
        <v>1373376</v>
      </c>
      <c r="C33" s="338">
        <f>B33/'- 3 -'!B33*100</f>
        <v>5.998951410046851</v>
      </c>
      <c r="D33" s="64"/>
    </row>
    <row r="34" spans="1:4" ht="13.5" customHeight="1">
      <c r="A34" s="25" t="s">
        <v>267</v>
      </c>
      <c r="B34" s="26">
        <v>1396928.17</v>
      </c>
      <c r="C34" s="78">
        <f>B34/'- 3 -'!B34*100</f>
        <v>7.153179780070144</v>
      </c>
      <c r="D34" s="64"/>
    </row>
    <row r="35" spans="1:4" ht="13.5" customHeight="1">
      <c r="A35" s="331" t="s">
        <v>268</v>
      </c>
      <c r="B35" s="332">
        <v>5992516.459999979</v>
      </c>
      <c r="C35" s="338">
        <f>B35/'- 3 -'!B35*100</f>
        <v>4.181395403994739</v>
      </c>
      <c r="D35" s="64"/>
    </row>
    <row r="36" spans="1:4" ht="13.5" customHeight="1">
      <c r="A36" s="25" t="s">
        <v>269</v>
      </c>
      <c r="B36" s="26">
        <v>960877</v>
      </c>
      <c r="C36" s="78">
        <f>B36/'- 3 -'!B36*100</f>
        <v>5.311585658762391</v>
      </c>
      <c r="D36" s="64"/>
    </row>
    <row r="37" spans="1:4" ht="13.5" customHeight="1">
      <c r="A37" s="331" t="s">
        <v>270</v>
      </c>
      <c r="B37" s="332">
        <v>1886223.6</v>
      </c>
      <c r="C37" s="338">
        <f>B37/'- 3 -'!B37*100</f>
        <v>6.192644516020945</v>
      </c>
      <c r="D37" s="64"/>
    </row>
    <row r="38" spans="1:4" ht="13.5" customHeight="1">
      <c r="A38" s="25" t="s">
        <v>271</v>
      </c>
      <c r="B38" s="26">
        <v>2451226</v>
      </c>
      <c r="C38" s="78">
        <f>B38/'- 3 -'!B38*100</f>
        <v>3.2583960266387533</v>
      </c>
      <c r="D38" s="64"/>
    </row>
    <row r="39" spans="1:4" ht="13.5" customHeight="1">
      <c r="A39" s="331" t="s">
        <v>272</v>
      </c>
      <c r="B39" s="332">
        <v>925665</v>
      </c>
      <c r="C39" s="338">
        <f>B39/'- 3 -'!B39*100</f>
        <v>5.633825704618493</v>
      </c>
      <c r="D39" s="64"/>
    </row>
    <row r="40" spans="1:4" ht="13.5" customHeight="1">
      <c r="A40" s="25" t="s">
        <v>273</v>
      </c>
      <c r="B40" s="26">
        <v>543638</v>
      </c>
      <c r="C40" s="78">
        <f>B40/'- 3 -'!B40*100</f>
        <v>0.7060510409868916</v>
      </c>
      <c r="D40" s="64"/>
    </row>
    <row r="41" spans="1:4" ht="13.5" customHeight="1">
      <c r="A41" s="331" t="s">
        <v>274</v>
      </c>
      <c r="B41" s="332">
        <v>2535275</v>
      </c>
      <c r="C41" s="338">
        <f>B41/'- 3 -'!B41*100</f>
        <v>5.375991015286685</v>
      </c>
      <c r="D41" s="64"/>
    </row>
    <row r="42" spans="1:4" ht="13.5" customHeight="1">
      <c r="A42" s="25" t="s">
        <v>275</v>
      </c>
      <c r="B42" s="26">
        <v>1514938</v>
      </c>
      <c r="C42" s="78">
        <f>B42/'- 3 -'!B42*100</f>
        <v>9.172024145145988</v>
      </c>
      <c r="D42" s="64"/>
    </row>
    <row r="43" spans="1:4" ht="13.5" customHeight="1">
      <c r="A43" s="331" t="s">
        <v>276</v>
      </c>
      <c r="B43" s="332">
        <v>305848</v>
      </c>
      <c r="C43" s="338">
        <f>B43/'- 3 -'!B43*100</f>
        <v>2.994151552147575</v>
      </c>
      <c r="D43" s="64"/>
    </row>
    <row r="44" spans="1:4" ht="13.5" customHeight="1">
      <c r="A44" s="25" t="s">
        <v>277</v>
      </c>
      <c r="B44" s="26">
        <v>388409</v>
      </c>
      <c r="C44" s="78">
        <f>B44/'- 3 -'!B44*100</f>
        <v>4.920740414913704</v>
      </c>
      <c r="D44" s="64"/>
    </row>
    <row r="45" spans="1:4" ht="13.5" customHeight="1">
      <c r="A45" s="331" t="s">
        <v>278</v>
      </c>
      <c r="B45" s="332">
        <v>675110.2000000019</v>
      </c>
      <c r="C45" s="338">
        <f>B45/'- 3 -'!B45*100</f>
        <v>5.730312541658159</v>
      </c>
      <c r="D45" s="64"/>
    </row>
    <row r="46" spans="1:4" ht="13.5" customHeight="1">
      <c r="A46" s="25" t="s">
        <v>279</v>
      </c>
      <c r="B46" s="26">
        <v>16000836</v>
      </c>
      <c r="C46" s="78">
        <f>B46/'- 3 -'!B46*100</f>
        <v>5.471852030685938</v>
      </c>
      <c r="D46" s="64"/>
    </row>
    <row r="47" spans="1:3" ht="4.5" customHeight="1">
      <c r="A47" s="27"/>
      <c r="B47" s="28"/>
      <c r="C47"/>
    </row>
    <row r="48" spans="1:4" ht="13.5" customHeight="1">
      <c r="A48" s="333" t="s">
        <v>280</v>
      </c>
      <c r="B48" s="334">
        <f>SUM(B11:B46)</f>
        <v>74117881.63031125</v>
      </c>
      <c r="C48" s="341">
        <f>B48/'- 3 -'!B48*100</f>
        <v>4.622209429806862</v>
      </c>
      <c r="D48" s="64"/>
    </row>
    <row r="49" spans="1:4" ht="4.5" customHeight="1">
      <c r="A49" s="27" t="s">
        <v>32</v>
      </c>
      <c r="B49" s="28"/>
      <c r="C49"/>
      <c r="D49" s="64"/>
    </row>
    <row r="50" spans="1:4" ht="13.5" customHeight="1">
      <c r="A50" s="25" t="s">
        <v>281</v>
      </c>
      <c r="B50" s="26">
        <v>189000</v>
      </c>
      <c r="C50" s="78">
        <f>B50/'- 3 -'!B50*100</f>
        <v>7.159991332243297</v>
      </c>
      <c r="D50" s="64"/>
    </row>
    <row r="51" spans="1:4" ht="13.5" customHeight="1">
      <c r="A51" s="331" t="s">
        <v>282</v>
      </c>
      <c r="B51" s="332">
        <v>841937</v>
      </c>
      <c r="C51" s="338">
        <f>B51/'- 3 -'!B51*100</f>
        <v>8.027478149705173</v>
      </c>
      <c r="D51" s="64"/>
    </row>
    <row r="52" spans="1:4" ht="49.5" customHeight="1">
      <c r="A52" s="29"/>
      <c r="B52" s="29"/>
      <c r="C52" s="29"/>
      <c r="D52" s="29"/>
    </row>
    <row r="53" ht="15" customHeight="1">
      <c r="A53" s="256" t="s">
        <v>10</v>
      </c>
    </row>
    <row r="54" ht="12" customHeight="1">
      <c r="A54" s="257" t="s">
        <v>30</v>
      </c>
    </row>
    <row r="55" ht="12" customHeight="1">
      <c r="A55" s="489" t="s">
        <v>544</v>
      </c>
    </row>
    <row r="56" ht="12" customHeight="1">
      <c r="A56" s="44" t="s">
        <v>11</v>
      </c>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F56"/>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16384" width="19.83203125" style="1" customWidth="1"/>
  </cols>
  <sheetData>
    <row r="1" ht="6.75" customHeight="1">
      <c r="A1" s="5"/>
    </row>
    <row r="2" spans="1:6" ht="15.75" customHeight="1">
      <c r="A2" s="154"/>
      <c r="B2" s="593" t="s">
        <v>631</v>
      </c>
      <c r="C2" s="593"/>
      <c r="D2" s="593"/>
      <c r="E2" s="593"/>
      <c r="F2" s="268" t="s">
        <v>512</v>
      </c>
    </row>
    <row r="3" spans="1:6" ht="15.75" customHeight="1">
      <c r="A3" s="156"/>
      <c r="B3" s="594" t="s">
        <v>286</v>
      </c>
      <c r="C3" s="594"/>
      <c r="D3" s="594"/>
      <c r="E3" s="594"/>
      <c r="F3" s="262"/>
    </row>
    <row r="4" spans="2:5" ht="15.75" customHeight="1">
      <c r="B4" s="6"/>
      <c r="C4" s="6"/>
      <c r="D4" s="6"/>
      <c r="E4" s="6"/>
    </row>
    <row r="5" spans="2:5" ht="15.75" customHeight="1">
      <c r="B5" s="6"/>
      <c r="C5" s="6"/>
      <c r="D5" s="6"/>
      <c r="E5" s="6"/>
    </row>
    <row r="6" spans="2:5" ht="15.75" customHeight="1">
      <c r="B6" s="512" t="s">
        <v>3</v>
      </c>
      <c r="C6" s="195"/>
      <c r="D6" s="195"/>
      <c r="E6" s="196"/>
    </row>
    <row r="7" spans="2:5" ht="15.75" customHeight="1">
      <c r="B7" s="513"/>
      <c r="C7" s="513"/>
      <c r="D7" s="513" t="s">
        <v>74</v>
      </c>
      <c r="E7" s="513"/>
    </row>
    <row r="8" spans="1:5" ht="15.75" customHeight="1">
      <c r="A8" s="510"/>
      <c r="B8" s="514"/>
      <c r="C8" s="514" t="s">
        <v>156</v>
      </c>
      <c r="D8" s="514" t="s">
        <v>157</v>
      </c>
      <c r="E8" s="514" t="s">
        <v>83</v>
      </c>
    </row>
    <row r="9" spans="1:5" ht="15.75" customHeight="1">
      <c r="A9" s="511" t="s">
        <v>108</v>
      </c>
      <c r="B9" s="553" t="s">
        <v>571</v>
      </c>
      <c r="C9" s="553" t="s">
        <v>572</v>
      </c>
      <c r="D9" s="553" t="s">
        <v>570</v>
      </c>
      <c r="E9" s="515" t="s">
        <v>286</v>
      </c>
    </row>
    <row r="10" spans="1:5" ht="4.5" customHeight="1">
      <c r="A10" s="4"/>
      <c r="B10" s="237"/>
      <c r="C10" s="237"/>
      <c r="D10" s="237"/>
      <c r="E10" s="237"/>
    </row>
    <row r="11" spans="1:5" ht="13.5" customHeight="1">
      <c r="A11" s="331" t="s">
        <v>245</v>
      </c>
      <c r="B11" s="332">
        <v>832876</v>
      </c>
      <c r="C11" s="332">
        <v>1216775</v>
      </c>
      <c r="D11" s="332">
        <v>50381</v>
      </c>
      <c r="E11" s="332">
        <f aca="true" t="shared" si="0" ref="E11:E46">SUM(B11:D11)</f>
        <v>2100032</v>
      </c>
    </row>
    <row r="12" spans="1:5" ht="13.5" customHeight="1">
      <c r="A12" s="25" t="s">
        <v>246</v>
      </c>
      <c r="B12" s="26">
        <v>929494</v>
      </c>
      <c r="C12" s="26">
        <v>544574</v>
      </c>
      <c r="D12" s="26">
        <v>-18074.6</v>
      </c>
      <c r="E12" s="26">
        <f t="shared" si="0"/>
        <v>1455993.4</v>
      </c>
    </row>
    <row r="13" spans="1:5" ht="13.5" customHeight="1">
      <c r="A13" s="331" t="s">
        <v>247</v>
      </c>
      <c r="B13" s="332">
        <v>1667907</v>
      </c>
      <c r="C13" s="332">
        <v>1733119</v>
      </c>
      <c r="D13" s="332">
        <v>-8995</v>
      </c>
      <c r="E13" s="332">
        <f t="shared" si="0"/>
        <v>3392031</v>
      </c>
    </row>
    <row r="14" spans="1:5" ht="13.5" customHeight="1">
      <c r="A14" s="25" t="s">
        <v>283</v>
      </c>
      <c r="B14" s="26">
        <v>1342351</v>
      </c>
      <c r="C14" s="26">
        <v>2902426.05</v>
      </c>
      <c r="D14" s="26">
        <v>156792.58999999872</v>
      </c>
      <c r="E14" s="26">
        <f t="shared" si="0"/>
        <v>4401569.639999999</v>
      </c>
    </row>
    <row r="15" spans="1:5" ht="13.5" customHeight="1">
      <c r="A15" s="331" t="s">
        <v>248</v>
      </c>
      <c r="B15" s="332">
        <v>822775</v>
      </c>
      <c r="C15" s="332">
        <v>1115834</v>
      </c>
      <c r="D15" s="332">
        <v>-3000</v>
      </c>
      <c r="E15" s="332">
        <f t="shared" si="0"/>
        <v>1935609</v>
      </c>
    </row>
    <row r="16" spans="1:5" ht="13.5" customHeight="1">
      <c r="A16" s="25" t="s">
        <v>249</v>
      </c>
      <c r="B16" s="26">
        <v>257841</v>
      </c>
      <c r="C16" s="26">
        <v>57552</v>
      </c>
      <c r="D16" s="26">
        <v>0</v>
      </c>
      <c r="E16" s="26">
        <f t="shared" si="0"/>
        <v>315393</v>
      </c>
    </row>
    <row r="17" spans="1:5" ht="13.5" customHeight="1">
      <c r="A17" s="331" t="s">
        <v>250</v>
      </c>
      <c r="B17" s="332">
        <v>750592</v>
      </c>
      <c r="C17" s="332">
        <v>936255</v>
      </c>
      <c r="D17" s="332">
        <v>-1250</v>
      </c>
      <c r="E17" s="332">
        <f t="shared" si="0"/>
        <v>1685597</v>
      </c>
    </row>
    <row r="18" spans="1:5" ht="13.5" customHeight="1">
      <c r="A18" s="25" t="s">
        <v>251</v>
      </c>
      <c r="B18" s="26">
        <v>1801594</v>
      </c>
      <c r="C18" s="26">
        <v>1784250</v>
      </c>
      <c r="D18" s="26">
        <v>-2843</v>
      </c>
      <c r="E18" s="26">
        <f t="shared" si="0"/>
        <v>3583001</v>
      </c>
    </row>
    <row r="19" spans="1:5" ht="13.5" customHeight="1">
      <c r="A19" s="331" t="s">
        <v>252</v>
      </c>
      <c r="B19" s="332">
        <v>1446663</v>
      </c>
      <c r="C19" s="332">
        <v>1533796</v>
      </c>
      <c r="D19" s="332">
        <v>-55493</v>
      </c>
      <c r="E19" s="332">
        <f t="shared" si="0"/>
        <v>2924966</v>
      </c>
    </row>
    <row r="20" spans="1:5" ht="13.5" customHeight="1">
      <c r="A20" s="25" t="s">
        <v>253</v>
      </c>
      <c r="B20" s="26">
        <v>1962868</v>
      </c>
      <c r="C20" s="26">
        <v>1937203</v>
      </c>
      <c r="D20" s="26">
        <v>-1000</v>
      </c>
      <c r="E20" s="26">
        <f t="shared" si="0"/>
        <v>3899071</v>
      </c>
    </row>
    <row r="21" spans="1:5" ht="13.5" customHeight="1">
      <c r="A21" s="331" t="s">
        <v>254</v>
      </c>
      <c r="B21" s="332">
        <v>903765</v>
      </c>
      <c r="C21" s="332">
        <v>609634</v>
      </c>
      <c r="D21" s="332">
        <v>-3102</v>
      </c>
      <c r="E21" s="332">
        <f t="shared" si="0"/>
        <v>1510297</v>
      </c>
    </row>
    <row r="22" spans="1:5" ht="13.5" customHeight="1">
      <c r="A22" s="25" t="s">
        <v>255</v>
      </c>
      <c r="B22" s="26">
        <v>363632</v>
      </c>
      <c r="C22" s="26">
        <v>323751</v>
      </c>
      <c r="D22" s="26">
        <v>11242</v>
      </c>
      <c r="E22" s="26">
        <f t="shared" si="0"/>
        <v>698625</v>
      </c>
    </row>
    <row r="23" spans="1:5" ht="13.5" customHeight="1">
      <c r="A23" s="331" t="s">
        <v>256</v>
      </c>
      <c r="B23" s="332">
        <v>542774</v>
      </c>
      <c r="C23" s="332">
        <v>684194</v>
      </c>
      <c r="D23" s="332">
        <v>-3097</v>
      </c>
      <c r="E23" s="332">
        <f t="shared" si="0"/>
        <v>1223871</v>
      </c>
    </row>
    <row r="24" spans="1:5" ht="13.5" customHeight="1">
      <c r="A24" s="25" t="s">
        <v>257</v>
      </c>
      <c r="B24" s="26">
        <v>1810537</v>
      </c>
      <c r="C24" s="26">
        <v>755268</v>
      </c>
      <c r="D24" s="26">
        <v>0</v>
      </c>
      <c r="E24" s="26">
        <f t="shared" si="0"/>
        <v>2565805</v>
      </c>
    </row>
    <row r="25" spans="1:5" ht="13.5" customHeight="1">
      <c r="A25" s="331" t="s">
        <v>258</v>
      </c>
      <c r="B25" s="332">
        <v>2565310</v>
      </c>
      <c r="C25" s="332">
        <v>2760203</v>
      </c>
      <c r="D25" s="332">
        <v>2574</v>
      </c>
      <c r="E25" s="332">
        <f t="shared" si="0"/>
        <v>5328087</v>
      </c>
    </row>
    <row r="26" spans="1:5" ht="13.5" customHeight="1">
      <c r="A26" s="25" t="s">
        <v>259</v>
      </c>
      <c r="B26" s="26">
        <v>1151315</v>
      </c>
      <c r="C26" s="26">
        <v>805398</v>
      </c>
      <c r="D26" s="26">
        <v>-238749</v>
      </c>
      <c r="E26" s="26">
        <f t="shared" si="0"/>
        <v>1717964</v>
      </c>
    </row>
    <row r="27" spans="1:5" ht="13.5" customHeight="1">
      <c r="A27" s="331" t="s">
        <v>260</v>
      </c>
      <c r="B27" s="332">
        <v>633057</v>
      </c>
      <c r="C27" s="332">
        <v>574193</v>
      </c>
      <c r="D27" s="332">
        <v>0</v>
      </c>
      <c r="E27" s="332">
        <f t="shared" si="0"/>
        <v>1207250</v>
      </c>
    </row>
    <row r="28" spans="1:5" ht="13.5" customHeight="1">
      <c r="A28" s="25" t="s">
        <v>261</v>
      </c>
      <c r="B28" s="26">
        <v>755259</v>
      </c>
      <c r="C28" s="26">
        <v>819094</v>
      </c>
      <c r="D28" s="26">
        <v>-2795</v>
      </c>
      <c r="E28" s="26">
        <f t="shared" si="0"/>
        <v>1571558</v>
      </c>
    </row>
    <row r="29" spans="1:5" ht="13.5" customHeight="1">
      <c r="A29" s="331" t="s">
        <v>262</v>
      </c>
      <c r="B29" s="332">
        <v>2743071</v>
      </c>
      <c r="C29" s="332">
        <v>1824862</v>
      </c>
      <c r="D29" s="332">
        <v>16804</v>
      </c>
      <c r="E29" s="332">
        <f t="shared" si="0"/>
        <v>4584737</v>
      </c>
    </row>
    <row r="30" spans="1:5" ht="13.5" customHeight="1">
      <c r="A30" s="25" t="s">
        <v>263</v>
      </c>
      <c r="B30" s="26">
        <v>479181</v>
      </c>
      <c r="C30" s="26">
        <v>260331</v>
      </c>
      <c r="D30" s="26">
        <v>0</v>
      </c>
      <c r="E30" s="26">
        <f t="shared" si="0"/>
        <v>739512</v>
      </c>
    </row>
    <row r="31" spans="1:5" ht="13.5" customHeight="1">
      <c r="A31" s="331" t="s">
        <v>264</v>
      </c>
      <c r="B31" s="332">
        <v>868875</v>
      </c>
      <c r="C31" s="332">
        <v>726547</v>
      </c>
      <c r="D31" s="332">
        <v>0</v>
      </c>
      <c r="E31" s="332">
        <f t="shared" si="0"/>
        <v>1595422</v>
      </c>
    </row>
    <row r="32" spans="1:5" ht="13.5" customHeight="1">
      <c r="A32" s="25" t="s">
        <v>265</v>
      </c>
      <c r="B32" s="26">
        <v>680050</v>
      </c>
      <c r="C32" s="26">
        <v>755347</v>
      </c>
      <c r="D32" s="26">
        <v>-500</v>
      </c>
      <c r="E32" s="26">
        <f t="shared" si="0"/>
        <v>1434897</v>
      </c>
    </row>
    <row r="33" spans="1:5" ht="13.5" customHeight="1">
      <c r="A33" s="331" t="s">
        <v>266</v>
      </c>
      <c r="B33" s="332">
        <v>999469</v>
      </c>
      <c r="C33" s="332">
        <v>842491</v>
      </c>
      <c r="D33" s="332">
        <v>-7500</v>
      </c>
      <c r="E33" s="332">
        <f t="shared" si="0"/>
        <v>1834460</v>
      </c>
    </row>
    <row r="34" spans="1:5" ht="13.5" customHeight="1">
      <c r="A34" s="25" t="s">
        <v>267</v>
      </c>
      <c r="B34" s="26">
        <v>855620</v>
      </c>
      <c r="C34" s="26">
        <v>961272.53</v>
      </c>
      <c r="D34" s="26">
        <v>-29706</v>
      </c>
      <c r="E34" s="26">
        <f t="shared" si="0"/>
        <v>1787186.53</v>
      </c>
    </row>
    <row r="35" spans="1:5" ht="13.5" customHeight="1">
      <c r="A35" s="331" t="s">
        <v>268</v>
      </c>
      <c r="B35" s="332">
        <v>4170373</v>
      </c>
      <c r="C35" s="332">
        <v>3907655</v>
      </c>
      <c r="D35" s="332">
        <v>95418</v>
      </c>
      <c r="E35" s="332">
        <f t="shared" si="0"/>
        <v>8173446</v>
      </c>
    </row>
    <row r="36" spans="1:5" ht="13.5" customHeight="1">
      <c r="A36" s="25" t="s">
        <v>269</v>
      </c>
      <c r="B36" s="26">
        <v>727207</v>
      </c>
      <c r="C36" s="26">
        <v>840688</v>
      </c>
      <c r="D36" s="26">
        <v>3600</v>
      </c>
      <c r="E36" s="26">
        <f t="shared" si="0"/>
        <v>1571495</v>
      </c>
    </row>
    <row r="37" spans="1:5" ht="13.5" customHeight="1">
      <c r="A37" s="331" t="s">
        <v>270</v>
      </c>
      <c r="B37" s="332">
        <v>1218491</v>
      </c>
      <c r="C37" s="332">
        <v>1716839</v>
      </c>
      <c r="D37" s="332">
        <v>-4900</v>
      </c>
      <c r="E37" s="332">
        <f t="shared" si="0"/>
        <v>2930430</v>
      </c>
    </row>
    <row r="38" spans="1:5" ht="13.5" customHeight="1">
      <c r="A38" s="25" t="s">
        <v>271</v>
      </c>
      <c r="B38" s="26">
        <v>1737834</v>
      </c>
      <c r="C38" s="26">
        <v>1543288</v>
      </c>
      <c r="D38" s="26">
        <v>308263</v>
      </c>
      <c r="E38" s="26">
        <f t="shared" si="0"/>
        <v>3589385</v>
      </c>
    </row>
    <row r="39" spans="1:5" ht="13.5" customHeight="1">
      <c r="A39" s="331" t="s">
        <v>272</v>
      </c>
      <c r="B39" s="332">
        <v>876852</v>
      </c>
      <c r="C39" s="332">
        <v>1352725</v>
      </c>
      <c r="D39" s="332">
        <v>0</v>
      </c>
      <c r="E39" s="332">
        <f t="shared" si="0"/>
        <v>2229577</v>
      </c>
    </row>
    <row r="40" spans="1:5" ht="13.5" customHeight="1">
      <c r="A40" s="25" t="s">
        <v>273</v>
      </c>
      <c r="B40" s="26">
        <v>1672991</v>
      </c>
      <c r="C40" s="26">
        <v>856647</v>
      </c>
      <c r="D40" s="26">
        <v>0</v>
      </c>
      <c r="E40" s="26">
        <f t="shared" si="0"/>
        <v>2529638</v>
      </c>
    </row>
    <row r="41" spans="1:5" ht="13.5" customHeight="1">
      <c r="A41" s="331" t="s">
        <v>274</v>
      </c>
      <c r="B41" s="332">
        <v>1556307</v>
      </c>
      <c r="C41" s="332">
        <v>1349798</v>
      </c>
      <c r="D41" s="332">
        <v>0</v>
      </c>
      <c r="E41" s="332">
        <f t="shared" si="0"/>
        <v>2906105</v>
      </c>
    </row>
    <row r="42" spans="1:5" ht="13.5" customHeight="1">
      <c r="A42" s="25" t="s">
        <v>275</v>
      </c>
      <c r="B42" s="26">
        <v>681741</v>
      </c>
      <c r="C42" s="26">
        <v>279974</v>
      </c>
      <c r="D42" s="26">
        <v>-4499</v>
      </c>
      <c r="E42" s="26">
        <f t="shared" si="0"/>
        <v>957216</v>
      </c>
    </row>
    <row r="43" spans="1:5" ht="13.5" customHeight="1">
      <c r="A43" s="331" t="s">
        <v>276</v>
      </c>
      <c r="B43" s="332">
        <v>383767</v>
      </c>
      <c r="C43" s="332">
        <v>438144</v>
      </c>
      <c r="D43" s="332">
        <v>3428</v>
      </c>
      <c r="E43" s="332">
        <f t="shared" si="0"/>
        <v>825339</v>
      </c>
    </row>
    <row r="44" spans="1:5" ht="13.5" customHeight="1">
      <c r="A44" s="25" t="s">
        <v>277</v>
      </c>
      <c r="B44" s="26">
        <v>408811</v>
      </c>
      <c r="C44" s="26">
        <v>307272</v>
      </c>
      <c r="D44" s="26">
        <v>-3200</v>
      </c>
      <c r="E44" s="26">
        <f t="shared" si="0"/>
        <v>712883</v>
      </c>
    </row>
    <row r="45" spans="1:5" ht="13.5" customHeight="1">
      <c r="A45" s="331" t="s">
        <v>278</v>
      </c>
      <c r="B45" s="332">
        <v>471216</v>
      </c>
      <c r="C45" s="332">
        <v>587081</v>
      </c>
      <c r="D45" s="332">
        <v>-1000</v>
      </c>
      <c r="E45" s="332">
        <f t="shared" si="0"/>
        <v>1057297</v>
      </c>
    </row>
    <row r="46" spans="1:5" ht="13.5" customHeight="1">
      <c r="A46" s="25" t="s">
        <v>279</v>
      </c>
      <c r="B46" s="26">
        <v>5152459</v>
      </c>
      <c r="C46" s="26">
        <v>8806465</v>
      </c>
      <c r="D46" s="26">
        <v>0</v>
      </c>
      <c r="E46" s="26">
        <f t="shared" si="0"/>
        <v>13958924</v>
      </c>
    </row>
    <row r="47" spans="1:5" ht="4.5" customHeight="1">
      <c r="A47" s="27"/>
      <c r="B47" s="28"/>
      <c r="C47" s="28"/>
      <c r="D47" s="28"/>
      <c r="E47" s="28"/>
    </row>
    <row r="48" spans="1:5" ht="13.5" customHeight="1">
      <c r="A48" s="333" t="s">
        <v>280</v>
      </c>
      <c r="B48" s="334">
        <f>SUM(B11:B46)</f>
        <v>46224925</v>
      </c>
      <c r="C48" s="334">
        <f>SUM(C11:C46)</f>
        <v>48450945.58</v>
      </c>
      <c r="D48" s="334">
        <f>SUM(D11:D46)</f>
        <v>258798.9899999987</v>
      </c>
      <c r="E48" s="334">
        <f>SUM(E11:E46)</f>
        <v>94934669.57</v>
      </c>
    </row>
    <row r="49" spans="1:5" ht="4.5" customHeight="1">
      <c r="A49" s="27" t="s">
        <v>32</v>
      </c>
      <c r="B49" s="28"/>
      <c r="C49" s="28"/>
      <c r="D49" s="28"/>
      <c r="E49" s="28"/>
    </row>
    <row r="50" spans="1:5" ht="13.5" customHeight="1">
      <c r="A50" s="25" t="s">
        <v>281</v>
      </c>
      <c r="B50" s="26">
        <v>67471</v>
      </c>
      <c r="C50" s="26">
        <v>31389</v>
      </c>
      <c r="D50" s="26">
        <v>0</v>
      </c>
      <c r="E50" s="26">
        <f>SUM(B50:D50)</f>
        <v>98860</v>
      </c>
    </row>
    <row r="51" spans="1:5" ht="13.5" customHeight="1">
      <c r="A51" s="331" t="s">
        <v>282</v>
      </c>
      <c r="B51" s="332">
        <v>270340</v>
      </c>
      <c r="C51" s="332">
        <v>102446</v>
      </c>
      <c r="D51" s="332">
        <v>0</v>
      </c>
      <c r="E51" s="332">
        <f>SUM(B51:D51)</f>
        <v>372786</v>
      </c>
    </row>
    <row r="52" spans="1:6" ht="49.5" customHeight="1">
      <c r="A52" s="29"/>
      <c r="B52" s="29"/>
      <c r="C52" s="29"/>
      <c r="D52" s="29"/>
      <c r="E52" s="29"/>
      <c r="F52" s="29"/>
    </row>
    <row r="53" spans="1:5" ht="15" customHeight="1">
      <c r="A53" s="554" t="s">
        <v>620</v>
      </c>
      <c r="B53" s="207"/>
      <c r="C53" s="207"/>
      <c r="D53" s="207"/>
      <c r="E53" s="207"/>
    </row>
    <row r="54" spans="1:5" ht="15" customHeight="1">
      <c r="A54" s="574" t="s">
        <v>619</v>
      </c>
      <c r="B54" s="207"/>
      <c r="C54" s="207"/>
      <c r="D54" s="207"/>
      <c r="E54" s="207"/>
    </row>
    <row r="55" ht="15" customHeight="1">
      <c r="A55" s="554" t="s">
        <v>574</v>
      </c>
    </row>
    <row r="56" ht="12">
      <c r="A56" s="554" t="s">
        <v>573</v>
      </c>
    </row>
  </sheetData>
  <mergeCells count="2">
    <mergeCell ref="B2:E2"/>
    <mergeCell ref="B3:E3"/>
  </mergeCells>
  <hyperlinks>
    <hyperlink ref="A54" r:id="rId1" display="http://www.edu.gov.mb.ca/k12/finance/sbr/frame/index.html"/>
  </hyperlinks>
  <printOptions horizontalCentered="1"/>
  <pageMargins left="0.5" right="0.5" top="0.6" bottom="0" header="0.3" footer="0"/>
  <pageSetup fitToHeight="1" fitToWidth="1" horizontalDpi="600" verticalDpi="600" orientation="portrait" scale="88" r:id="rId2"/>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sheetPr codeName="Sheet39">
    <pageSetUpPr fitToPage="1"/>
  </sheetPr>
  <dimension ref="A1:F54"/>
  <sheetViews>
    <sheetView showGridLines="0" showZeros="0" workbookViewId="0" topLeftCell="A1">
      <selection activeCell="A1" sqref="A1"/>
    </sheetView>
  </sheetViews>
  <sheetFormatPr defaultColWidth="15.83203125" defaultRowHeight="12"/>
  <cols>
    <col min="1" max="1" width="34.83203125" style="1" customWidth="1"/>
    <col min="2" max="4" width="22.83203125" style="1" customWidth="1"/>
    <col min="5" max="5" width="4.83203125" style="1" customWidth="1"/>
    <col min="6" max="6" width="25.83203125" style="1" customWidth="1"/>
    <col min="7" max="16384" width="15.83203125" style="1" customWidth="1"/>
  </cols>
  <sheetData>
    <row r="1" spans="1:5" ht="6.75" customHeight="1">
      <c r="A1" s="5"/>
      <c r="E1"/>
    </row>
    <row r="2" spans="1:6" ht="15.75" customHeight="1">
      <c r="A2" s="154"/>
      <c r="B2" s="595" t="s">
        <v>631</v>
      </c>
      <c r="C2" s="595"/>
      <c r="D2" s="595"/>
      <c r="E2" s="595"/>
      <c r="F2" s="268" t="s">
        <v>514</v>
      </c>
    </row>
    <row r="3" spans="1:6" ht="15.75" customHeight="1">
      <c r="A3" s="156"/>
      <c r="B3" s="594" t="s">
        <v>1</v>
      </c>
      <c r="C3" s="596"/>
      <c r="D3" s="596"/>
      <c r="E3" s="596"/>
      <c r="F3" s="262"/>
    </row>
    <row r="4" spans="2:5" ht="15.75" customHeight="1">
      <c r="B4" s="6"/>
      <c r="C4" s="6"/>
      <c r="D4" s="6"/>
      <c r="E4"/>
    </row>
    <row r="5" spans="2:5" ht="15.75" customHeight="1">
      <c r="B5" s="6"/>
      <c r="C5" s="6"/>
      <c r="D5" s="6"/>
      <c r="E5" s="570"/>
    </row>
    <row r="6" spans="2:6" ht="15.75" customHeight="1">
      <c r="B6" s="518" t="s">
        <v>4</v>
      </c>
      <c r="C6" s="564"/>
      <c r="D6" s="565"/>
      <c r="E6" s="570"/>
      <c r="F6" s="569" t="s">
        <v>121</v>
      </c>
    </row>
    <row r="7" spans="2:6" ht="15.75" customHeight="1">
      <c r="B7" s="410"/>
      <c r="C7" s="410"/>
      <c r="D7" s="439"/>
      <c r="E7" s="570"/>
      <c r="F7" s="419" t="s">
        <v>588</v>
      </c>
    </row>
    <row r="8" spans="1:6" ht="15.75" customHeight="1">
      <c r="A8" s="74"/>
      <c r="B8" s="396" t="s">
        <v>146</v>
      </c>
      <c r="C8" s="410" t="s">
        <v>74</v>
      </c>
      <c r="D8" s="410" t="s">
        <v>83</v>
      </c>
      <c r="E8" s="570"/>
      <c r="F8" s="419" t="s">
        <v>605</v>
      </c>
    </row>
    <row r="9" spans="1:6" ht="15.75" customHeight="1">
      <c r="A9" s="41" t="s">
        <v>108</v>
      </c>
      <c r="B9" s="347" t="s">
        <v>559</v>
      </c>
      <c r="C9" s="347" t="s">
        <v>560</v>
      </c>
      <c r="D9" s="357" t="s">
        <v>152</v>
      </c>
      <c r="E9"/>
      <c r="F9" s="348" t="s">
        <v>157</v>
      </c>
    </row>
    <row r="10" spans="1:6" ht="4.5" customHeight="1">
      <c r="A10" s="4"/>
      <c r="B10" s="237"/>
      <c r="C10" s="237"/>
      <c r="D10" s="237"/>
      <c r="E10"/>
      <c r="F10" s="237"/>
    </row>
    <row r="11" spans="1:6" ht="13.5" customHeight="1">
      <c r="A11" s="331" t="s">
        <v>245</v>
      </c>
      <c r="B11" s="332">
        <v>1774700</v>
      </c>
      <c r="C11" s="332">
        <v>0</v>
      </c>
      <c r="D11" s="332">
        <f aca="true" t="shared" si="0" ref="D11:D46">SUM(B11:C11)</f>
        <v>1774700</v>
      </c>
      <c r="E11"/>
      <c r="F11" s="332">
        <v>766525</v>
      </c>
    </row>
    <row r="12" spans="1:6" ht="13.5" customHeight="1">
      <c r="A12" s="25" t="s">
        <v>246</v>
      </c>
      <c r="B12" s="26">
        <v>900219</v>
      </c>
      <c r="C12" s="26">
        <v>116235</v>
      </c>
      <c r="D12" s="26">
        <f t="shared" si="0"/>
        <v>1016454</v>
      </c>
      <c r="E12"/>
      <c r="F12" s="26">
        <v>690645</v>
      </c>
    </row>
    <row r="13" spans="1:6" ht="13.5" customHeight="1">
      <c r="A13" s="331" t="s">
        <v>247</v>
      </c>
      <c r="B13" s="332">
        <v>3377277</v>
      </c>
      <c r="C13" s="332">
        <v>23341</v>
      </c>
      <c r="D13" s="332">
        <f t="shared" si="0"/>
        <v>3400618</v>
      </c>
      <c r="E13"/>
      <c r="F13" s="332">
        <v>725222</v>
      </c>
    </row>
    <row r="14" spans="1:6" ht="13.5" customHeight="1">
      <c r="A14" s="25" t="s">
        <v>283</v>
      </c>
      <c r="B14" s="26">
        <v>4404831.75</v>
      </c>
      <c r="C14" s="26">
        <v>1444487.26</v>
      </c>
      <c r="D14" s="26">
        <f t="shared" si="0"/>
        <v>5849319.01</v>
      </c>
      <c r="E14"/>
      <c r="F14" s="26">
        <v>897923.77</v>
      </c>
    </row>
    <row r="15" spans="1:6" ht="13.5" customHeight="1">
      <c r="A15" s="331" t="s">
        <v>248</v>
      </c>
      <c r="B15" s="332">
        <v>1619442</v>
      </c>
      <c r="C15" s="332">
        <v>0</v>
      </c>
      <c r="D15" s="332">
        <f t="shared" si="0"/>
        <v>1619442</v>
      </c>
      <c r="E15"/>
      <c r="F15" s="332">
        <v>622280</v>
      </c>
    </row>
    <row r="16" spans="1:6" ht="13.5" customHeight="1">
      <c r="A16" s="25" t="s">
        <v>249</v>
      </c>
      <c r="B16" s="26">
        <v>94594</v>
      </c>
      <c r="C16" s="26">
        <v>0</v>
      </c>
      <c r="D16" s="26">
        <f t="shared" si="0"/>
        <v>94594</v>
      </c>
      <c r="E16"/>
      <c r="F16" s="26">
        <v>30843</v>
      </c>
    </row>
    <row r="17" spans="1:6" ht="13.5" customHeight="1">
      <c r="A17" s="331" t="s">
        <v>250</v>
      </c>
      <c r="B17" s="332">
        <v>1670722</v>
      </c>
      <c r="C17" s="332">
        <v>7525</v>
      </c>
      <c r="D17" s="332">
        <f t="shared" si="0"/>
        <v>1678247</v>
      </c>
      <c r="E17"/>
      <c r="F17" s="332">
        <v>387762</v>
      </c>
    </row>
    <row r="18" spans="1:6" ht="13.5" customHeight="1">
      <c r="A18" s="25" t="s">
        <v>251</v>
      </c>
      <c r="B18" s="26">
        <v>2564092</v>
      </c>
      <c r="C18" s="26">
        <v>303525</v>
      </c>
      <c r="D18" s="26">
        <f t="shared" si="0"/>
        <v>2867617</v>
      </c>
      <c r="E18"/>
      <c r="F18" s="26">
        <v>400000</v>
      </c>
    </row>
    <row r="19" spans="1:6" ht="13.5" customHeight="1">
      <c r="A19" s="331" t="s">
        <v>252</v>
      </c>
      <c r="B19" s="332">
        <v>2383738</v>
      </c>
      <c r="C19" s="332">
        <v>19470</v>
      </c>
      <c r="D19" s="332">
        <f t="shared" si="0"/>
        <v>2403208</v>
      </c>
      <c r="E19"/>
      <c r="F19" s="332">
        <v>594205</v>
      </c>
    </row>
    <row r="20" spans="1:6" ht="13.5" customHeight="1">
      <c r="A20" s="25" t="s">
        <v>253</v>
      </c>
      <c r="B20" s="26">
        <v>3681054</v>
      </c>
      <c r="C20" s="26">
        <v>0</v>
      </c>
      <c r="D20" s="26">
        <f t="shared" si="0"/>
        <v>3681054</v>
      </c>
      <c r="E20"/>
      <c r="F20" s="26">
        <v>1046399</v>
      </c>
    </row>
    <row r="21" spans="1:6" ht="13.5" customHeight="1">
      <c r="A21" s="331" t="s">
        <v>254</v>
      </c>
      <c r="B21" s="332">
        <v>1092799</v>
      </c>
      <c r="C21" s="332">
        <v>0</v>
      </c>
      <c r="D21" s="332">
        <f t="shared" si="0"/>
        <v>1092799</v>
      </c>
      <c r="E21"/>
      <c r="F21" s="332">
        <v>775029</v>
      </c>
    </row>
    <row r="22" spans="1:6" ht="13.5" customHeight="1">
      <c r="A22" s="25" t="s">
        <v>255</v>
      </c>
      <c r="B22" s="26">
        <v>533017</v>
      </c>
      <c r="C22" s="26">
        <v>4209</v>
      </c>
      <c r="D22" s="26">
        <f t="shared" si="0"/>
        <v>537226</v>
      </c>
      <c r="E22"/>
      <c r="F22" s="26">
        <v>183311</v>
      </c>
    </row>
    <row r="23" spans="1:6" ht="13.5" customHeight="1">
      <c r="A23" s="331" t="s">
        <v>256</v>
      </c>
      <c r="B23" s="332">
        <v>987802</v>
      </c>
      <c r="C23" s="332">
        <v>0</v>
      </c>
      <c r="D23" s="332">
        <f t="shared" si="0"/>
        <v>987802</v>
      </c>
      <c r="E23"/>
      <c r="F23" s="332">
        <v>420747</v>
      </c>
    </row>
    <row r="24" spans="1:6" ht="13.5" customHeight="1">
      <c r="A24" s="25" t="s">
        <v>257</v>
      </c>
      <c r="B24" s="26">
        <v>1730318</v>
      </c>
      <c r="C24" s="26">
        <v>19320</v>
      </c>
      <c r="D24" s="26">
        <f t="shared" si="0"/>
        <v>1749638</v>
      </c>
      <c r="E24"/>
      <c r="F24" s="26">
        <v>1850460</v>
      </c>
    </row>
    <row r="25" spans="1:6" ht="13.5" customHeight="1">
      <c r="A25" s="331" t="s">
        <v>258</v>
      </c>
      <c r="B25" s="332">
        <v>5495772</v>
      </c>
      <c r="C25" s="332">
        <v>0</v>
      </c>
      <c r="D25" s="332">
        <f t="shared" si="0"/>
        <v>5495772</v>
      </c>
      <c r="E25"/>
      <c r="F25" s="332">
        <v>14898</v>
      </c>
    </row>
    <row r="26" spans="1:6" ht="13.5" customHeight="1">
      <c r="A26" s="25" t="s">
        <v>259</v>
      </c>
      <c r="B26" s="26">
        <v>1371876</v>
      </c>
      <c r="C26" s="26">
        <v>0</v>
      </c>
      <c r="D26" s="26">
        <f t="shared" si="0"/>
        <v>1371876</v>
      </c>
      <c r="E26"/>
      <c r="F26" s="26">
        <v>558252</v>
      </c>
    </row>
    <row r="27" spans="1:6" ht="13.5" customHeight="1">
      <c r="A27" s="331" t="s">
        <v>260</v>
      </c>
      <c r="B27" s="332">
        <v>1117797</v>
      </c>
      <c r="C27" s="332">
        <v>92323</v>
      </c>
      <c r="D27" s="332">
        <f t="shared" si="0"/>
        <v>1210120</v>
      </c>
      <c r="E27"/>
      <c r="F27" s="332">
        <v>302952</v>
      </c>
    </row>
    <row r="28" spans="1:6" ht="13.5" customHeight="1">
      <c r="A28" s="25" t="s">
        <v>261</v>
      </c>
      <c r="B28" s="26">
        <v>1609220</v>
      </c>
      <c r="C28" s="26">
        <v>0</v>
      </c>
      <c r="D28" s="26">
        <f t="shared" si="0"/>
        <v>1609220</v>
      </c>
      <c r="E28"/>
      <c r="F28" s="26">
        <v>133444</v>
      </c>
    </row>
    <row r="29" spans="1:6" ht="13.5" customHeight="1">
      <c r="A29" s="331" t="s">
        <v>262</v>
      </c>
      <c r="B29" s="332">
        <v>4202679</v>
      </c>
      <c r="C29" s="332">
        <v>139120</v>
      </c>
      <c r="D29" s="332">
        <f t="shared" si="0"/>
        <v>4341799</v>
      </c>
      <c r="E29"/>
      <c r="F29" s="332">
        <v>4684661</v>
      </c>
    </row>
    <row r="30" spans="1:6" ht="13.5" customHeight="1">
      <c r="A30" s="25" t="s">
        <v>263</v>
      </c>
      <c r="B30" s="26">
        <v>475892</v>
      </c>
      <c r="C30" s="26">
        <v>11619</v>
      </c>
      <c r="D30" s="26">
        <f t="shared" si="0"/>
        <v>487511</v>
      </c>
      <c r="E30"/>
      <c r="F30" s="26">
        <v>201855</v>
      </c>
    </row>
    <row r="31" spans="1:6" ht="13.5" customHeight="1">
      <c r="A31" s="331" t="s">
        <v>264</v>
      </c>
      <c r="B31" s="332">
        <v>1252117</v>
      </c>
      <c r="C31" s="332">
        <v>10202</v>
      </c>
      <c r="D31" s="332">
        <f t="shared" si="0"/>
        <v>1262319</v>
      </c>
      <c r="E31"/>
      <c r="F31" s="332">
        <v>140920</v>
      </c>
    </row>
    <row r="32" spans="1:6" ht="13.5" customHeight="1">
      <c r="A32" s="25" t="s">
        <v>265</v>
      </c>
      <c r="B32" s="26">
        <v>1262267</v>
      </c>
      <c r="C32" s="26">
        <v>0</v>
      </c>
      <c r="D32" s="26">
        <f t="shared" si="0"/>
        <v>1262267</v>
      </c>
      <c r="E32"/>
      <c r="F32" s="26">
        <v>964771</v>
      </c>
    </row>
    <row r="33" spans="1:6" ht="13.5" customHeight="1">
      <c r="A33" s="331" t="s">
        <v>266</v>
      </c>
      <c r="B33" s="332">
        <v>1713532</v>
      </c>
      <c r="C33" s="332">
        <v>0</v>
      </c>
      <c r="D33" s="332">
        <f t="shared" si="0"/>
        <v>1713532</v>
      </c>
      <c r="E33"/>
      <c r="F33" s="332">
        <v>414054</v>
      </c>
    </row>
    <row r="34" spans="1:6" ht="13.5" customHeight="1">
      <c r="A34" s="25" t="s">
        <v>267</v>
      </c>
      <c r="B34" s="26">
        <v>1566501</v>
      </c>
      <c r="C34" s="26">
        <v>0</v>
      </c>
      <c r="D34" s="26">
        <f t="shared" si="0"/>
        <v>1566501</v>
      </c>
      <c r="E34"/>
      <c r="F34" s="26">
        <v>695978.83</v>
      </c>
    </row>
    <row r="35" spans="1:6" ht="13.5" customHeight="1">
      <c r="A35" s="331" t="s">
        <v>268</v>
      </c>
      <c r="B35" s="332">
        <v>6293773</v>
      </c>
      <c r="C35" s="332">
        <v>74582</v>
      </c>
      <c r="D35" s="332">
        <f t="shared" si="0"/>
        <v>6368355</v>
      </c>
      <c r="E35"/>
      <c r="F35" s="332">
        <v>7524303</v>
      </c>
    </row>
    <row r="36" spans="1:6" ht="13.5" customHeight="1">
      <c r="A36" s="25" t="s">
        <v>269</v>
      </c>
      <c r="B36" s="26">
        <v>1484381</v>
      </c>
      <c r="C36" s="26">
        <v>0</v>
      </c>
      <c r="D36" s="26">
        <f t="shared" si="0"/>
        <v>1484381</v>
      </c>
      <c r="E36"/>
      <c r="F36" s="26">
        <v>283765</v>
      </c>
    </row>
    <row r="37" spans="1:6" ht="13.5" customHeight="1">
      <c r="A37" s="331" t="s">
        <v>270</v>
      </c>
      <c r="B37" s="332">
        <v>2673854</v>
      </c>
      <c r="C37" s="332">
        <v>29650</v>
      </c>
      <c r="D37" s="332">
        <f t="shared" si="0"/>
        <v>2703504</v>
      </c>
      <c r="E37"/>
      <c r="F37" s="332">
        <v>943062</v>
      </c>
    </row>
    <row r="38" spans="1:6" ht="13.5" customHeight="1">
      <c r="A38" s="25" t="s">
        <v>271</v>
      </c>
      <c r="B38" s="26">
        <v>2971767</v>
      </c>
      <c r="C38" s="26">
        <v>19130</v>
      </c>
      <c r="D38" s="26">
        <f t="shared" si="0"/>
        <v>2990897</v>
      </c>
      <c r="E38"/>
      <c r="F38" s="26">
        <v>2869421</v>
      </c>
    </row>
    <row r="39" spans="1:6" ht="13.5" customHeight="1">
      <c r="A39" s="331" t="s">
        <v>272</v>
      </c>
      <c r="B39" s="332">
        <v>1893364</v>
      </c>
      <c r="C39" s="332">
        <v>1113</v>
      </c>
      <c r="D39" s="332">
        <f t="shared" si="0"/>
        <v>1894477</v>
      </c>
      <c r="E39"/>
      <c r="F39" s="332">
        <v>357353</v>
      </c>
    </row>
    <row r="40" spans="1:6" ht="13.5" customHeight="1">
      <c r="A40" s="25" t="s">
        <v>273</v>
      </c>
      <c r="B40" s="26">
        <v>1549630</v>
      </c>
      <c r="C40" s="26">
        <v>63171</v>
      </c>
      <c r="D40" s="26">
        <f t="shared" si="0"/>
        <v>1612801</v>
      </c>
      <c r="E40"/>
      <c r="F40" s="26">
        <v>6040869</v>
      </c>
    </row>
    <row r="41" spans="1:6" ht="13.5" customHeight="1">
      <c r="A41" s="331" t="s">
        <v>274</v>
      </c>
      <c r="B41" s="332">
        <v>2371821</v>
      </c>
      <c r="C41" s="332">
        <v>57788</v>
      </c>
      <c r="D41" s="332">
        <f t="shared" si="0"/>
        <v>2429609</v>
      </c>
      <c r="E41"/>
      <c r="F41" s="332">
        <v>1271322</v>
      </c>
    </row>
    <row r="42" spans="1:6" ht="13.5" customHeight="1">
      <c r="A42" s="25" t="s">
        <v>275</v>
      </c>
      <c r="B42" s="26">
        <v>526484</v>
      </c>
      <c r="C42" s="26">
        <v>13</v>
      </c>
      <c r="D42" s="26">
        <f t="shared" si="0"/>
        <v>526497</v>
      </c>
      <c r="E42"/>
      <c r="F42" s="26">
        <v>443881</v>
      </c>
    </row>
    <row r="43" spans="1:6" ht="13.5" customHeight="1">
      <c r="A43" s="331" t="s">
        <v>276</v>
      </c>
      <c r="B43" s="332">
        <v>703688</v>
      </c>
      <c r="C43" s="332">
        <v>5690</v>
      </c>
      <c r="D43" s="332">
        <f t="shared" si="0"/>
        <v>709378</v>
      </c>
      <c r="E43"/>
      <c r="F43" s="332">
        <v>267985</v>
      </c>
    </row>
    <row r="44" spans="1:6" ht="13.5" customHeight="1">
      <c r="A44" s="25" t="s">
        <v>277</v>
      </c>
      <c r="B44" s="26">
        <v>488559</v>
      </c>
      <c r="C44" s="26">
        <v>0</v>
      </c>
      <c r="D44" s="26">
        <f t="shared" si="0"/>
        <v>488559</v>
      </c>
      <c r="E44"/>
      <c r="F44" s="26">
        <v>286323</v>
      </c>
    </row>
    <row r="45" spans="1:6" ht="13.5" customHeight="1">
      <c r="A45" s="331" t="s">
        <v>278</v>
      </c>
      <c r="B45" s="332">
        <v>981151</v>
      </c>
      <c r="C45" s="332">
        <v>0</v>
      </c>
      <c r="D45" s="332">
        <f t="shared" si="0"/>
        <v>981151</v>
      </c>
      <c r="E45"/>
      <c r="F45" s="332">
        <v>-281611.87</v>
      </c>
    </row>
    <row r="46" spans="1:6" ht="13.5" customHeight="1">
      <c r="A46" s="25" t="s">
        <v>279</v>
      </c>
      <c r="B46" s="26">
        <v>16474169</v>
      </c>
      <c r="C46" s="26">
        <v>341754</v>
      </c>
      <c r="D46" s="26">
        <f t="shared" si="0"/>
        <v>16815923</v>
      </c>
      <c r="E46"/>
      <c r="F46" s="26">
        <v>2193571</v>
      </c>
    </row>
    <row r="47" spans="1:6" ht="4.5" customHeight="1">
      <c r="A47" s="27"/>
      <c r="B47" s="28"/>
      <c r="C47" s="28"/>
      <c r="D47" s="28"/>
      <c r="E47"/>
      <c r="F47" s="28"/>
    </row>
    <row r="48" spans="1:6" ht="13.5" customHeight="1">
      <c r="A48" s="333" t="s">
        <v>280</v>
      </c>
      <c r="B48" s="334">
        <f>SUM(B11:B46)</f>
        <v>85294899.75</v>
      </c>
      <c r="C48" s="334">
        <f>SUM(C11:C46)</f>
        <v>2784267.26</v>
      </c>
      <c r="D48" s="334">
        <f>SUM(D11:D46)</f>
        <v>88079167.00999999</v>
      </c>
      <c r="E48"/>
      <c r="F48" s="334">
        <f>SUM(F11:F46)</f>
        <v>39703380.730000004</v>
      </c>
    </row>
    <row r="49" spans="1:6" ht="4.5" customHeight="1">
      <c r="A49" s="27" t="s">
        <v>32</v>
      </c>
      <c r="B49" s="28"/>
      <c r="C49" s="28"/>
      <c r="D49" s="28"/>
      <c r="E49"/>
      <c r="F49" s="28"/>
    </row>
    <row r="50" spans="1:6" ht="13.5" customHeight="1">
      <c r="A50" s="25" t="s">
        <v>281</v>
      </c>
      <c r="B50" s="26">
        <v>0</v>
      </c>
      <c r="C50" s="26">
        <v>0</v>
      </c>
      <c r="D50" s="26">
        <f>SUM(B50:C50)</f>
        <v>0</v>
      </c>
      <c r="E50"/>
      <c r="F50" s="26">
        <v>106730</v>
      </c>
    </row>
    <row r="51" spans="1:6" ht="13.5" customHeight="1">
      <c r="A51" s="331" t="s">
        <v>282</v>
      </c>
      <c r="B51" s="332">
        <v>176732</v>
      </c>
      <c r="C51" s="332">
        <v>401</v>
      </c>
      <c r="D51" s="332">
        <f>SUM(B51:C51)</f>
        <v>177133</v>
      </c>
      <c r="E51"/>
      <c r="F51" s="332">
        <v>149087</v>
      </c>
    </row>
    <row r="52" spans="1:6" ht="49.5" customHeight="1">
      <c r="A52" s="29"/>
      <c r="B52" s="29"/>
      <c r="C52" s="29"/>
      <c r="D52" s="29"/>
      <c r="E52" s="29"/>
      <c r="F52" s="29"/>
    </row>
    <row r="53" spans="1:5" ht="15" customHeight="1">
      <c r="A53" s="522" t="s">
        <v>552</v>
      </c>
      <c r="B53" s="207"/>
      <c r="C53" s="207"/>
      <c r="D53" s="207"/>
      <c r="E53" s="207"/>
    </row>
    <row r="54" ht="12">
      <c r="A54" s="522" t="s">
        <v>614</v>
      </c>
    </row>
  </sheetData>
  <mergeCells count="2">
    <mergeCell ref="B2:E2"/>
    <mergeCell ref="B3:E3"/>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E55"/>
  <sheetViews>
    <sheetView showGridLines="0" showZeros="0" workbookViewId="0" topLeftCell="A1">
      <selection activeCell="A1" sqref="A1"/>
    </sheetView>
  </sheetViews>
  <sheetFormatPr defaultColWidth="19.83203125" defaultRowHeight="12"/>
  <cols>
    <col min="1" max="1" width="32.83203125" style="1" customWidth="1"/>
    <col min="2" max="4" width="18.83203125" style="1" customWidth="1"/>
    <col min="5" max="5" width="44.83203125" style="1" customWidth="1"/>
    <col min="6" max="16384" width="19.83203125" style="1" customWidth="1"/>
  </cols>
  <sheetData>
    <row r="1" spans="1:2" ht="6.75" customHeight="1">
      <c r="A1" s="5"/>
      <c r="B1" s="5"/>
    </row>
    <row r="2" spans="1:5" ht="15.75" customHeight="1">
      <c r="A2" s="154"/>
      <c r="B2" s="595" t="s">
        <v>631</v>
      </c>
      <c r="C2" s="595"/>
      <c r="D2" s="595"/>
      <c r="E2" s="268" t="s">
        <v>513</v>
      </c>
    </row>
    <row r="3" spans="1:5" ht="15.75" customHeight="1">
      <c r="A3" s="156"/>
      <c r="B3" s="594" t="s">
        <v>569</v>
      </c>
      <c r="C3" s="594"/>
      <c r="D3" s="594"/>
      <c r="E3" s="262"/>
    </row>
    <row r="4" spans="3:4" ht="15.75" customHeight="1">
      <c r="C4" s="6"/>
      <c r="D4" s="6"/>
    </row>
    <row r="5" spans="2:4" ht="15.75" customHeight="1">
      <c r="B5" s="571"/>
      <c r="C5" s="572"/>
      <c r="D5" s="572"/>
    </row>
    <row r="6" spans="2:4" ht="15.75" customHeight="1">
      <c r="B6" s="533" t="s">
        <v>509</v>
      </c>
      <c r="C6" s="597" t="s">
        <v>546</v>
      </c>
      <c r="D6" s="598"/>
    </row>
    <row r="7" spans="2:4" ht="15.75" customHeight="1">
      <c r="B7" s="534" t="s">
        <v>508</v>
      </c>
      <c r="C7" s="532" t="s">
        <v>547</v>
      </c>
      <c r="D7" s="516"/>
    </row>
    <row r="8" spans="1:4" ht="15.75" customHeight="1">
      <c r="A8" s="510"/>
      <c r="B8" s="534" t="s">
        <v>510</v>
      </c>
      <c r="C8" s="532" t="s">
        <v>548</v>
      </c>
      <c r="D8" s="532" t="s">
        <v>545</v>
      </c>
    </row>
    <row r="9" spans="1:4" ht="15.75" customHeight="1">
      <c r="A9" s="511" t="s">
        <v>108</v>
      </c>
      <c r="B9" s="535" t="s">
        <v>511</v>
      </c>
      <c r="C9" s="551" t="s">
        <v>563</v>
      </c>
      <c r="D9" s="551" t="s">
        <v>564</v>
      </c>
    </row>
    <row r="10" spans="1:3" ht="4.5" customHeight="1">
      <c r="A10" s="4"/>
      <c r="B10" s="237"/>
      <c r="C10" s="237"/>
    </row>
    <row r="11" spans="1:4" ht="13.5" customHeight="1">
      <c r="A11" s="331" t="s">
        <v>245</v>
      </c>
      <c r="B11" s="538">
        <v>1741419</v>
      </c>
      <c r="C11" s="536">
        <v>1707408</v>
      </c>
      <c r="D11" s="332">
        <v>34011</v>
      </c>
    </row>
    <row r="12" spans="1:4" ht="13.5" customHeight="1">
      <c r="A12" s="25" t="s">
        <v>246</v>
      </c>
      <c r="B12" s="539">
        <v>3025931.6</v>
      </c>
      <c r="C12" s="537">
        <v>2822443.5</v>
      </c>
      <c r="D12" s="26">
        <v>203488</v>
      </c>
    </row>
    <row r="13" spans="1:4" ht="13.5" customHeight="1">
      <c r="A13" s="331" t="s">
        <v>247</v>
      </c>
      <c r="B13" s="538">
        <v>9350610</v>
      </c>
      <c r="C13" s="536">
        <v>8940546</v>
      </c>
      <c r="D13" s="332">
        <v>410063</v>
      </c>
    </row>
    <row r="14" spans="1:4" ht="13.5" customHeight="1">
      <c r="A14" s="25" t="s">
        <v>283</v>
      </c>
      <c r="B14" s="539">
        <v>4998085.01</v>
      </c>
      <c r="C14" s="537">
        <v>4998085.18</v>
      </c>
      <c r="D14" s="26">
        <v>0</v>
      </c>
    </row>
    <row r="15" spans="1:4" ht="13.5" customHeight="1">
      <c r="A15" s="331" t="s">
        <v>248</v>
      </c>
      <c r="B15" s="538">
        <v>1993414</v>
      </c>
      <c r="C15" s="536">
        <v>1560350</v>
      </c>
      <c r="D15" s="332">
        <v>433064</v>
      </c>
    </row>
    <row r="16" spans="1:4" ht="13.5" customHeight="1">
      <c r="A16" s="25" t="s">
        <v>249</v>
      </c>
      <c r="B16" s="539">
        <v>1500243</v>
      </c>
      <c r="C16" s="537">
        <v>1500243</v>
      </c>
      <c r="D16" s="26">
        <v>0</v>
      </c>
    </row>
    <row r="17" spans="1:4" ht="13.5" customHeight="1">
      <c r="A17" s="331" t="s">
        <v>250</v>
      </c>
      <c r="B17" s="538">
        <v>2580400</v>
      </c>
      <c r="C17" s="536">
        <v>2500307</v>
      </c>
      <c r="D17" s="332">
        <v>80093</v>
      </c>
    </row>
    <row r="18" spans="1:4" ht="13.5" customHeight="1">
      <c r="A18" s="25" t="s">
        <v>251</v>
      </c>
      <c r="B18" s="539">
        <v>4711860</v>
      </c>
      <c r="C18" s="537">
        <v>4474646</v>
      </c>
      <c r="D18" s="26">
        <v>237214</v>
      </c>
    </row>
    <row r="19" spans="1:4" ht="13.5" customHeight="1">
      <c r="A19" s="331" t="s">
        <v>252</v>
      </c>
      <c r="B19" s="538">
        <v>11272359</v>
      </c>
      <c r="C19" s="536">
        <v>11260145</v>
      </c>
      <c r="D19" s="332">
        <v>12214</v>
      </c>
    </row>
    <row r="20" spans="1:4" ht="13.5" customHeight="1">
      <c r="A20" s="25" t="s">
        <v>253</v>
      </c>
      <c r="B20" s="539">
        <v>6852304</v>
      </c>
      <c r="C20" s="537">
        <v>6852304</v>
      </c>
      <c r="D20" s="26">
        <v>0</v>
      </c>
    </row>
    <row r="21" spans="1:4" ht="13.5" customHeight="1">
      <c r="A21" s="331" t="s">
        <v>254</v>
      </c>
      <c r="B21" s="538">
        <v>3160936</v>
      </c>
      <c r="C21" s="536">
        <v>2821650.32</v>
      </c>
      <c r="D21" s="332">
        <v>339285.68</v>
      </c>
    </row>
    <row r="22" spans="1:4" ht="13.5" customHeight="1">
      <c r="A22" s="25" t="s">
        <v>255</v>
      </c>
      <c r="B22" s="539">
        <v>325434</v>
      </c>
      <c r="C22" s="537">
        <v>325434</v>
      </c>
      <c r="D22" s="26">
        <v>0</v>
      </c>
    </row>
    <row r="23" spans="1:4" ht="13.5" customHeight="1">
      <c r="A23" s="331" t="s">
        <v>256</v>
      </c>
      <c r="B23" s="538">
        <v>2310655</v>
      </c>
      <c r="C23" s="536">
        <v>2307558</v>
      </c>
      <c r="D23" s="332">
        <v>3097</v>
      </c>
    </row>
    <row r="24" spans="1:4" ht="13.5" customHeight="1">
      <c r="A24" s="25" t="s">
        <v>257</v>
      </c>
      <c r="B24" s="539">
        <v>8787509</v>
      </c>
      <c r="C24" s="537">
        <v>8591114</v>
      </c>
      <c r="D24" s="26">
        <v>196395</v>
      </c>
    </row>
    <row r="25" spans="1:4" ht="13.5" customHeight="1">
      <c r="A25" s="331" t="s">
        <v>258</v>
      </c>
      <c r="B25" s="538">
        <v>17702824.21000001</v>
      </c>
      <c r="C25" s="536">
        <v>15587351.290000003</v>
      </c>
      <c r="D25" s="332">
        <v>2115472.98</v>
      </c>
    </row>
    <row r="26" spans="1:4" ht="13.5" customHeight="1">
      <c r="A26" s="25" t="s">
        <v>259</v>
      </c>
      <c r="B26" s="539">
        <v>2932538</v>
      </c>
      <c r="C26" s="537">
        <v>2877563</v>
      </c>
      <c r="D26" s="26">
        <v>54975</v>
      </c>
    </row>
    <row r="27" spans="1:4" ht="13.5" customHeight="1">
      <c r="A27" s="331" t="s">
        <v>260</v>
      </c>
      <c r="B27" s="538">
        <v>4348664</v>
      </c>
      <c r="C27" s="536">
        <v>4348664</v>
      </c>
      <c r="D27" s="332">
        <v>0</v>
      </c>
    </row>
    <row r="28" spans="1:4" ht="13.5" customHeight="1">
      <c r="A28" s="25" t="s">
        <v>261</v>
      </c>
      <c r="B28" s="539">
        <v>762916</v>
      </c>
      <c r="C28" s="537">
        <v>762916</v>
      </c>
      <c r="D28" s="26">
        <v>0</v>
      </c>
    </row>
    <row r="29" spans="1:4" ht="13.5" customHeight="1">
      <c r="A29" s="331" t="s">
        <v>262</v>
      </c>
      <c r="B29" s="538">
        <v>18982207</v>
      </c>
      <c r="C29" s="536">
        <v>17745721</v>
      </c>
      <c r="D29" s="332">
        <v>1236486</v>
      </c>
    </row>
    <row r="30" spans="1:4" ht="13.5" customHeight="1">
      <c r="A30" s="25" t="s">
        <v>263</v>
      </c>
      <c r="B30" s="539">
        <v>2428428</v>
      </c>
      <c r="C30" s="537">
        <v>2020925</v>
      </c>
      <c r="D30" s="26">
        <v>407503</v>
      </c>
    </row>
    <row r="31" spans="1:4" ht="13.5" customHeight="1">
      <c r="A31" s="331" t="s">
        <v>264</v>
      </c>
      <c r="B31" s="538">
        <v>4903038</v>
      </c>
      <c r="C31" s="536">
        <v>4903038</v>
      </c>
      <c r="D31" s="332">
        <v>0</v>
      </c>
    </row>
    <row r="32" spans="1:4" ht="13.5" customHeight="1">
      <c r="A32" s="25" t="s">
        <v>265</v>
      </c>
      <c r="B32" s="539">
        <v>1766672</v>
      </c>
      <c r="C32" s="537">
        <v>931927</v>
      </c>
      <c r="D32" s="26">
        <v>834745</v>
      </c>
    </row>
    <row r="33" spans="1:4" ht="13.5" customHeight="1">
      <c r="A33" s="331" t="s">
        <v>266</v>
      </c>
      <c r="B33" s="538">
        <v>3607867</v>
      </c>
      <c r="C33" s="536">
        <v>3377145</v>
      </c>
      <c r="D33" s="332">
        <v>230722</v>
      </c>
    </row>
    <row r="34" spans="1:4" ht="13.5" customHeight="1">
      <c r="A34" s="25" t="s">
        <v>267</v>
      </c>
      <c r="B34" s="539">
        <v>3567630.3</v>
      </c>
      <c r="C34" s="537">
        <v>3429578</v>
      </c>
      <c r="D34" s="26">
        <v>138052</v>
      </c>
    </row>
    <row r="35" spans="1:4" ht="13.5" customHeight="1">
      <c r="A35" s="331" t="s">
        <v>268</v>
      </c>
      <c r="B35" s="538">
        <v>12022417</v>
      </c>
      <c r="C35" s="536">
        <v>11833904</v>
      </c>
      <c r="D35" s="332">
        <v>188513</v>
      </c>
    </row>
    <row r="36" spans="1:4" ht="13.5" customHeight="1">
      <c r="A36" s="25" t="s">
        <v>269</v>
      </c>
      <c r="B36" s="539">
        <v>1470579</v>
      </c>
      <c r="C36" s="537">
        <v>1284297</v>
      </c>
      <c r="D36" s="26">
        <v>186282</v>
      </c>
    </row>
    <row r="37" spans="1:4" ht="13.5" customHeight="1">
      <c r="A37" s="331" t="s">
        <v>270</v>
      </c>
      <c r="B37" s="538">
        <v>3051629</v>
      </c>
      <c r="C37" s="536">
        <v>2697047</v>
      </c>
      <c r="D37" s="332">
        <v>354582</v>
      </c>
    </row>
    <row r="38" spans="1:4" ht="13.5" customHeight="1">
      <c r="A38" s="25" t="s">
        <v>271</v>
      </c>
      <c r="B38" s="539">
        <v>20878813</v>
      </c>
      <c r="C38" s="537">
        <v>18561504</v>
      </c>
      <c r="D38" s="26">
        <v>2317309</v>
      </c>
    </row>
    <row r="39" spans="1:4" ht="13.5" customHeight="1">
      <c r="A39" s="331" t="s">
        <v>272</v>
      </c>
      <c r="B39" s="538">
        <v>46218</v>
      </c>
      <c r="C39" s="536">
        <v>9835</v>
      </c>
      <c r="D39" s="332">
        <v>36383</v>
      </c>
    </row>
    <row r="40" spans="1:4" ht="13.5" customHeight="1">
      <c r="A40" s="25" t="s">
        <v>273</v>
      </c>
      <c r="B40" s="539">
        <v>21207954</v>
      </c>
      <c r="C40" s="537">
        <v>17354822</v>
      </c>
      <c r="D40" s="26">
        <v>3853132</v>
      </c>
    </row>
    <row r="41" spans="1:4" ht="13.5" customHeight="1">
      <c r="A41" s="331" t="s">
        <v>274</v>
      </c>
      <c r="B41" s="538">
        <v>7933065</v>
      </c>
      <c r="C41" s="536">
        <v>6713939</v>
      </c>
      <c r="D41" s="332">
        <v>1219126</v>
      </c>
    </row>
    <row r="42" spans="1:4" ht="13.5" customHeight="1">
      <c r="A42" s="25" t="s">
        <v>275</v>
      </c>
      <c r="B42" s="539">
        <v>2204804</v>
      </c>
      <c r="C42" s="537">
        <v>1775218</v>
      </c>
      <c r="D42" s="26">
        <v>429586</v>
      </c>
    </row>
    <row r="43" spans="1:4" ht="13.5" customHeight="1">
      <c r="A43" s="331" t="s">
        <v>276</v>
      </c>
      <c r="B43" s="538">
        <v>350152</v>
      </c>
      <c r="C43" s="536">
        <v>210853</v>
      </c>
      <c r="D43" s="332">
        <v>139299</v>
      </c>
    </row>
    <row r="44" spans="1:4" ht="13.5" customHeight="1">
      <c r="A44" s="25" t="s">
        <v>277</v>
      </c>
      <c r="B44" s="539">
        <v>1492789</v>
      </c>
      <c r="C44" s="537">
        <v>1075296</v>
      </c>
      <c r="D44" s="26">
        <v>417493</v>
      </c>
    </row>
    <row r="45" spans="1:4" ht="13.5" customHeight="1">
      <c r="A45" s="331" t="s">
        <v>278</v>
      </c>
      <c r="B45" s="538">
        <v>1086487.51</v>
      </c>
      <c r="C45" s="536">
        <v>1077648.62</v>
      </c>
      <c r="D45" s="332">
        <v>8839</v>
      </c>
    </row>
    <row r="46" spans="1:4" ht="13.5" customHeight="1">
      <c r="A46" s="25" t="s">
        <v>279</v>
      </c>
      <c r="B46" s="539">
        <v>30910227</v>
      </c>
      <c r="C46" s="537">
        <v>30028096</v>
      </c>
      <c r="D46" s="26">
        <v>882131</v>
      </c>
    </row>
    <row r="47" spans="1:4" ht="4.5" customHeight="1">
      <c r="A47" s="27"/>
      <c r="B47" s="28"/>
      <c r="C47" s="28"/>
      <c r="D47" s="28"/>
    </row>
    <row r="48" spans="1:4" ht="13.5" customHeight="1">
      <c r="A48" s="333" t="s">
        <v>280</v>
      </c>
      <c r="B48" s="541">
        <f>SUM(B11:B46)</f>
        <v>226269078.63</v>
      </c>
      <c r="C48" s="540">
        <f>SUM(C11:C46)</f>
        <v>209269521.91000003</v>
      </c>
      <c r="D48" s="334">
        <f>SUM(D11:D46)</f>
        <v>16999555.66</v>
      </c>
    </row>
    <row r="49" spans="1:4" ht="4.5" customHeight="1">
      <c r="A49" s="27" t="s">
        <v>32</v>
      </c>
      <c r="B49" s="28"/>
      <c r="C49" s="28"/>
      <c r="D49" s="28"/>
    </row>
    <row r="50" spans="1:4" ht="13.5" customHeight="1">
      <c r="A50" s="25" t="s">
        <v>281</v>
      </c>
      <c r="B50" s="539">
        <v>884546</v>
      </c>
      <c r="C50" s="537">
        <v>884546</v>
      </c>
      <c r="D50" s="26">
        <v>0</v>
      </c>
    </row>
    <row r="51" spans="1:4" ht="13.5" customHeight="1">
      <c r="A51" s="331" t="s">
        <v>282</v>
      </c>
      <c r="B51" s="538">
        <v>4495220</v>
      </c>
      <c r="C51" s="536">
        <v>4495220</v>
      </c>
      <c r="D51" s="332">
        <v>0</v>
      </c>
    </row>
    <row r="52" spans="1:5" ht="49.5" customHeight="1">
      <c r="A52" s="29"/>
      <c r="B52" s="29"/>
      <c r="C52" s="29"/>
      <c r="D52" s="29"/>
      <c r="E52" s="29"/>
    </row>
    <row r="53" spans="1:5" ht="15" customHeight="1">
      <c r="A53" s="557" t="s">
        <v>2</v>
      </c>
      <c r="B53" s="326"/>
      <c r="C53" s="207"/>
      <c r="D53" s="207"/>
      <c r="E53" s="207"/>
    </row>
    <row r="54" ht="12">
      <c r="A54" s="562" t="s">
        <v>579</v>
      </c>
    </row>
    <row r="55" ht="12">
      <c r="A55" s="558" t="s">
        <v>578</v>
      </c>
    </row>
  </sheetData>
  <mergeCells count="3">
    <mergeCell ref="C6:D6"/>
    <mergeCell ref="B2:D2"/>
    <mergeCell ref="B3:D3"/>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G57"/>
  <sheetViews>
    <sheetView showGridLines="0" showZeros="0" workbookViewId="0" topLeftCell="A1">
      <selection activeCell="A1" sqref="A1"/>
    </sheetView>
  </sheetViews>
  <sheetFormatPr defaultColWidth="15.83203125" defaultRowHeight="12"/>
  <cols>
    <col min="1" max="1" width="30.83203125" style="1" customWidth="1"/>
    <col min="2" max="6" width="16.83203125" style="1" customWidth="1"/>
    <col min="7" max="7" width="17.83203125" style="1" customWidth="1"/>
    <col min="8" max="16384" width="15.83203125" style="1" customWidth="1"/>
  </cols>
  <sheetData>
    <row r="1" ht="6.75" customHeight="1">
      <c r="A1" s="5"/>
    </row>
    <row r="2" spans="1:7" ht="15.75" customHeight="1">
      <c r="A2" s="154"/>
      <c r="B2" s="595" t="s">
        <v>631</v>
      </c>
      <c r="C2" s="595"/>
      <c r="D2" s="595"/>
      <c r="E2" s="595"/>
      <c r="F2" s="595"/>
      <c r="G2" s="268" t="s">
        <v>515</v>
      </c>
    </row>
    <row r="3" spans="1:7" ht="15.75" customHeight="1">
      <c r="A3" s="156"/>
      <c r="B3" s="594" t="s">
        <v>6</v>
      </c>
      <c r="C3" s="594"/>
      <c r="D3" s="594"/>
      <c r="E3" s="594"/>
      <c r="F3" s="594"/>
      <c r="G3" s="262"/>
    </row>
    <row r="4" spans="2:5" ht="15.75" customHeight="1">
      <c r="B4" s="6"/>
      <c r="C4" s="263"/>
      <c r="D4" s="6"/>
      <c r="E4" s="6"/>
    </row>
    <row r="5" spans="2:5" ht="15.75" customHeight="1">
      <c r="B5" s="6"/>
      <c r="C5" s="6"/>
      <c r="D5" s="6"/>
      <c r="E5" s="6"/>
    </row>
    <row r="6" spans="2:7" ht="15.75" customHeight="1">
      <c r="B6" s="521" t="s">
        <v>616</v>
      </c>
      <c r="C6" s="8"/>
      <c r="D6" s="8"/>
      <c r="E6" s="8"/>
      <c r="F6" s="8"/>
      <c r="G6" s="196"/>
    </row>
    <row r="7" spans="2:7" ht="15.75" customHeight="1">
      <c r="B7" s="542"/>
      <c r="C7" s="542"/>
      <c r="D7" s="566" t="s">
        <v>598</v>
      </c>
      <c r="E7" s="566" t="s">
        <v>599</v>
      </c>
      <c r="F7" s="542"/>
      <c r="G7" s="519"/>
    </row>
    <row r="8" spans="1:7" ht="15.75" customHeight="1">
      <c r="A8" s="510"/>
      <c r="B8" s="599" t="s">
        <v>561</v>
      </c>
      <c r="C8" s="543"/>
      <c r="D8" s="567" t="s">
        <v>600</v>
      </c>
      <c r="E8" s="567" t="s">
        <v>601</v>
      </c>
      <c r="F8" s="543"/>
      <c r="G8" s="520"/>
    </row>
    <row r="9" spans="1:7" ht="15.75" customHeight="1">
      <c r="A9" s="511" t="s">
        <v>108</v>
      </c>
      <c r="B9" s="600"/>
      <c r="C9" s="544" t="s">
        <v>562</v>
      </c>
      <c r="D9" s="515" t="s">
        <v>170</v>
      </c>
      <c r="E9" s="568" t="s">
        <v>602</v>
      </c>
      <c r="F9" s="544" t="s">
        <v>609</v>
      </c>
      <c r="G9" s="347" t="s">
        <v>83</v>
      </c>
    </row>
    <row r="10" spans="1:7" ht="4.5" customHeight="1">
      <c r="A10" s="4"/>
      <c r="B10" s="237"/>
      <c r="C10" s="237"/>
      <c r="D10" s="237"/>
      <c r="E10" s="237"/>
      <c r="F10" s="237"/>
      <c r="G10" s="237"/>
    </row>
    <row r="11" spans="1:7" ht="13.5" customHeight="1">
      <c r="A11" s="331" t="s">
        <v>245</v>
      </c>
      <c r="B11" s="332">
        <v>0</v>
      </c>
      <c r="C11" s="332">
        <v>4288193</v>
      </c>
      <c r="D11" s="332">
        <v>65436</v>
      </c>
      <c r="E11" s="332">
        <v>25453</v>
      </c>
      <c r="F11" s="332">
        <v>171787</v>
      </c>
      <c r="G11" s="332">
        <f>SUM(B11:F11)</f>
        <v>4550869</v>
      </c>
    </row>
    <row r="12" spans="1:7" ht="13.5" customHeight="1">
      <c r="A12" s="25" t="s">
        <v>246</v>
      </c>
      <c r="B12" s="26">
        <v>0</v>
      </c>
      <c r="C12" s="26">
        <v>1387597</v>
      </c>
      <c r="D12" s="26">
        <v>418228</v>
      </c>
      <c r="E12" s="26">
        <v>0</v>
      </c>
      <c r="F12" s="26">
        <v>416483</v>
      </c>
      <c r="G12" s="26">
        <f>SUM(B12:F12)</f>
        <v>2222308</v>
      </c>
    </row>
    <row r="13" spans="1:7" ht="13.5" customHeight="1">
      <c r="A13" s="331" t="s">
        <v>247</v>
      </c>
      <c r="B13" s="332">
        <v>0</v>
      </c>
      <c r="C13" s="332">
        <v>332805</v>
      </c>
      <c r="D13" s="332">
        <v>54881</v>
      </c>
      <c r="E13" s="332">
        <v>0</v>
      </c>
      <c r="F13" s="332">
        <v>657152</v>
      </c>
      <c r="G13" s="332">
        <f aca="true" t="shared" si="0" ref="G13:G46">SUM(B13:F13)</f>
        <v>1044838</v>
      </c>
    </row>
    <row r="14" spans="1:7" ht="13.5" customHeight="1">
      <c r="A14" s="25" t="s">
        <v>283</v>
      </c>
      <c r="B14" s="26">
        <v>1856238</v>
      </c>
      <c r="C14" s="26">
        <v>4853202.15</v>
      </c>
      <c r="D14" s="26">
        <v>194407.61</v>
      </c>
      <c r="E14" s="26">
        <v>0</v>
      </c>
      <c r="F14" s="26">
        <v>0</v>
      </c>
      <c r="G14" s="26">
        <f t="shared" si="0"/>
        <v>6903847.76</v>
      </c>
    </row>
    <row r="15" spans="1:7" ht="13.5" customHeight="1">
      <c r="A15" s="331" t="s">
        <v>248</v>
      </c>
      <c r="B15" s="332">
        <v>0</v>
      </c>
      <c r="C15" s="332">
        <v>697656</v>
      </c>
      <c r="D15" s="332">
        <v>17312</v>
      </c>
      <c r="E15" s="332">
        <v>0</v>
      </c>
      <c r="F15" s="332">
        <v>0</v>
      </c>
      <c r="G15" s="332">
        <f t="shared" si="0"/>
        <v>714968</v>
      </c>
    </row>
    <row r="16" spans="1:7" ht="13.5" customHeight="1">
      <c r="A16" s="25" t="s">
        <v>249</v>
      </c>
      <c r="B16" s="26">
        <v>0</v>
      </c>
      <c r="C16" s="26">
        <v>623166</v>
      </c>
      <c r="D16" s="26">
        <v>101500</v>
      </c>
      <c r="E16" s="26">
        <v>0</v>
      </c>
      <c r="F16" s="26">
        <v>0</v>
      </c>
      <c r="G16" s="26">
        <f t="shared" si="0"/>
        <v>724666</v>
      </c>
    </row>
    <row r="17" spans="1:7" ht="13.5" customHeight="1">
      <c r="A17" s="331" t="s">
        <v>250</v>
      </c>
      <c r="B17" s="332">
        <v>0</v>
      </c>
      <c r="C17" s="332">
        <v>224764</v>
      </c>
      <c r="D17" s="332">
        <v>157418</v>
      </c>
      <c r="E17" s="332">
        <v>11981</v>
      </c>
      <c r="F17" s="332">
        <v>275614</v>
      </c>
      <c r="G17" s="332">
        <f t="shared" si="0"/>
        <v>669777</v>
      </c>
    </row>
    <row r="18" spans="1:7" ht="13.5" customHeight="1">
      <c r="A18" s="25" t="s">
        <v>251</v>
      </c>
      <c r="B18" s="26">
        <v>0</v>
      </c>
      <c r="C18" s="26">
        <v>11108064</v>
      </c>
      <c r="D18" s="26">
        <v>182755</v>
      </c>
      <c r="E18" s="26">
        <v>0</v>
      </c>
      <c r="F18" s="26">
        <v>608354</v>
      </c>
      <c r="G18" s="26">
        <f t="shared" si="0"/>
        <v>11899173</v>
      </c>
    </row>
    <row r="19" spans="1:7" ht="13.5" customHeight="1">
      <c r="A19" s="331" t="s">
        <v>252</v>
      </c>
      <c r="B19" s="332">
        <v>0</v>
      </c>
      <c r="C19" s="332">
        <v>3617681</v>
      </c>
      <c r="D19" s="332">
        <v>156632</v>
      </c>
      <c r="E19" s="332">
        <v>20970</v>
      </c>
      <c r="F19" s="332">
        <v>180170</v>
      </c>
      <c r="G19" s="332">
        <f t="shared" si="0"/>
        <v>3975453</v>
      </c>
    </row>
    <row r="20" spans="1:7" ht="13.5" customHeight="1">
      <c r="A20" s="25" t="s">
        <v>253</v>
      </c>
      <c r="B20" s="26">
        <v>0</v>
      </c>
      <c r="C20" s="26">
        <v>401663</v>
      </c>
      <c r="D20" s="26">
        <v>40827</v>
      </c>
      <c r="E20" s="26">
        <v>0</v>
      </c>
      <c r="F20" s="26">
        <v>489595</v>
      </c>
      <c r="G20" s="26">
        <f t="shared" si="0"/>
        <v>932085</v>
      </c>
    </row>
    <row r="21" spans="1:7" ht="13.5" customHeight="1">
      <c r="A21" s="331" t="s">
        <v>254</v>
      </c>
      <c r="B21" s="332">
        <v>0</v>
      </c>
      <c r="C21" s="332">
        <v>1108045</v>
      </c>
      <c r="D21" s="332">
        <v>109585</v>
      </c>
      <c r="E21" s="332">
        <v>0</v>
      </c>
      <c r="F21" s="332">
        <v>351836</v>
      </c>
      <c r="G21" s="332">
        <f t="shared" si="0"/>
        <v>1569466</v>
      </c>
    </row>
    <row r="22" spans="1:7" ht="13.5" customHeight="1">
      <c r="A22" s="25" t="s">
        <v>255</v>
      </c>
      <c r="B22" s="26">
        <v>0</v>
      </c>
      <c r="C22" s="26">
        <v>75427</v>
      </c>
      <c r="D22" s="26">
        <v>0</v>
      </c>
      <c r="E22" s="26">
        <v>0</v>
      </c>
      <c r="F22" s="26">
        <v>184611</v>
      </c>
      <c r="G22" s="26">
        <f t="shared" si="0"/>
        <v>260038</v>
      </c>
    </row>
    <row r="23" spans="1:7" ht="13.5" customHeight="1">
      <c r="A23" s="331" t="s">
        <v>256</v>
      </c>
      <c r="B23" s="332">
        <v>0</v>
      </c>
      <c r="C23" s="332">
        <v>4979474</v>
      </c>
      <c r="D23" s="332">
        <v>65690</v>
      </c>
      <c r="E23" s="332">
        <v>0</v>
      </c>
      <c r="F23" s="332">
        <v>405084</v>
      </c>
      <c r="G23" s="332">
        <f t="shared" si="0"/>
        <v>5450248</v>
      </c>
    </row>
    <row r="24" spans="1:7" ht="13.5" customHeight="1">
      <c r="A24" s="25" t="s">
        <v>257</v>
      </c>
      <c r="B24" s="26">
        <v>87651</v>
      </c>
      <c r="C24" s="26">
        <v>7900829</v>
      </c>
      <c r="D24" s="26">
        <v>251019</v>
      </c>
      <c r="E24" s="26">
        <v>396687</v>
      </c>
      <c r="F24" s="26">
        <v>433430</v>
      </c>
      <c r="G24" s="26">
        <f t="shared" si="0"/>
        <v>9069616</v>
      </c>
    </row>
    <row r="25" spans="1:7" ht="13.5" customHeight="1">
      <c r="A25" s="331" t="s">
        <v>258</v>
      </c>
      <c r="B25" s="332">
        <v>0</v>
      </c>
      <c r="C25" s="332">
        <v>1891416.88</v>
      </c>
      <c r="D25" s="332">
        <v>20456</v>
      </c>
      <c r="E25" s="332">
        <v>41910</v>
      </c>
      <c r="F25" s="332">
        <v>0</v>
      </c>
      <c r="G25" s="332">
        <f t="shared" si="0"/>
        <v>1953782.88</v>
      </c>
    </row>
    <row r="26" spans="1:7" ht="13.5" customHeight="1">
      <c r="A26" s="25" t="s">
        <v>259</v>
      </c>
      <c r="B26" s="26">
        <v>0</v>
      </c>
      <c r="C26" s="26">
        <v>1445807</v>
      </c>
      <c r="D26" s="26">
        <v>43029</v>
      </c>
      <c r="E26" s="26">
        <v>118252</v>
      </c>
      <c r="F26" s="26">
        <v>433965</v>
      </c>
      <c r="G26" s="26">
        <f t="shared" si="0"/>
        <v>2041053</v>
      </c>
    </row>
    <row r="27" spans="1:7" ht="13.5" customHeight="1">
      <c r="A27" s="331" t="s">
        <v>260</v>
      </c>
      <c r="B27" s="332">
        <v>0</v>
      </c>
      <c r="C27" s="332">
        <v>171156</v>
      </c>
      <c r="D27" s="332">
        <v>113456</v>
      </c>
      <c r="E27" s="332">
        <v>19761</v>
      </c>
      <c r="F27" s="332">
        <v>65112</v>
      </c>
      <c r="G27" s="332">
        <f t="shared" si="0"/>
        <v>369485</v>
      </c>
    </row>
    <row r="28" spans="1:7" ht="13.5" customHeight="1">
      <c r="A28" s="25" t="s">
        <v>261</v>
      </c>
      <c r="B28" s="26">
        <v>0</v>
      </c>
      <c r="C28" s="26">
        <v>324336</v>
      </c>
      <c r="D28" s="26">
        <v>30914</v>
      </c>
      <c r="E28" s="26">
        <v>0</v>
      </c>
      <c r="F28" s="26">
        <v>87961</v>
      </c>
      <c r="G28" s="26">
        <f t="shared" si="0"/>
        <v>443211</v>
      </c>
    </row>
    <row r="29" spans="1:7" ht="13.5" customHeight="1">
      <c r="A29" s="331" t="s">
        <v>262</v>
      </c>
      <c r="B29" s="332">
        <v>96824</v>
      </c>
      <c r="C29" s="332">
        <v>2539580</v>
      </c>
      <c r="D29" s="332">
        <v>470500</v>
      </c>
      <c r="E29" s="332">
        <v>324128</v>
      </c>
      <c r="F29" s="332">
        <v>876171</v>
      </c>
      <c r="G29" s="332">
        <f t="shared" si="0"/>
        <v>4307203</v>
      </c>
    </row>
    <row r="30" spans="1:7" ht="13.5" customHeight="1">
      <c r="A30" s="25" t="s">
        <v>263</v>
      </c>
      <c r="B30" s="26">
        <v>0</v>
      </c>
      <c r="C30" s="26">
        <v>0</v>
      </c>
      <c r="D30" s="26">
        <v>41855</v>
      </c>
      <c r="E30" s="26">
        <v>0</v>
      </c>
      <c r="F30" s="26">
        <v>242766</v>
      </c>
      <c r="G30" s="26">
        <f t="shared" si="0"/>
        <v>284621</v>
      </c>
    </row>
    <row r="31" spans="1:7" ht="13.5" customHeight="1">
      <c r="A31" s="331" t="s">
        <v>264</v>
      </c>
      <c r="B31" s="332">
        <v>0</v>
      </c>
      <c r="C31" s="332">
        <v>3924959</v>
      </c>
      <c r="D31" s="332">
        <v>0</v>
      </c>
      <c r="E31" s="332">
        <v>0</v>
      </c>
      <c r="F31" s="332">
        <v>83832</v>
      </c>
      <c r="G31" s="332">
        <f t="shared" si="0"/>
        <v>4008791</v>
      </c>
    </row>
    <row r="32" spans="1:7" ht="13.5" customHeight="1">
      <c r="A32" s="25" t="s">
        <v>265</v>
      </c>
      <c r="B32" s="26">
        <v>0</v>
      </c>
      <c r="C32" s="26">
        <v>1278984</v>
      </c>
      <c r="D32" s="26">
        <v>0</v>
      </c>
      <c r="E32" s="26">
        <v>0</v>
      </c>
      <c r="F32" s="26">
        <v>288679</v>
      </c>
      <c r="G32" s="26">
        <f t="shared" si="0"/>
        <v>1567663</v>
      </c>
    </row>
    <row r="33" spans="1:7" ht="13.5" customHeight="1">
      <c r="A33" s="331" t="s">
        <v>266</v>
      </c>
      <c r="B33" s="332">
        <v>0</v>
      </c>
      <c r="C33" s="332">
        <v>237946</v>
      </c>
      <c r="D33" s="332">
        <v>5962</v>
      </c>
      <c r="E33" s="332">
        <v>0</v>
      </c>
      <c r="F33" s="332">
        <v>324377</v>
      </c>
      <c r="G33" s="332">
        <f t="shared" si="0"/>
        <v>568285</v>
      </c>
    </row>
    <row r="34" spans="1:7" ht="13.5" customHeight="1">
      <c r="A34" s="25" t="s">
        <v>267</v>
      </c>
      <c r="B34" s="26">
        <v>0</v>
      </c>
      <c r="C34" s="26">
        <v>69077</v>
      </c>
      <c r="D34" s="26">
        <v>140484</v>
      </c>
      <c r="E34" s="26">
        <v>89371</v>
      </c>
      <c r="F34" s="26">
        <v>357496</v>
      </c>
      <c r="G34" s="26">
        <f t="shared" si="0"/>
        <v>656428</v>
      </c>
    </row>
    <row r="35" spans="1:7" ht="13.5" customHeight="1">
      <c r="A35" s="331" t="s">
        <v>268</v>
      </c>
      <c r="B35" s="332">
        <v>2026741</v>
      </c>
      <c r="C35" s="332">
        <v>1320464</v>
      </c>
      <c r="D35" s="332">
        <v>457822</v>
      </c>
      <c r="E35" s="332">
        <v>2134013</v>
      </c>
      <c r="F35" s="332">
        <v>630149</v>
      </c>
      <c r="G35" s="332">
        <f t="shared" si="0"/>
        <v>6569189</v>
      </c>
    </row>
    <row r="36" spans="1:7" ht="13.5" customHeight="1">
      <c r="A36" s="25" t="s">
        <v>269</v>
      </c>
      <c r="B36" s="26">
        <v>0</v>
      </c>
      <c r="C36" s="26">
        <v>231135</v>
      </c>
      <c r="D36" s="26">
        <v>6900</v>
      </c>
      <c r="E36" s="26">
        <v>0</v>
      </c>
      <c r="F36" s="26">
        <v>268670</v>
      </c>
      <c r="G36" s="26">
        <f t="shared" si="0"/>
        <v>506705</v>
      </c>
    </row>
    <row r="37" spans="1:7" ht="13.5" customHeight="1">
      <c r="A37" s="331" t="s">
        <v>270</v>
      </c>
      <c r="B37" s="332">
        <v>0</v>
      </c>
      <c r="C37" s="332">
        <v>2021475</v>
      </c>
      <c r="D37" s="332">
        <v>14606</v>
      </c>
      <c r="E37" s="332">
        <v>0</v>
      </c>
      <c r="F37" s="332">
        <v>381444</v>
      </c>
      <c r="G37" s="332">
        <f t="shared" si="0"/>
        <v>2417525</v>
      </c>
    </row>
    <row r="38" spans="1:7" ht="13.5" customHeight="1">
      <c r="A38" s="25" t="s">
        <v>271</v>
      </c>
      <c r="B38" s="26">
        <v>694573</v>
      </c>
      <c r="C38" s="26">
        <v>10141443</v>
      </c>
      <c r="D38" s="26">
        <v>99515</v>
      </c>
      <c r="E38" s="26">
        <v>153033</v>
      </c>
      <c r="F38" s="26">
        <v>279255</v>
      </c>
      <c r="G38" s="26">
        <f t="shared" si="0"/>
        <v>11367819</v>
      </c>
    </row>
    <row r="39" spans="1:7" ht="13.5" customHeight="1">
      <c r="A39" s="331" t="s">
        <v>272</v>
      </c>
      <c r="B39" s="332">
        <v>0</v>
      </c>
      <c r="C39" s="332">
        <v>2166294</v>
      </c>
      <c r="D39" s="332">
        <v>0</v>
      </c>
      <c r="E39" s="332">
        <v>0</v>
      </c>
      <c r="F39" s="332">
        <v>172980</v>
      </c>
      <c r="G39" s="332">
        <f t="shared" si="0"/>
        <v>2339274</v>
      </c>
    </row>
    <row r="40" spans="1:7" ht="13.5" customHeight="1">
      <c r="A40" s="25" t="s">
        <v>273</v>
      </c>
      <c r="B40" s="26">
        <v>544974</v>
      </c>
      <c r="C40" s="26">
        <v>4903283</v>
      </c>
      <c r="D40" s="26">
        <v>127170</v>
      </c>
      <c r="E40" s="26">
        <v>18516</v>
      </c>
      <c r="F40" s="26">
        <v>53683</v>
      </c>
      <c r="G40" s="26">
        <f t="shared" si="0"/>
        <v>5647626</v>
      </c>
    </row>
    <row r="41" spans="1:7" ht="13.5" customHeight="1">
      <c r="A41" s="331" t="s">
        <v>274</v>
      </c>
      <c r="B41" s="332">
        <v>31904</v>
      </c>
      <c r="C41" s="332">
        <v>325101</v>
      </c>
      <c r="D41" s="332">
        <v>55220</v>
      </c>
      <c r="E41" s="332">
        <v>216571</v>
      </c>
      <c r="F41" s="332">
        <v>752833</v>
      </c>
      <c r="G41" s="332">
        <f t="shared" si="0"/>
        <v>1381629</v>
      </c>
    </row>
    <row r="42" spans="1:7" ht="13.5" customHeight="1">
      <c r="A42" s="25" t="s">
        <v>275</v>
      </c>
      <c r="B42" s="26">
        <v>0</v>
      </c>
      <c r="C42" s="26">
        <v>392737</v>
      </c>
      <c r="D42" s="26">
        <v>14298</v>
      </c>
      <c r="E42" s="26">
        <v>21270</v>
      </c>
      <c r="F42" s="26">
        <v>253964</v>
      </c>
      <c r="G42" s="26">
        <f t="shared" si="0"/>
        <v>682269</v>
      </c>
    </row>
    <row r="43" spans="1:7" ht="13.5" customHeight="1">
      <c r="A43" s="331" t="s">
        <v>276</v>
      </c>
      <c r="B43" s="332">
        <v>0</v>
      </c>
      <c r="C43" s="332">
        <v>119511</v>
      </c>
      <c r="D43" s="332">
        <v>0</v>
      </c>
      <c r="E43" s="332">
        <v>0</v>
      </c>
      <c r="F43" s="332">
        <v>251422</v>
      </c>
      <c r="G43" s="332">
        <f t="shared" si="0"/>
        <v>370933</v>
      </c>
    </row>
    <row r="44" spans="1:7" ht="13.5" customHeight="1">
      <c r="A44" s="25" t="s">
        <v>277</v>
      </c>
      <c r="B44" s="26">
        <v>0</v>
      </c>
      <c r="C44" s="26">
        <v>155565</v>
      </c>
      <c r="D44" s="26">
        <v>0</v>
      </c>
      <c r="E44" s="26">
        <v>0</v>
      </c>
      <c r="F44" s="26">
        <v>286323</v>
      </c>
      <c r="G44" s="26">
        <f t="shared" si="0"/>
        <v>441888</v>
      </c>
    </row>
    <row r="45" spans="1:7" ht="13.5" customHeight="1">
      <c r="A45" s="331" t="s">
        <v>278</v>
      </c>
      <c r="B45" s="332">
        <v>27518.4</v>
      </c>
      <c r="C45" s="332">
        <v>70014.84</v>
      </c>
      <c r="D45" s="332">
        <v>19058</v>
      </c>
      <c r="E45" s="332">
        <v>0</v>
      </c>
      <c r="F45" s="332">
        <v>173747</v>
      </c>
      <c r="G45" s="332">
        <f t="shared" si="0"/>
        <v>290338.24</v>
      </c>
    </row>
    <row r="46" spans="1:7" ht="13.5" customHeight="1">
      <c r="A46" s="25" t="s">
        <v>279</v>
      </c>
      <c r="B46" s="26">
        <v>321984</v>
      </c>
      <c r="C46" s="26">
        <v>5487169</v>
      </c>
      <c r="D46" s="26">
        <v>416854</v>
      </c>
      <c r="E46" s="26">
        <v>128457</v>
      </c>
      <c r="F46" s="26">
        <v>1715253</v>
      </c>
      <c r="G46" s="26">
        <f t="shared" si="0"/>
        <v>8069717</v>
      </c>
    </row>
    <row r="47" spans="1:7" ht="4.5" customHeight="1">
      <c r="A47" s="27"/>
      <c r="B47" s="28"/>
      <c r="C47" s="28"/>
      <c r="D47" s="28"/>
      <c r="E47" s="28"/>
      <c r="F47" s="28"/>
      <c r="G47" s="28"/>
    </row>
    <row r="48" spans="1:7" ht="13.5" customHeight="1">
      <c r="A48" s="333" t="s">
        <v>280</v>
      </c>
      <c r="B48" s="334">
        <f aca="true" t="shared" si="1" ref="B48:G48">SUM(B11:B46)</f>
        <v>5688407.4</v>
      </c>
      <c r="C48" s="334">
        <f t="shared" si="1"/>
        <v>80816019.87</v>
      </c>
      <c r="D48" s="334">
        <f t="shared" si="1"/>
        <v>3893789.61</v>
      </c>
      <c r="E48" s="334">
        <f t="shared" si="1"/>
        <v>3720373</v>
      </c>
      <c r="F48" s="334">
        <f t="shared" si="1"/>
        <v>12154198</v>
      </c>
      <c r="G48" s="334">
        <f t="shared" si="1"/>
        <v>106272787.88</v>
      </c>
    </row>
    <row r="49" spans="1:7" ht="4.5" customHeight="1">
      <c r="A49" s="27" t="s">
        <v>32</v>
      </c>
      <c r="B49" s="28"/>
      <c r="C49" s="28"/>
      <c r="D49" s="28"/>
      <c r="E49" s="28"/>
      <c r="F49" s="28"/>
      <c r="G49" s="28"/>
    </row>
    <row r="50" spans="1:7" ht="13.5" customHeight="1">
      <c r="A50" s="25" t="s">
        <v>281</v>
      </c>
      <c r="B50" s="26">
        <v>0</v>
      </c>
      <c r="C50" s="26">
        <v>0</v>
      </c>
      <c r="D50" s="26">
        <v>0</v>
      </c>
      <c r="E50" s="26">
        <v>0</v>
      </c>
      <c r="F50" s="26">
        <v>0</v>
      </c>
      <c r="G50" s="26">
        <f>SUM(B50:F50)</f>
        <v>0</v>
      </c>
    </row>
    <row r="51" spans="1:7" ht="13.5" customHeight="1">
      <c r="A51" s="331" t="s">
        <v>282</v>
      </c>
      <c r="B51" s="332">
        <v>0</v>
      </c>
      <c r="C51" s="332">
        <v>83653</v>
      </c>
      <c r="D51" s="332">
        <v>61273</v>
      </c>
      <c r="E51" s="332">
        <v>25245</v>
      </c>
      <c r="F51" s="332">
        <v>0</v>
      </c>
      <c r="G51" s="332">
        <f>SUM(B51:F51)</f>
        <v>170171</v>
      </c>
    </row>
    <row r="52" spans="1:7" ht="49.5" customHeight="1">
      <c r="A52" s="29"/>
      <c r="B52" s="29"/>
      <c r="C52" s="29"/>
      <c r="D52" s="29"/>
      <c r="E52" s="29"/>
      <c r="F52" s="29"/>
      <c r="G52" s="29"/>
    </row>
    <row r="53" ht="15" customHeight="1">
      <c r="A53" s="522" t="s">
        <v>549</v>
      </c>
    </row>
    <row r="54" ht="12">
      <c r="A54" s="554" t="s">
        <v>606</v>
      </c>
    </row>
    <row r="55" ht="12">
      <c r="A55" s="563" t="s">
        <v>607</v>
      </c>
    </row>
    <row r="56" ht="12">
      <c r="A56" s="554" t="s">
        <v>603</v>
      </c>
    </row>
    <row r="57" ht="12">
      <c r="A57" s="573" t="s">
        <v>608</v>
      </c>
    </row>
  </sheetData>
  <mergeCells count="3">
    <mergeCell ref="B8:B9"/>
    <mergeCell ref="B2:F2"/>
    <mergeCell ref="B3:F3"/>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sheetPr codeName="Sheet57">
    <pageSetUpPr fitToPage="1"/>
  </sheetPr>
  <dimension ref="A1:H55"/>
  <sheetViews>
    <sheetView showGridLines="0" showZeros="0" workbookViewId="0" topLeftCell="A1">
      <selection activeCell="A1" sqref="A1"/>
    </sheetView>
  </sheetViews>
  <sheetFormatPr defaultColWidth="19.83203125" defaultRowHeight="12"/>
  <cols>
    <col min="1" max="1" width="30.83203125" style="1" customWidth="1"/>
    <col min="2" max="3" width="16.83203125" style="1" customWidth="1"/>
    <col min="4" max="4" width="3.83203125" style="1" customWidth="1"/>
    <col min="5" max="5" width="18.83203125" style="1" customWidth="1"/>
    <col min="6" max="7" width="16.83203125" style="1" customWidth="1"/>
    <col min="8" max="8" width="12.83203125" style="1" customWidth="1"/>
    <col min="9" max="16384" width="19.83203125" style="1" customWidth="1"/>
  </cols>
  <sheetData>
    <row r="1" spans="1:4" ht="6.75" customHeight="1">
      <c r="A1" s="5"/>
      <c r="B1" s="5"/>
      <c r="C1" s="5"/>
      <c r="D1" s="5"/>
    </row>
    <row r="2" spans="1:8" ht="15.75" customHeight="1">
      <c r="A2" s="595" t="s">
        <v>577</v>
      </c>
      <c r="B2" s="595"/>
      <c r="C2" s="595"/>
      <c r="D2" s="595"/>
      <c r="E2" s="595"/>
      <c r="F2" s="595"/>
      <c r="G2" s="595"/>
      <c r="H2" s="595"/>
    </row>
    <row r="3" spans="1:8" ht="15.75" customHeight="1">
      <c r="A3" s="594" t="s">
        <v>5</v>
      </c>
      <c r="B3" s="594"/>
      <c r="C3" s="594"/>
      <c r="D3" s="594"/>
      <c r="E3" s="594"/>
      <c r="F3" s="594"/>
      <c r="G3" s="594"/>
      <c r="H3" s="594"/>
    </row>
    <row r="4" spans="5:7" ht="15.75" customHeight="1">
      <c r="E4" s="6"/>
      <c r="F4" s="6"/>
      <c r="G4" s="6"/>
    </row>
    <row r="5" spans="2:8" ht="15.75" customHeight="1">
      <c r="B5"/>
      <c r="C5"/>
      <c r="D5"/>
      <c r="E5"/>
      <c r="F5"/>
      <c r="G5"/>
      <c r="H5"/>
    </row>
    <row r="6" spans="2:7" ht="15.75" customHeight="1">
      <c r="B6" s="560"/>
      <c r="C6" s="560"/>
      <c r="D6"/>
      <c r="E6" s="533" t="s">
        <v>509</v>
      </c>
      <c r="F6" s="597" t="s">
        <v>546</v>
      </c>
      <c r="G6" s="598"/>
    </row>
    <row r="7" spans="2:7" ht="15.75" customHeight="1">
      <c r="B7" s="516"/>
      <c r="C7" s="516"/>
      <c r="D7"/>
      <c r="E7" s="534" t="s">
        <v>508</v>
      </c>
      <c r="F7" s="516" t="s">
        <v>153</v>
      </c>
      <c r="G7" s="516"/>
    </row>
    <row r="8" spans="1:7" ht="15.75" customHeight="1">
      <c r="A8" s="510"/>
      <c r="B8" s="555" t="s">
        <v>83</v>
      </c>
      <c r="C8" s="555" t="s">
        <v>83</v>
      </c>
      <c r="D8"/>
      <c r="E8" s="534" t="s">
        <v>510</v>
      </c>
      <c r="F8" s="516" t="s">
        <v>550</v>
      </c>
      <c r="G8" s="516" t="s">
        <v>74</v>
      </c>
    </row>
    <row r="9" spans="1:7" ht="15.75" customHeight="1">
      <c r="A9" s="511" t="s">
        <v>108</v>
      </c>
      <c r="B9" s="559" t="s">
        <v>286</v>
      </c>
      <c r="C9" s="556" t="s">
        <v>152</v>
      </c>
      <c r="D9"/>
      <c r="E9" s="535" t="s">
        <v>511</v>
      </c>
      <c r="F9" s="517" t="s">
        <v>551</v>
      </c>
      <c r="G9" s="531" t="s">
        <v>551</v>
      </c>
    </row>
    <row r="10" spans="1:6" ht="4.5" customHeight="1">
      <c r="A10" s="4"/>
      <c r="B10" s="237"/>
      <c r="C10" s="237"/>
      <c r="D10"/>
      <c r="E10" s="5"/>
      <c r="F10" s="237"/>
    </row>
    <row r="11" spans="1:7" ht="13.5" customHeight="1">
      <c r="A11" s="331" t="s">
        <v>245</v>
      </c>
      <c r="B11" s="332">
        <v>285002</v>
      </c>
      <c r="C11" s="332">
        <v>317518</v>
      </c>
      <c r="D11"/>
      <c r="E11" s="538">
        <v>156313</v>
      </c>
      <c r="F11" s="536">
        <v>156313</v>
      </c>
      <c r="G11" s="332">
        <v>0</v>
      </c>
    </row>
    <row r="12" spans="1:7" ht="13.5" customHeight="1">
      <c r="A12" s="25" t="s">
        <v>246</v>
      </c>
      <c r="B12" s="26">
        <v>506313</v>
      </c>
      <c r="C12" s="26">
        <v>544923</v>
      </c>
      <c r="D12"/>
      <c r="E12" s="539">
        <v>187774</v>
      </c>
      <c r="F12" s="537">
        <v>187774</v>
      </c>
      <c r="G12" s="26">
        <v>0</v>
      </c>
    </row>
    <row r="13" spans="1:7" ht="13.5" customHeight="1">
      <c r="A13" s="331" t="s">
        <v>247</v>
      </c>
      <c r="B13" s="332">
        <v>1457893</v>
      </c>
      <c r="C13" s="332">
        <v>1548371</v>
      </c>
      <c r="D13"/>
      <c r="E13" s="538">
        <v>721296</v>
      </c>
      <c r="F13" s="536">
        <v>415270</v>
      </c>
      <c r="G13" s="332">
        <v>306027</v>
      </c>
    </row>
    <row r="14" spans="1:7" ht="13.5" customHeight="1">
      <c r="A14" s="25" t="s">
        <v>283</v>
      </c>
      <c r="B14" s="26">
        <v>929933</v>
      </c>
      <c r="C14" s="26">
        <v>952843</v>
      </c>
      <c r="D14"/>
      <c r="E14" s="539">
        <v>293383</v>
      </c>
      <c r="F14" s="537">
        <v>282900</v>
      </c>
      <c r="G14" s="26">
        <v>10483</v>
      </c>
    </row>
    <row r="15" spans="1:7" ht="13.5" customHeight="1">
      <c r="A15" s="331" t="s">
        <v>248</v>
      </c>
      <c r="B15" s="332">
        <v>276003</v>
      </c>
      <c r="C15" s="332">
        <v>295749</v>
      </c>
      <c r="D15"/>
      <c r="E15" s="538">
        <v>219192</v>
      </c>
      <c r="F15" s="536">
        <v>69726</v>
      </c>
      <c r="G15" s="332">
        <v>149466</v>
      </c>
    </row>
    <row r="16" spans="1:7" ht="13.5" customHeight="1">
      <c r="A16" s="25" t="s">
        <v>249</v>
      </c>
      <c r="B16" s="26">
        <v>429666</v>
      </c>
      <c r="C16" s="26">
        <v>416032</v>
      </c>
      <c r="D16"/>
      <c r="E16" s="539">
        <v>0</v>
      </c>
      <c r="F16" s="537">
        <v>0</v>
      </c>
      <c r="G16" s="26">
        <v>0</v>
      </c>
    </row>
    <row r="17" spans="1:7" ht="13.5" customHeight="1">
      <c r="A17" s="331" t="s">
        <v>250</v>
      </c>
      <c r="B17" s="332">
        <v>420077</v>
      </c>
      <c r="C17" s="332">
        <v>518613</v>
      </c>
      <c r="D17"/>
      <c r="E17" s="538">
        <v>320528</v>
      </c>
      <c r="F17" s="536">
        <v>220422</v>
      </c>
      <c r="G17" s="332">
        <v>100106</v>
      </c>
    </row>
    <row r="18" spans="1:7" ht="13.5" customHeight="1">
      <c r="A18" s="25" t="s">
        <v>251</v>
      </c>
      <c r="B18" s="26">
        <v>20551</v>
      </c>
      <c r="C18" s="26">
        <v>0</v>
      </c>
      <c r="D18"/>
      <c r="E18" s="539">
        <v>38913</v>
      </c>
      <c r="F18" s="537">
        <v>38913</v>
      </c>
      <c r="G18" s="26">
        <v>0</v>
      </c>
    </row>
    <row r="19" spans="1:7" ht="13.5" customHeight="1">
      <c r="A19" s="331" t="s">
        <v>252</v>
      </c>
      <c r="B19" s="332">
        <v>233820</v>
      </c>
      <c r="C19" s="332">
        <v>230437</v>
      </c>
      <c r="D19"/>
      <c r="E19" s="538">
        <v>83516</v>
      </c>
      <c r="F19" s="536">
        <v>83516</v>
      </c>
      <c r="G19" s="332">
        <v>0</v>
      </c>
    </row>
    <row r="20" spans="1:7" ht="13.5" customHeight="1">
      <c r="A20" s="25" t="s">
        <v>253</v>
      </c>
      <c r="B20" s="26">
        <v>1906236</v>
      </c>
      <c r="C20" s="26">
        <v>1963274</v>
      </c>
      <c r="D20"/>
      <c r="E20" s="539">
        <v>330791</v>
      </c>
      <c r="F20" s="537">
        <v>330791</v>
      </c>
      <c r="G20" s="26">
        <v>0</v>
      </c>
    </row>
    <row r="21" spans="1:7" ht="13.5" customHeight="1">
      <c r="A21" s="331" t="s">
        <v>254</v>
      </c>
      <c r="B21" s="332">
        <v>661554</v>
      </c>
      <c r="C21" s="332">
        <v>623795</v>
      </c>
      <c r="D21"/>
      <c r="E21" s="538">
        <v>77861</v>
      </c>
      <c r="F21" s="536">
        <v>77861</v>
      </c>
      <c r="G21" s="332">
        <v>0</v>
      </c>
    </row>
    <row r="22" spans="1:7" ht="13.5" customHeight="1">
      <c r="A22" s="25" t="s">
        <v>255</v>
      </c>
      <c r="B22" s="26">
        <v>468478</v>
      </c>
      <c r="C22" s="26">
        <v>495197</v>
      </c>
      <c r="D22"/>
      <c r="E22" s="539">
        <v>204646</v>
      </c>
      <c r="F22" s="537">
        <v>204646</v>
      </c>
      <c r="G22" s="26">
        <v>0</v>
      </c>
    </row>
    <row r="23" spans="1:7" ht="13.5" customHeight="1">
      <c r="A23" s="331" t="s">
        <v>256</v>
      </c>
      <c r="B23" s="332">
        <v>447430</v>
      </c>
      <c r="C23" s="332">
        <v>439258</v>
      </c>
      <c r="D23"/>
      <c r="E23" s="538">
        <v>121037</v>
      </c>
      <c r="F23" s="536">
        <v>103991</v>
      </c>
      <c r="G23" s="332">
        <v>17046</v>
      </c>
    </row>
    <row r="24" spans="1:7" ht="13.5" customHeight="1">
      <c r="A24" s="25" t="s">
        <v>257</v>
      </c>
      <c r="B24" s="26">
        <v>970184</v>
      </c>
      <c r="C24" s="26">
        <v>982624</v>
      </c>
      <c r="D24"/>
      <c r="E24" s="539">
        <v>276964</v>
      </c>
      <c r="F24" s="537">
        <v>276694</v>
      </c>
      <c r="G24" s="26" t="s">
        <v>621</v>
      </c>
    </row>
    <row r="25" spans="1:7" ht="13.5" customHeight="1">
      <c r="A25" s="331" t="s">
        <v>258</v>
      </c>
      <c r="B25" s="332">
        <v>4597270</v>
      </c>
      <c r="C25" s="332">
        <v>4828638</v>
      </c>
      <c r="D25"/>
      <c r="E25" s="538">
        <v>1813004</v>
      </c>
      <c r="F25" s="536">
        <v>1813004</v>
      </c>
      <c r="G25" s="332">
        <v>0</v>
      </c>
    </row>
    <row r="26" spans="1:7" ht="13.5" customHeight="1">
      <c r="A26" s="25" t="s">
        <v>259</v>
      </c>
      <c r="B26" s="26">
        <v>348885</v>
      </c>
      <c r="C26" s="26">
        <v>369341</v>
      </c>
      <c r="D26"/>
      <c r="E26" s="539">
        <v>192934</v>
      </c>
      <c r="F26" s="537">
        <v>192934</v>
      </c>
      <c r="G26" s="26">
        <v>0</v>
      </c>
    </row>
    <row r="27" spans="1:7" ht="13.5" customHeight="1">
      <c r="A27" s="331" t="s">
        <v>260</v>
      </c>
      <c r="B27" s="332">
        <v>298870</v>
      </c>
      <c r="C27" s="332">
        <v>332426</v>
      </c>
      <c r="D27"/>
      <c r="E27" s="538">
        <v>118439</v>
      </c>
      <c r="F27" s="536">
        <v>118439</v>
      </c>
      <c r="G27" s="332">
        <v>0</v>
      </c>
    </row>
    <row r="28" spans="1:7" ht="13.5" customHeight="1">
      <c r="A28" s="25" t="s">
        <v>261</v>
      </c>
      <c r="B28" s="26">
        <v>854526</v>
      </c>
      <c r="C28" s="26">
        <v>883853</v>
      </c>
      <c r="D28"/>
      <c r="E28" s="539">
        <v>228901</v>
      </c>
      <c r="F28" s="537">
        <v>228901</v>
      </c>
      <c r="G28" s="26">
        <v>0</v>
      </c>
    </row>
    <row r="29" spans="1:7" ht="13.5" customHeight="1">
      <c r="A29" s="331" t="s">
        <v>262</v>
      </c>
      <c r="B29" s="332">
        <v>1167048</v>
      </c>
      <c r="C29" s="332">
        <v>1139894</v>
      </c>
      <c r="D29"/>
      <c r="E29" s="538">
        <v>396532</v>
      </c>
      <c r="F29" s="536">
        <v>396532</v>
      </c>
      <c r="G29" s="332">
        <v>0</v>
      </c>
    </row>
    <row r="30" spans="1:7" ht="13.5" customHeight="1">
      <c r="A30" s="25" t="s">
        <v>263</v>
      </c>
      <c r="B30" s="26">
        <v>250436</v>
      </c>
      <c r="C30" s="26">
        <v>252689</v>
      </c>
      <c r="D30"/>
      <c r="E30" s="539">
        <v>92651</v>
      </c>
      <c r="F30" s="537">
        <v>92651</v>
      </c>
      <c r="G30" s="26">
        <v>0</v>
      </c>
    </row>
    <row r="31" spans="1:7" ht="13.5" customHeight="1">
      <c r="A31" s="331" t="s">
        <v>264</v>
      </c>
      <c r="B31" s="332">
        <v>1019326</v>
      </c>
      <c r="C31" s="332">
        <v>1149139</v>
      </c>
      <c r="D31"/>
      <c r="E31" s="538">
        <v>292493</v>
      </c>
      <c r="F31" s="536">
        <v>292493</v>
      </c>
      <c r="G31" s="332">
        <v>0</v>
      </c>
    </row>
    <row r="32" spans="1:7" ht="13.5" customHeight="1">
      <c r="A32" s="25" t="s">
        <v>265</v>
      </c>
      <c r="B32" s="26">
        <v>359957</v>
      </c>
      <c r="C32" s="26">
        <v>358385</v>
      </c>
      <c r="D32"/>
      <c r="E32" s="539">
        <v>100234</v>
      </c>
      <c r="F32" s="537">
        <v>88325</v>
      </c>
      <c r="G32" s="26">
        <v>11909</v>
      </c>
    </row>
    <row r="33" spans="1:7" ht="13.5" customHeight="1">
      <c r="A33" s="331" t="s">
        <v>266</v>
      </c>
      <c r="B33" s="332">
        <v>365304</v>
      </c>
      <c r="C33" s="332">
        <v>366686</v>
      </c>
      <c r="D33"/>
      <c r="E33" s="538">
        <v>143732</v>
      </c>
      <c r="F33" s="536">
        <v>143732</v>
      </c>
      <c r="G33" s="332">
        <v>0</v>
      </c>
    </row>
    <row r="34" spans="1:7" ht="13.5" customHeight="1">
      <c r="A34" s="25" t="s">
        <v>267</v>
      </c>
      <c r="B34" s="26">
        <v>618787</v>
      </c>
      <c r="C34" s="26">
        <v>630928</v>
      </c>
      <c r="D34"/>
      <c r="E34" s="539">
        <v>138759</v>
      </c>
      <c r="F34" s="537">
        <v>138759</v>
      </c>
      <c r="G34" s="26">
        <v>0</v>
      </c>
    </row>
    <row r="35" spans="1:7" ht="13.5" customHeight="1">
      <c r="A35" s="331" t="s">
        <v>268</v>
      </c>
      <c r="B35" s="332">
        <v>959762</v>
      </c>
      <c r="C35" s="332">
        <v>1000281</v>
      </c>
      <c r="D35"/>
      <c r="E35" s="538">
        <v>255109</v>
      </c>
      <c r="F35" s="536">
        <v>255109</v>
      </c>
      <c r="G35" s="332">
        <v>0</v>
      </c>
    </row>
    <row r="36" spans="1:7" ht="13.5" customHeight="1">
      <c r="A36" s="25" t="s">
        <v>269</v>
      </c>
      <c r="B36" s="26">
        <v>668354</v>
      </c>
      <c r="C36" s="26">
        <v>658222</v>
      </c>
      <c r="D36"/>
      <c r="E36" s="539">
        <v>246829</v>
      </c>
      <c r="F36" s="537">
        <v>246829</v>
      </c>
      <c r="G36" s="26">
        <v>0</v>
      </c>
    </row>
    <row r="37" spans="1:7" ht="13.5" customHeight="1">
      <c r="A37" s="331" t="s">
        <v>270</v>
      </c>
      <c r="B37" s="332">
        <v>1107688</v>
      </c>
      <c r="C37" s="332">
        <v>1065593</v>
      </c>
      <c r="D37"/>
      <c r="E37" s="538">
        <v>161093</v>
      </c>
      <c r="F37" s="536">
        <v>161093</v>
      </c>
      <c r="G37" s="332">
        <v>0</v>
      </c>
    </row>
    <row r="38" spans="1:7" ht="13.5" customHeight="1">
      <c r="A38" s="25" t="s">
        <v>271</v>
      </c>
      <c r="B38" s="26">
        <v>139208</v>
      </c>
      <c r="C38" s="26">
        <v>179485</v>
      </c>
      <c r="D38"/>
      <c r="E38" s="539">
        <v>150482</v>
      </c>
      <c r="F38" s="537">
        <v>150482</v>
      </c>
      <c r="G38" s="26">
        <v>0</v>
      </c>
    </row>
    <row r="39" spans="1:7" ht="13.5" customHeight="1">
      <c r="A39" s="331" t="s">
        <v>272</v>
      </c>
      <c r="B39" s="332">
        <v>359375</v>
      </c>
      <c r="C39" s="332">
        <v>444764</v>
      </c>
      <c r="D39"/>
      <c r="E39" s="538">
        <v>162253</v>
      </c>
      <c r="F39" s="536">
        <v>162253</v>
      </c>
      <c r="G39" s="332">
        <v>0</v>
      </c>
    </row>
    <row r="40" spans="1:7" ht="13.5" customHeight="1">
      <c r="A40" s="25" t="s">
        <v>273</v>
      </c>
      <c r="B40" s="26">
        <v>1889726</v>
      </c>
      <c r="C40" s="26">
        <v>1851201</v>
      </c>
      <c r="D40"/>
      <c r="E40" s="539">
        <v>331362</v>
      </c>
      <c r="F40" s="537">
        <v>331362</v>
      </c>
      <c r="G40" s="26">
        <v>0</v>
      </c>
    </row>
    <row r="41" spans="1:7" ht="13.5" customHeight="1">
      <c r="A41" s="331" t="s">
        <v>274</v>
      </c>
      <c r="B41" s="332">
        <v>1171140</v>
      </c>
      <c r="C41" s="332">
        <v>1263928</v>
      </c>
      <c r="D41"/>
      <c r="E41" s="538">
        <v>404776</v>
      </c>
      <c r="F41" s="536">
        <v>404776</v>
      </c>
      <c r="G41" s="332">
        <v>0</v>
      </c>
    </row>
    <row r="42" spans="1:7" ht="13.5" customHeight="1">
      <c r="A42" s="25" t="s">
        <v>275</v>
      </c>
      <c r="B42" s="26">
        <v>346726</v>
      </c>
      <c r="C42" s="26">
        <v>363128</v>
      </c>
      <c r="D42"/>
      <c r="E42" s="539">
        <v>143399</v>
      </c>
      <c r="F42" s="537">
        <v>143399</v>
      </c>
      <c r="G42" s="26">
        <v>0</v>
      </c>
    </row>
    <row r="43" spans="1:7" ht="13.5" customHeight="1">
      <c r="A43" s="331" t="s">
        <v>276</v>
      </c>
      <c r="B43" s="332">
        <v>162671</v>
      </c>
      <c r="C43" s="332">
        <v>165088</v>
      </c>
      <c r="D43"/>
      <c r="E43" s="538">
        <v>61300</v>
      </c>
      <c r="F43" s="536">
        <v>61300</v>
      </c>
      <c r="G43" s="332">
        <v>0</v>
      </c>
    </row>
    <row r="44" spans="1:7" ht="13.5" customHeight="1">
      <c r="A44" s="25" t="s">
        <v>277</v>
      </c>
      <c r="B44" s="26">
        <v>301947</v>
      </c>
      <c r="C44" s="26">
        <v>316751</v>
      </c>
      <c r="D44"/>
      <c r="E44" s="539">
        <v>87159</v>
      </c>
      <c r="F44" s="537">
        <v>87159</v>
      </c>
      <c r="G44" s="26">
        <v>0</v>
      </c>
    </row>
    <row r="45" spans="1:7" ht="13.5" customHeight="1">
      <c r="A45" s="331" t="s">
        <v>278</v>
      </c>
      <c r="B45" s="332">
        <v>45573</v>
      </c>
      <c r="C45" s="332">
        <v>44480</v>
      </c>
      <c r="D45"/>
      <c r="E45" s="538">
        <v>2399</v>
      </c>
      <c r="F45" s="536">
        <v>2399</v>
      </c>
      <c r="G45" s="332">
        <v>0</v>
      </c>
    </row>
    <row r="46" spans="1:7" ht="13.5" customHeight="1">
      <c r="A46" s="25" t="s">
        <v>279</v>
      </c>
      <c r="B46" s="26">
        <v>1564147</v>
      </c>
      <c r="C46" s="26">
        <v>1544903</v>
      </c>
      <c r="D46"/>
      <c r="E46" s="539">
        <v>4256625</v>
      </c>
      <c r="F46" s="537">
        <v>324559</v>
      </c>
      <c r="G46" s="26">
        <v>3932066</v>
      </c>
    </row>
    <row r="47" spans="1:7" ht="4.5" customHeight="1">
      <c r="A47" s="27"/>
      <c r="B47" s="28"/>
      <c r="C47" s="28"/>
      <c r="D47"/>
      <c r="E47" s="28"/>
      <c r="F47" s="28"/>
      <c r="G47" s="28"/>
    </row>
    <row r="48" spans="1:7" ht="13.5" customHeight="1">
      <c r="A48" s="333" t="s">
        <v>280</v>
      </c>
      <c r="B48" s="334">
        <f aca="true" t="shared" si="0" ref="B48:G48">SUM(B11:B46)</f>
        <v>27609866</v>
      </c>
      <c r="C48" s="334">
        <f t="shared" si="0"/>
        <v>28538437</v>
      </c>
      <c r="D48"/>
      <c r="E48" s="541">
        <f t="shared" si="0"/>
        <v>12812679</v>
      </c>
      <c r="F48" s="540">
        <f t="shared" si="0"/>
        <v>8285307</v>
      </c>
      <c r="G48" s="334">
        <f t="shared" si="0"/>
        <v>4527103</v>
      </c>
    </row>
    <row r="49" spans="1:7" ht="4.5" customHeight="1">
      <c r="A49" s="27" t="s">
        <v>32</v>
      </c>
      <c r="B49" s="28"/>
      <c r="C49" s="28"/>
      <c r="D49"/>
      <c r="E49" s="28"/>
      <c r="F49" s="28"/>
      <c r="G49" s="28"/>
    </row>
    <row r="50" spans="1:7" ht="13.5" customHeight="1">
      <c r="A50" s="25" t="s">
        <v>281</v>
      </c>
      <c r="B50" s="26">
        <v>55095</v>
      </c>
      <c r="C50" s="26">
        <v>53463</v>
      </c>
      <c r="D50"/>
      <c r="E50" s="539">
        <v>16743</v>
      </c>
      <c r="F50" s="537">
        <v>0</v>
      </c>
      <c r="G50" s="26">
        <v>0</v>
      </c>
    </row>
    <row r="51" spans="1:7" ht="13.5" customHeight="1">
      <c r="A51" s="331" t="s">
        <v>282</v>
      </c>
      <c r="B51" s="332">
        <v>5056</v>
      </c>
      <c r="C51" s="332">
        <v>5107</v>
      </c>
      <c r="D51"/>
      <c r="E51" s="538">
        <v>5672</v>
      </c>
      <c r="F51" s="536">
        <v>5621</v>
      </c>
      <c r="G51" s="332">
        <v>5672</v>
      </c>
    </row>
    <row r="52" spans="1:8" ht="49.5" customHeight="1">
      <c r="A52" s="29"/>
      <c r="B52" s="29"/>
      <c r="C52" s="29"/>
      <c r="D52" s="561"/>
      <c r="E52" s="29"/>
      <c r="F52" s="561"/>
      <c r="G52" s="29"/>
      <c r="H52" s="29"/>
    </row>
    <row r="53" spans="1:7" ht="15" customHeight="1">
      <c r="A53" s="557" t="s">
        <v>576</v>
      </c>
      <c r="B53" s="326"/>
      <c r="C53" s="326"/>
      <c r="D53" s="326"/>
      <c r="E53" s="207"/>
      <c r="F53" s="207"/>
      <c r="G53" s="207"/>
    </row>
    <row r="54" ht="12">
      <c r="A54" s="562" t="s">
        <v>610</v>
      </c>
    </row>
    <row r="55" ht="12">
      <c r="A55" s="562" t="s">
        <v>611</v>
      </c>
    </row>
  </sheetData>
  <mergeCells count="3">
    <mergeCell ref="F6:G6"/>
    <mergeCell ref="A2:H2"/>
    <mergeCell ref="A3:H3"/>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sheetPr codeName="Sheet42">
    <pageSetUpPr fitToPage="1"/>
  </sheetPr>
  <dimension ref="A1:D58"/>
  <sheetViews>
    <sheetView showGridLines="0" showZeros="0" workbookViewId="0" topLeftCell="A1">
      <selection activeCell="A1" sqref="A1"/>
    </sheetView>
  </sheetViews>
  <sheetFormatPr defaultColWidth="15.83203125" defaultRowHeight="12"/>
  <cols>
    <col min="1" max="1" width="35.83203125" style="1" customWidth="1"/>
    <col min="2" max="3" width="25.83203125" style="1" customWidth="1"/>
    <col min="4" max="4" width="45.83203125" style="1" customWidth="1"/>
    <col min="5" max="16384" width="15.83203125" style="1" customWidth="1"/>
  </cols>
  <sheetData>
    <row r="1" ht="6.75" customHeight="1">
      <c r="A1" s="5"/>
    </row>
    <row r="2" spans="1:4" ht="16.5" customHeight="1">
      <c r="A2" s="264"/>
      <c r="B2" s="265" t="s">
        <v>501</v>
      </c>
      <c r="C2" s="179"/>
      <c r="D2" s="174"/>
    </row>
    <row r="3" spans="1:4" ht="15" customHeight="1">
      <c r="A3" s="266"/>
      <c r="B3" s="270" t="s">
        <v>498</v>
      </c>
      <c r="C3" s="180"/>
      <c r="D3" s="267"/>
    </row>
    <row r="4" spans="1:3" ht="15.75" customHeight="1">
      <c r="A4" s="153"/>
      <c r="B4" s="6"/>
      <c r="C4" s="49"/>
    </row>
    <row r="5" spans="1:3" ht="15.75" customHeight="1">
      <c r="A5" s="1">
        <f>REPLACE(A4,5,5,"")</f>
      </c>
      <c r="B5" s="6"/>
      <c r="C5" s="6"/>
    </row>
    <row r="6" spans="2:3" ht="15.75" customHeight="1">
      <c r="B6"/>
      <c r="C6"/>
    </row>
    <row r="7" spans="2:3" ht="15.75" customHeight="1">
      <c r="B7" s="497" t="s">
        <v>499</v>
      </c>
      <c r="C7" s="497"/>
    </row>
    <row r="8" spans="1:3" ht="15.75" customHeight="1">
      <c r="A8" s="74"/>
      <c r="B8" s="498" t="s">
        <v>139</v>
      </c>
      <c r="C8" s="498" t="s">
        <v>105</v>
      </c>
    </row>
    <row r="9" spans="1:3" ht="15.75" customHeight="1">
      <c r="A9" s="41" t="s">
        <v>108</v>
      </c>
      <c r="B9" s="499" t="s">
        <v>172</v>
      </c>
      <c r="C9" s="499" t="s">
        <v>500</v>
      </c>
    </row>
    <row r="10" spans="1:3" ht="4.5" customHeight="1">
      <c r="A10" s="4"/>
      <c r="B10" s="237"/>
      <c r="C10" s="258">
        <v>0.01608</v>
      </c>
    </row>
    <row r="11" spans="1:3" ht="13.5" customHeight="1">
      <c r="A11" s="331" t="s">
        <v>245</v>
      </c>
      <c r="B11" s="332">
        <f>'- 53 -'!D11</f>
        <v>78249530</v>
      </c>
      <c r="C11" s="332">
        <f aca="true" t="shared" si="0" ref="C11:C46">B11*C$10</f>
        <v>1258252.4424</v>
      </c>
    </row>
    <row r="12" spans="1:3" ht="13.5" customHeight="1">
      <c r="A12" s="25" t="s">
        <v>246</v>
      </c>
      <c r="B12" s="26">
        <f>'- 53 -'!D12</f>
        <v>85253230</v>
      </c>
      <c r="C12" s="26">
        <f t="shared" si="0"/>
        <v>1370871.9384</v>
      </c>
    </row>
    <row r="13" spans="1:3" ht="13.5" customHeight="1">
      <c r="A13" s="331" t="s">
        <v>247</v>
      </c>
      <c r="B13" s="332">
        <f>'- 53 -'!D13</f>
        <v>484269480</v>
      </c>
      <c r="C13" s="332">
        <f t="shared" si="0"/>
        <v>7787053.2384</v>
      </c>
    </row>
    <row r="14" spans="1:3" ht="13.5" customHeight="1">
      <c r="A14" s="25" t="s">
        <v>283</v>
      </c>
      <c r="B14" s="26">
        <f>'- 53 -'!D14</f>
        <v>0</v>
      </c>
      <c r="C14" s="26">
        <f t="shared" si="0"/>
        <v>0</v>
      </c>
    </row>
    <row r="15" spans="1:3" ht="13.5" customHeight="1">
      <c r="A15" s="331" t="s">
        <v>248</v>
      </c>
      <c r="B15" s="332">
        <f>'- 53 -'!D15</f>
        <v>73388170</v>
      </c>
      <c r="C15" s="332">
        <f t="shared" si="0"/>
        <v>1180081.7736</v>
      </c>
    </row>
    <row r="16" spans="1:3" ht="13.5" customHeight="1">
      <c r="A16" s="25" t="s">
        <v>249</v>
      </c>
      <c r="B16" s="26">
        <f>'- 53 -'!D16</f>
        <v>26438190</v>
      </c>
      <c r="C16" s="26">
        <f t="shared" si="0"/>
        <v>425126.09520000004</v>
      </c>
    </row>
    <row r="17" spans="1:3" ht="13.5" customHeight="1">
      <c r="A17" s="331" t="s">
        <v>250</v>
      </c>
      <c r="B17" s="332">
        <f>'- 53 -'!D17</f>
        <v>124392100</v>
      </c>
      <c r="C17" s="332">
        <f t="shared" si="0"/>
        <v>2000224.968</v>
      </c>
    </row>
    <row r="18" spans="1:3" ht="13.5" customHeight="1">
      <c r="A18" s="25" t="s">
        <v>251</v>
      </c>
      <c r="B18" s="26">
        <f>'- 53 -'!D18</f>
        <v>43592420</v>
      </c>
      <c r="C18" s="26">
        <f t="shared" si="0"/>
        <v>700966.1136</v>
      </c>
    </row>
    <row r="19" spans="1:3" ht="13.5" customHeight="1">
      <c r="A19" s="331" t="s">
        <v>252</v>
      </c>
      <c r="B19" s="332">
        <f>'- 53 -'!D19</f>
        <v>117319970</v>
      </c>
      <c r="C19" s="332">
        <f t="shared" si="0"/>
        <v>1886505.1176</v>
      </c>
    </row>
    <row r="20" spans="1:3" ht="13.5" customHeight="1">
      <c r="A20" s="25" t="s">
        <v>253</v>
      </c>
      <c r="B20" s="26">
        <f>'- 53 -'!D20</f>
        <v>169676440</v>
      </c>
      <c r="C20" s="26">
        <f t="shared" si="0"/>
        <v>2728397.1552</v>
      </c>
    </row>
    <row r="21" spans="1:3" ht="13.5" customHeight="1">
      <c r="A21" s="331" t="s">
        <v>254</v>
      </c>
      <c r="B21" s="332">
        <f>'- 53 -'!D21</f>
        <v>112801530</v>
      </c>
      <c r="C21" s="332">
        <f t="shared" si="0"/>
        <v>1813848.6024</v>
      </c>
    </row>
    <row r="22" spans="1:3" ht="13.5" customHeight="1">
      <c r="A22" s="25" t="s">
        <v>255</v>
      </c>
      <c r="B22" s="26">
        <f>'- 53 -'!D22</f>
        <v>54687600</v>
      </c>
      <c r="C22" s="26">
        <f t="shared" si="0"/>
        <v>879376.608</v>
      </c>
    </row>
    <row r="23" spans="1:3" ht="13.5" customHeight="1">
      <c r="A23" s="331" t="s">
        <v>256</v>
      </c>
      <c r="B23" s="332">
        <f>'- 53 -'!D23</f>
        <v>21703690</v>
      </c>
      <c r="C23" s="332">
        <f t="shared" si="0"/>
        <v>348995.33520000003</v>
      </c>
    </row>
    <row r="24" spans="1:3" ht="13.5" customHeight="1">
      <c r="A24" s="25" t="s">
        <v>257</v>
      </c>
      <c r="B24" s="26">
        <f>'- 53 -'!D24</f>
        <v>124301740</v>
      </c>
      <c r="C24" s="26">
        <f t="shared" si="0"/>
        <v>1998771.9792000002</v>
      </c>
    </row>
    <row r="25" spans="1:3" ht="13.5" customHeight="1">
      <c r="A25" s="331" t="s">
        <v>258</v>
      </c>
      <c r="B25" s="332">
        <f>'- 53 -'!D25</f>
        <v>552358100</v>
      </c>
      <c r="C25" s="332">
        <f t="shared" si="0"/>
        <v>8881918.248</v>
      </c>
    </row>
    <row r="26" spans="1:3" ht="13.5" customHeight="1">
      <c r="A26" s="25" t="s">
        <v>259</v>
      </c>
      <c r="B26" s="26">
        <f>'- 53 -'!D26</f>
        <v>81602150</v>
      </c>
      <c r="C26" s="26">
        <f t="shared" si="0"/>
        <v>1312162.5720000002</v>
      </c>
    </row>
    <row r="27" spans="1:3" ht="13.5" customHeight="1">
      <c r="A27" s="331" t="s">
        <v>260</v>
      </c>
      <c r="B27" s="332">
        <f>'- 53 -'!D27</f>
        <v>62567950</v>
      </c>
      <c r="C27" s="332">
        <f t="shared" si="0"/>
        <v>1006092.636</v>
      </c>
    </row>
    <row r="28" spans="1:3" ht="13.5" customHeight="1">
      <c r="A28" s="25" t="s">
        <v>261</v>
      </c>
      <c r="B28" s="26">
        <f>'- 53 -'!D28</f>
        <v>105708870</v>
      </c>
      <c r="C28" s="26">
        <f t="shared" si="0"/>
        <v>1699798.6296</v>
      </c>
    </row>
    <row r="29" spans="1:3" ht="13.5" customHeight="1">
      <c r="A29" s="331" t="s">
        <v>262</v>
      </c>
      <c r="B29" s="332">
        <f>'- 53 -'!D29</f>
        <v>555894260</v>
      </c>
      <c r="C29" s="332">
        <f t="shared" si="0"/>
        <v>8938779.7008</v>
      </c>
    </row>
    <row r="30" spans="1:3" ht="13.5" customHeight="1">
      <c r="A30" s="25" t="s">
        <v>263</v>
      </c>
      <c r="B30" s="26">
        <f>'- 53 -'!D30</f>
        <v>49943910</v>
      </c>
      <c r="C30" s="26">
        <f t="shared" si="0"/>
        <v>803098.0728000001</v>
      </c>
    </row>
    <row r="31" spans="1:3" ht="13.5" customHeight="1">
      <c r="A31" s="331" t="s">
        <v>264</v>
      </c>
      <c r="B31" s="332">
        <f>'- 53 -'!D31</f>
        <v>184981340</v>
      </c>
      <c r="C31" s="332">
        <f t="shared" si="0"/>
        <v>2974499.9472000003</v>
      </c>
    </row>
    <row r="32" spans="1:3" ht="13.5" customHeight="1">
      <c r="A32" s="25" t="s">
        <v>265</v>
      </c>
      <c r="B32" s="26">
        <f>'- 53 -'!D32</f>
        <v>73921550</v>
      </c>
      <c r="C32" s="26">
        <f t="shared" si="0"/>
        <v>1188658.524</v>
      </c>
    </row>
    <row r="33" spans="1:3" ht="13.5" customHeight="1">
      <c r="A33" s="331" t="s">
        <v>266</v>
      </c>
      <c r="B33" s="332">
        <f>'- 53 -'!D33</f>
        <v>80027610</v>
      </c>
      <c r="C33" s="332">
        <f t="shared" si="0"/>
        <v>1286843.9688000001</v>
      </c>
    </row>
    <row r="34" spans="1:3" ht="13.5" customHeight="1">
      <c r="A34" s="25" t="s">
        <v>267</v>
      </c>
      <c r="B34" s="26">
        <f>'- 53 -'!D34</f>
        <v>112964930</v>
      </c>
      <c r="C34" s="26">
        <f t="shared" si="0"/>
        <v>1816476.0744</v>
      </c>
    </row>
    <row r="35" spans="1:3" ht="13.5" customHeight="1">
      <c r="A35" s="331" t="s">
        <v>268</v>
      </c>
      <c r="B35" s="332">
        <f>'- 53 -'!D35</f>
        <v>487219750</v>
      </c>
      <c r="C35" s="332">
        <f t="shared" si="0"/>
        <v>7834493.58</v>
      </c>
    </row>
    <row r="36" spans="1:3" ht="13.5" customHeight="1">
      <c r="A36" s="25" t="s">
        <v>269</v>
      </c>
      <c r="B36" s="26">
        <f>'- 53 -'!D36</f>
        <v>91896560</v>
      </c>
      <c r="C36" s="26">
        <f t="shared" si="0"/>
        <v>1477696.6848000002</v>
      </c>
    </row>
    <row r="37" spans="1:3" ht="13.5" customHeight="1">
      <c r="A37" s="331" t="s">
        <v>270</v>
      </c>
      <c r="B37" s="332">
        <f>'- 53 -'!D37</f>
        <v>87199860</v>
      </c>
      <c r="C37" s="332">
        <f t="shared" si="0"/>
        <v>1402173.7488</v>
      </c>
    </row>
    <row r="38" spans="1:3" ht="13.5" customHeight="1">
      <c r="A38" s="25" t="s">
        <v>271</v>
      </c>
      <c r="B38" s="26">
        <f>'- 53 -'!D38</f>
        <v>180468710</v>
      </c>
      <c r="C38" s="26">
        <f t="shared" si="0"/>
        <v>2901936.8568</v>
      </c>
    </row>
    <row r="39" spans="1:3" ht="13.5" customHeight="1">
      <c r="A39" s="331" t="s">
        <v>272</v>
      </c>
      <c r="B39" s="332">
        <f>'- 53 -'!D39</f>
        <v>85510800</v>
      </c>
      <c r="C39" s="332">
        <f t="shared" si="0"/>
        <v>1375013.664</v>
      </c>
    </row>
    <row r="40" spans="1:3" ht="13.5" customHeight="1">
      <c r="A40" s="25" t="s">
        <v>273</v>
      </c>
      <c r="B40" s="26">
        <f>'- 53 -'!D40</f>
        <v>688492400</v>
      </c>
      <c r="C40" s="26">
        <f t="shared" si="0"/>
        <v>11070957.792000001</v>
      </c>
    </row>
    <row r="41" spans="1:3" ht="13.5" customHeight="1">
      <c r="A41" s="331" t="s">
        <v>274</v>
      </c>
      <c r="B41" s="332">
        <f>'- 53 -'!D41</f>
        <v>185750420</v>
      </c>
      <c r="C41" s="332">
        <f t="shared" si="0"/>
        <v>2986866.7536</v>
      </c>
    </row>
    <row r="42" spans="1:3" ht="13.5" customHeight="1">
      <c r="A42" s="25" t="s">
        <v>275</v>
      </c>
      <c r="B42" s="26">
        <f>'- 53 -'!D42</f>
        <v>54332260</v>
      </c>
      <c r="C42" s="26">
        <f t="shared" si="0"/>
        <v>873662.7408</v>
      </c>
    </row>
    <row r="43" spans="1:3" ht="13.5" customHeight="1">
      <c r="A43" s="331" t="s">
        <v>276</v>
      </c>
      <c r="B43" s="332">
        <f>'- 53 -'!D43</f>
        <v>37296360</v>
      </c>
      <c r="C43" s="332">
        <f t="shared" si="0"/>
        <v>599725.4688</v>
      </c>
    </row>
    <row r="44" spans="1:3" ht="13.5" customHeight="1">
      <c r="A44" s="25" t="s">
        <v>277</v>
      </c>
      <c r="B44" s="26">
        <f>'- 53 -'!D44</f>
        <v>11267980</v>
      </c>
      <c r="C44" s="26">
        <f t="shared" si="0"/>
        <v>181189.1184</v>
      </c>
    </row>
    <row r="45" spans="1:3" ht="13.5" customHeight="1">
      <c r="A45" s="331" t="s">
        <v>278</v>
      </c>
      <c r="B45" s="332">
        <f>'- 53 -'!D45</f>
        <v>51431940</v>
      </c>
      <c r="C45" s="332">
        <f t="shared" si="0"/>
        <v>827025.5952</v>
      </c>
    </row>
    <row r="46" spans="1:3" ht="13.5" customHeight="1">
      <c r="A46" s="25" t="s">
        <v>279</v>
      </c>
      <c r="B46" s="26">
        <f>'- 53 -'!D46</f>
        <v>2239838930</v>
      </c>
      <c r="C46" s="26">
        <f t="shared" si="0"/>
        <v>36016609.9944</v>
      </c>
    </row>
    <row r="47" spans="1:3" ht="6" customHeight="1">
      <c r="A47" s="27"/>
      <c r="B47" s="28"/>
      <c r="C47" s="28"/>
    </row>
    <row r="48" spans="1:3" ht="13.5" customHeight="1">
      <c r="A48" s="333" t="s">
        <v>331</v>
      </c>
      <c r="B48" s="334">
        <f>SUM(B11:B46)</f>
        <v>7576750730</v>
      </c>
      <c r="C48" s="334">
        <f>SUM(C11:C46)</f>
        <v>121834151.73839998</v>
      </c>
    </row>
    <row r="49" spans="1:3" ht="6" customHeight="1">
      <c r="A49" s="27"/>
      <c r="B49" s="28"/>
      <c r="C49" s="28"/>
    </row>
    <row r="50" spans="1:3" ht="13.5" customHeight="1">
      <c r="A50" s="25" t="s">
        <v>332</v>
      </c>
      <c r="B50" s="26">
        <f>'- 53 -'!D50</f>
        <v>1982800</v>
      </c>
      <c r="C50" s="26">
        <v>0</v>
      </c>
    </row>
    <row r="51" spans="1:3" ht="13.5" customHeight="1">
      <c r="A51" s="331" t="s">
        <v>333</v>
      </c>
      <c r="B51" s="332">
        <f>'- 53 -'!D51</f>
        <v>29265340</v>
      </c>
      <c r="C51" s="332">
        <f>B51*C$10</f>
        <v>470586.6672</v>
      </c>
    </row>
    <row r="52" spans="1:3" ht="6" customHeight="1">
      <c r="A52" s="151"/>
      <c r="B52" s="173"/>
      <c r="C52" s="173"/>
    </row>
    <row r="53" spans="1:4" ht="14.25" customHeight="1">
      <c r="A53" s="500" t="s">
        <v>280</v>
      </c>
      <c r="B53" s="501">
        <f>SUM(B48,B50:B51)</f>
        <v>7607998870</v>
      </c>
      <c r="C53" s="501">
        <f>SUM(C48,C50:C51)</f>
        <v>122304738.40559998</v>
      </c>
      <c r="D53" s="207"/>
    </row>
    <row r="54" spans="1:4" ht="28.5" customHeight="1">
      <c r="A54" s="259"/>
      <c r="B54" s="259"/>
      <c r="C54" s="259"/>
      <c r="D54" s="29"/>
    </row>
    <row r="55" spans="1:4" ht="14.25" customHeight="1">
      <c r="A55" s="271" t="s">
        <v>502</v>
      </c>
      <c r="B55" s="44"/>
      <c r="C55" s="44"/>
      <c r="D55" s="44"/>
    </row>
    <row r="56" spans="1:4" ht="14.25" customHeight="1">
      <c r="A56" s="31"/>
      <c r="B56" s="44"/>
      <c r="C56" s="44"/>
      <c r="D56" s="44"/>
    </row>
    <row r="57" spans="1:4" ht="14.25" customHeight="1">
      <c r="A57" s="32"/>
      <c r="B57" s="44"/>
      <c r="C57" s="44"/>
      <c r="D57" s="44"/>
    </row>
    <row r="58" spans="2:3" ht="14.25" customHeight="1">
      <c r="B58" s="89"/>
      <c r="C58" s="89"/>
    </row>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62">
    <pageSetUpPr fitToPage="1"/>
  </sheetPr>
  <dimension ref="A1:H57"/>
  <sheetViews>
    <sheetView showGridLines="0" showZeros="0" workbookViewId="0" topLeftCell="A1">
      <selection activeCell="A1" sqref="A1"/>
    </sheetView>
  </sheetViews>
  <sheetFormatPr defaultColWidth="15.83203125" defaultRowHeight="12"/>
  <cols>
    <col min="1" max="1" width="31.83203125" style="1" customWidth="1"/>
    <col min="2" max="2" width="18.83203125" style="1" customWidth="1"/>
    <col min="3" max="3" width="15.83203125" style="1" customWidth="1"/>
    <col min="4" max="4" width="16.83203125" style="1" customWidth="1"/>
    <col min="5" max="5" width="17.83203125" style="1" customWidth="1"/>
    <col min="6" max="6" width="15.83203125" style="1" customWidth="1"/>
    <col min="7" max="7" width="16.83203125" style="1" customWidth="1"/>
    <col min="8" max="16384" width="15.83203125" style="1" customWidth="1"/>
  </cols>
  <sheetData>
    <row r="1" ht="6.75" customHeight="1">
      <c r="A1" s="5"/>
    </row>
    <row r="2" spans="1:7" ht="15.75" customHeight="1">
      <c r="A2" s="238" t="s">
        <v>122</v>
      </c>
      <c r="B2" s="260"/>
      <c r="C2" s="260"/>
      <c r="D2" s="260"/>
      <c r="E2" s="260"/>
      <c r="F2" s="260"/>
      <c r="G2" s="260"/>
    </row>
    <row r="3" spans="1:7" ht="15.75" customHeight="1">
      <c r="A3" s="270" t="str">
        <f>TAXYEAR</f>
        <v>FOR THE 2006 TAXATION YEAR (2006 IS A REASSESSMENT YEAR)</v>
      </c>
      <c r="B3" s="261"/>
      <c r="C3" s="261"/>
      <c r="D3" s="261"/>
      <c r="E3" s="272"/>
      <c r="F3" s="272"/>
      <c r="G3" s="261"/>
    </row>
    <row r="4" spans="2:7" ht="15.75" customHeight="1">
      <c r="B4" s="6"/>
      <c r="C4" s="6"/>
      <c r="D4" s="6"/>
      <c r="E4" s="49"/>
      <c r="F4" s="49"/>
      <c r="G4" s="49"/>
    </row>
    <row r="5" spans="2:7" ht="15.75" customHeight="1">
      <c r="B5" s="6"/>
      <c r="C5" s="6"/>
      <c r="D5" s="6"/>
      <c r="E5" s="6"/>
      <c r="F5" s="6"/>
      <c r="G5" s="6"/>
    </row>
    <row r="6" spans="2:8" ht="15.75" customHeight="1">
      <c r="B6" s="236" t="s">
        <v>128</v>
      </c>
      <c r="C6" s="194"/>
      <c r="D6" s="194"/>
      <c r="E6" s="192"/>
      <c r="F6" s="6"/>
      <c r="G6" s="6"/>
      <c r="H6" s="3" t="s">
        <v>161</v>
      </c>
    </row>
    <row r="7" spans="2:8" ht="15.75" customHeight="1">
      <c r="B7" s="404" t="s">
        <v>136</v>
      </c>
      <c r="C7" s="404" t="s">
        <v>137</v>
      </c>
      <c r="D7" s="405"/>
      <c r="E7" s="353"/>
      <c r="F7" s="406"/>
      <c r="G7" s="353" t="s">
        <v>138</v>
      </c>
      <c r="H7" s="3" t="s">
        <v>152</v>
      </c>
    </row>
    <row r="8" spans="1:8" ht="15.75" customHeight="1">
      <c r="A8" s="39"/>
      <c r="B8" s="407" t="s">
        <v>158</v>
      </c>
      <c r="C8" s="407" t="s">
        <v>159</v>
      </c>
      <c r="D8" s="408" t="s">
        <v>32</v>
      </c>
      <c r="E8" s="409"/>
      <c r="F8" s="410" t="s">
        <v>138</v>
      </c>
      <c r="G8" s="410" t="s">
        <v>160</v>
      </c>
      <c r="H8" s="3" t="s">
        <v>223</v>
      </c>
    </row>
    <row r="9" spans="1:8" ht="15.75" customHeight="1">
      <c r="A9" s="273" t="s">
        <v>108</v>
      </c>
      <c r="B9" s="411" t="s">
        <v>171</v>
      </c>
      <c r="C9" s="411" t="s">
        <v>169</v>
      </c>
      <c r="D9" s="411" t="s">
        <v>172</v>
      </c>
      <c r="E9" s="357" t="s">
        <v>83</v>
      </c>
      <c r="F9" s="357" t="s">
        <v>433</v>
      </c>
      <c r="G9" s="357" t="s">
        <v>434</v>
      </c>
      <c r="H9" s="3" t="s">
        <v>224</v>
      </c>
    </row>
    <row r="10" spans="1:7" ht="4.5" customHeight="1">
      <c r="A10" s="24"/>
      <c r="B10" s="237"/>
      <c r="C10" s="5"/>
      <c r="D10" s="237"/>
      <c r="E10" s="237"/>
      <c r="F10" s="5"/>
      <c r="G10" s="5"/>
    </row>
    <row r="11" spans="1:7" ht="13.5" customHeight="1">
      <c r="A11" s="414" t="s">
        <v>245</v>
      </c>
      <c r="B11" s="412">
        <v>109995650</v>
      </c>
      <c r="C11" s="412">
        <v>103787810</v>
      </c>
      <c r="D11" s="412">
        <v>78249530</v>
      </c>
      <c r="E11" s="412">
        <f aca="true" t="shared" si="0" ref="E11:E46">SUM(B11:D11)</f>
        <v>292032990</v>
      </c>
      <c r="F11" s="412">
        <f>'- 55 -'!C11</f>
        <v>5300691</v>
      </c>
      <c r="G11" s="413">
        <f>F11/E11*1000</f>
        <v>18.15100067975197</v>
      </c>
    </row>
    <row r="12" spans="1:7" ht="13.5" customHeight="1">
      <c r="A12" s="274" t="s">
        <v>246</v>
      </c>
      <c r="B12" s="172">
        <v>149570970</v>
      </c>
      <c r="C12" s="172">
        <v>136903070</v>
      </c>
      <c r="D12" s="172">
        <v>85253230</v>
      </c>
      <c r="E12" s="172">
        <f t="shared" si="0"/>
        <v>371727270</v>
      </c>
      <c r="F12" s="172">
        <f>'- 55 -'!C12</f>
        <v>8988366</v>
      </c>
      <c r="G12" s="275">
        <f>F12/E12*1000</f>
        <v>24.18000164475423</v>
      </c>
    </row>
    <row r="13" spans="1:7" ht="13.5" customHeight="1">
      <c r="A13" s="414" t="s">
        <v>247</v>
      </c>
      <c r="B13" s="412">
        <v>752383250</v>
      </c>
      <c r="C13" s="412">
        <v>32344670</v>
      </c>
      <c r="D13" s="412">
        <v>484269480</v>
      </c>
      <c r="E13" s="412">
        <f t="shared" si="0"/>
        <v>1268997400</v>
      </c>
      <c r="F13" s="412">
        <f>'- 55 -'!C13</f>
        <v>22442924</v>
      </c>
      <c r="G13" s="413">
        <f>F13/E13*1000</f>
        <v>17.68555554172136</v>
      </c>
    </row>
    <row r="14" spans="1:7" ht="13.5" customHeight="1">
      <c r="A14" s="274" t="s">
        <v>283</v>
      </c>
      <c r="B14" s="172"/>
      <c r="C14" s="172"/>
      <c r="D14" s="172"/>
      <c r="E14" s="172">
        <f t="shared" si="0"/>
        <v>0</v>
      </c>
      <c r="F14" s="172"/>
      <c r="G14" s="275"/>
    </row>
    <row r="15" spans="1:7" ht="13.5" customHeight="1">
      <c r="A15" s="414" t="s">
        <v>248</v>
      </c>
      <c r="B15" s="412">
        <v>313911730</v>
      </c>
      <c r="C15" s="412">
        <v>47025330</v>
      </c>
      <c r="D15" s="412">
        <v>73388170</v>
      </c>
      <c r="E15" s="412">
        <f t="shared" si="0"/>
        <v>434325230</v>
      </c>
      <c r="F15" s="412">
        <f>'- 55 -'!C15</f>
        <v>6640369</v>
      </c>
      <c r="G15" s="413">
        <f>F15/E15*1000</f>
        <v>15.288932213309366</v>
      </c>
    </row>
    <row r="16" spans="1:8" ht="13.5" customHeight="1">
      <c r="A16" s="274" t="s">
        <v>249</v>
      </c>
      <c r="B16" s="172">
        <v>54333630</v>
      </c>
      <c r="C16" s="172">
        <v>0</v>
      </c>
      <c r="D16" s="172">
        <v>26438190</v>
      </c>
      <c r="E16" s="172">
        <f t="shared" si="0"/>
        <v>80771820</v>
      </c>
      <c r="F16" s="172">
        <f>'- 55 -'!C16</f>
        <v>3315361</v>
      </c>
      <c r="G16" s="275">
        <f>(F16-H16)/E16*1000</f>
        <v>22.168944565072326</v>
      </c>
      <c r="H16" s="1">
        <v>1524735</v>
      </c>
    </row>
    <row r="17" spans="1:7" ht="13.5" customHeight="1">
      <c r="A17" s="414" t="s">
        <v>250</v>
      </c>
      <c r="B17" s="412">
        <v>85648100</v>
      </c>
      <c r="C17" s="412">
        <v>85697980</v>
      </c>
      <c r="D17" s="412">
        <v>124392100</v>
      </c>
      <c r="E17" s="412">
        <f t="shared" si="0"/>
        <v>295738180</v>
      </c>
      <c r="F17" s="412">
        <f>'- 55 -'!C17</f>
        <v>5540258</v>
      </c>
      <c r="G17" s="413">
        <f>F17/E17*1000</f>
        <v>18.73365826488822</v>
      </c>
    </row>
    <row r="18" spans="1:7" ht="13.5" customHeight="1">
      <c r="A18" s="274" t="s">
        <v>251</v>
      </c>
      <c r="B18" s="172">
        <v>67339590</v>
      </c>
      <c r="C18" s="172">
        <v>13664770</v>
      </c>
      <c r="D18" s="172">
        <v>43592420</v>
      </c>
      <c r="E18" s="172">
        <f t="shared" si="0"/>
        <v>124596780</v>
      </c>
      <c r="F18" s="172">
        <f>'- 55 -'!C18</f>
        <v>3177218</v>
      </c>
      <c r="G18" s="275">
        <f>(F18-H18)/E18*1000</f>
        <v>25.500000882847857</v>
      </c>
    </row>
    <row r="19" spans="1:7" ht="13.5" customHeight="1">
      <c r="A19" s="414" t="s">
        <v>252</v>
      </c>
      <c r="B19" s="412">
        <v>219787910</v>
      </c>
      <c r="C19" s="412">
        <v>84382330</v>
      </c>
      <c r="D19" s="412">
        <v>117319970</v>
      </c>
      <c r="E19" s="412">
        <f t="shared" si="0"/>
        <v>421490210</v>
      </c>
      <c r="F19" s="412">
        <f>'- 55 -'!C19</f>
        <v>8265500</v>
      </c>
      <c r="G19" s="413">
        <f aca="true" t="shared" si="1" ref="G19:G26">F19/E19*1000</f>
        <v>19.61018264220182</v>
      </c>
    </row>
    <row r="20" spans="1:7" ht="13.5" customHeight="1">
      <c r="A20" s="274" t="s">
        <v>253</v>
      </c>
      <c r="B20" s="172">
        <v>472475250</v>
      </c>
      <c r="C20" s="172">
        <v>115056180</v>
      </c>
      <c r="D20" s="172">
        <v>169676440</v>
      </c>
      <c r="E20" s="172">
        <f t="shared" si="0"/>
        <v>757207870</v>
      </c>
      <c r="F20" s="172">
        <f>'- 55 -'!C20</f>
        <v>14841850</v>
      </c>
      <c r="G20" s="275">
        <f t="shared" si="1"/>
        <v>19.600760356597984</v>
      </c>
    </row>
    <row r="21" spans="1:7" ht="13.5" customHeight="1">
      <c r="A21" s="414" t="s">
        <v>254</v>
      </c>
      <c r="B21" s="412">
        <v>312247190</v>
      </c>
      <c r="C21" s="412">
        <v>97289900</v>
      </c>
      <c r="D21" s="412">
        <v>112801530</v>
      </c>
      <c r="E21" s="412">
        <f t="shared" si="0"/>
        <v>522338620</v>
      </c>
      <c r="F21" s="412">
        <f>'- 55 -'!C21</f>
        <v>10823214</v>
      </c>
      <c r="G21" s="413">
        <f t="shared" si="1"/>
        <v>20.720684984005203</v>
      </c>
    </row>
    <row r="22" spans="1:7" ht="13.5" customHeight="1">
      <c r="A22" s="274" t="s">
        <v>255</v>
      </c>
      <c r="B22" s="172">
        <v>87140360</v>
      </c>
      <c r="C22" s="172">
        <v>8689380</v>
      </c>
      <c r="D22" s="172">
        <v>54687600</v>
      </c>
      <c r="E22" s="172">
        <f t="shared" si="0"/>
        <v>150517340</v>
      </c>
      <c r="F22" s="172">
        <f>'- 55 -'!C22</f>
        <v>3821167</v>
      </c>
      <c r="G22" s="275">
        <f t="shared" si="1"/>
        <v>25.386888979037234</v>
      </c>
    </row>
    <row r="23" spans="1:8" ht="13.5" customHeight="1">
      <c r="A23" s="414" t="s">
        <v>256</v>
      </c>
      <c r="B23" s="412">
        <v>76854380</v>
      </c>
      <c r="C23" s="412">
        <v>56749160</v>
      </c>
      <c r="D23" s="412">
        <v>21703690</v>
      </c>
      <c r="E23" s="412">
        <f t="shared" si="0"/>
        <v>155307230</v>
      </c>
      <c r="F23" s="412">
        <f>'- 55 -'!C23</f>
        <v>3640009</v>
      </c>
      <c r="G23" s="413">
        <f t="shared" si="1"/>
        <v>23.437472936707454</v>
      </c>
      <c r="H23" s="276"/>
    </row>
    <row r="24" spans="1:7" ht="13.5" customHeight="1">
      <c r="A24" s="274" t="s">
        <v>257</v>
      </c>
      <c r="B24" s="172">
        <v>670178570</v>
      </c>
      <c r="C24" s="172">
        <v>35348290</v>
      </c>
      <c r="D24" s="172">
        <v>124301740</v>
      </c>
      <c r="E24" s="172">
        <f t="shared" si="0"/>
        <v>829828600</v>
      </c>
      <c r="F24" s="172">
        <f>'- 55 -'!C24</f>
        <v>17320573</v>
      </c>
      <c r="G24" s="275">
        <f t="shared" si="1"/>
        <v>20.872470531866462</v>
      </c>
    </row>
    <row r="25" spans="1:7" ht="13.5" customHeight="1">
      <c r="A25" s="414" t="s">
        <v>258</v>
      </c>
      <c r="B25" s="412">
        <v>2092695580</v>
      </c>
      <c r="C25" s="412">
        <v>7370240</v>
      </c>
      <c r="D25" s="412">
        <v>552358100</v>
      </c>
      <c r="E25" s="412">
        <f t="shared" si="0"/>
        <v>2652423920</v>
      </c>
      <c r="F25" s="412">
        <f>'- 55 -'!C25</f>
        <v>60750120</v>
      </c>
      <c r="G25" s="413">
        <f t="shared" si="1"/>
        <v>22.90362394258607</v>
      </c>
    </row>
    <row r="26" spans="1:7" ht="13.5" customHeight="1">
      <c r="A26" s="274" t="s">
        <v>259</v>
      </c>
      <c r="B26" s="172">
        <v>228621730</v>
      </c>
      <c r="C26" s="172">
        <v>135104250</v>
      </c>
      <c r="D26" s="172">
        <v>81602150</v>
      </c>
      <c r="E26" s="172">
        <f t="shared" si="0"/>
        <v>445328130</v>
      </c>
      <c r="F26" s="172">
        <f>'- 55 -'!C26</f>
        <v>10448212</v>
      </c>
      <c r="G26" s="275">
        <f t="shared" si="1"/>
        <v>23.461828023304975</v>
      </c>
    </row>
    <row r="27" spans="1:7" ht="13.5" customHeight="1">
      <c r="A27" s="414" t="s">
        <v>260</v>
      </c>
      <c r="B27" s="412">
        <v>138217330</v>
      </c>
      <c r="C27" s="412">
        <v>0</v>
      </c>
      <c r="D27" s="412">
        <v>62567950</v>
      </c>
      <c r="E27" s="412">
        <f t="shared" si="0"/>
        <v>200785280</v>
      </c>
      <c r="F27" s="412">
        <f>'- 55 -'!C27</f>
        <v>6782856</v>
      </c>
      <c r="G27" s="413">
        <f aca="true" t="shared" si="2" ref="G27:G34">F27/E27*1000</f>
        <v>33.78163976960861</v>
      </c>
    </row>
    <row r="28" spans="1:7" ht="13.5" customHeight="1">
      <c r="A28" s="274" t="s">
        <v>261</v>
      </c>
      <c r="B28" s="172">
        <v>106484150</v>
      </c>
      <c r="C28" s="172">
        <v>144595570</v>
      </c>
      <c r="D28" s="172">
        <v>105708870</v>
      </c>
      <c r="E28" s="172">
        <f t="shared" si="0"/>
        <v>356788590</v>
      </c>
      <c r="F28" s="172">
        <f>'- 55 -'!C28</f>
        <v>6815067</v>
      </c>
      <c r="G28" s="275">
        <f t="shared" si="2"/>
        <v>19.101134932594114</v>
      </c>
    </row>
    <row r="29" spans="1:7" ht="13.5" customHeight="1">
      <c r="A29" s="414" t="s">
        <v>262</v>
      </c>
      <c r="B29" s="412">
        <v>2163231720</v>
      </c>
      <c r="C29" s="412">
        <v>5155230</v>
      </c>
      <c r="D29" s="412">
        <v>555894260</v>
      </c>
      <c r="E29" s="412">
        <f t="shared" si="0"/>
        <v>2724281210</v>
      </c>
      <c r="F29" s="412">
        <f>'- 55 -'!C29</f>
        <v>63055841</v>
      </c>
      <c r="G29" s="413">
        <f t="shared" si="2"/>
        <v>23.14586349182359</v>
      </c>
    </row>
    <row r="30" spans="1:7" ht="13.5" customHeight="1">
      <c r="A30" s="274" t="s">
        <v>263</v>
      </c>
      <c r="B30" s="172">
        <v>60177320</v>
      </c>
      <c r="C30" s="172">
        <v>83374330</v>
      </c>
      <c r="D30" s="172">
        <v>49943910</v>
      </c>
      <c r="E30" s="172">
        <f t="shared" si="0"/>
        <v>193495560</v>
      </c>
      <c r="F30" s="172">
        <f>'- 55 -'!C30</f>
        <v>3677186</v>
      </c>
      <c r="G30" s="275">
        <f t="shared" si="2"/>
        <v>19.003981279983893</v>
      </c>
    </row>
    <row r="31" spans="1:7" ht="13.5" customHeight="1">
      <c r="A31" s="414" t="s">
        <v>264</v>
      </c>
      <c r="B31" s="412">
        <v>255406380</v>
      </c>
      <c r="C31" s="412">
        <v>116345440</v>
      </c>
      <c r="D31" s="412">
        <v>184981340</v>
      </c>
      <c r="E31" s="412">
        <f t="shared" si="0"/>
        <v>556733160</v>
      </c>
      <c r="F31" s="412">
        <f>'- 55 -'!C31</f>
        <v>10983330</v>
      </c>
      <c r="G31" s="413">
        <f t="shared" si="2"/>
        <v>19.728176421178144</v>
      </c>
    </row>
    <row r="32" spans="1:7" ht="13.5" customHeight="1">
      <c r="A32" s="274" t="s">
        <v>265</v>
      </c>
      <c r="B32" s="172">
        <v>204780050</v>
      </c>
      <c r="C32" s="172">
        <v>206240940</v>
      </c>
      <c r="D32" s="172">
        <v>73921550</v>
      </c>
      <c r="E32" s="172">
        <f t="shared" si="0"/>
        <v>484942540</v>
      </c>
      <c r="F32" s="172">
        <f>'- 55 -'!C32</f>
        <v>9266416</v>
      </c>
      <c r="G32" s="275">
        <f t="shared" si="2"/>
        <v>19.108276209383487</v>
      </c>
    </row>
    <row r="33" spans="1:7" ht="13.5" customHeight="1">
      <c r="A33" s="414" t="s">
        <v>266</v>
      </c>
      <c r="B33" s="412">
        <v>132040530</v>
      </c>
      <c r="C33" s="412">
        <v>257003270</v>
      </c>
      <c r="D33" s="412">
        <v>80027610</v>
      </c>
      <c r="E33" s="412">
        <f t="shared" si="0"/>
        <v>469071410</v>
      </c>
      <c r="F33" s="412">
        <f>'- 55 -'!C33</f>
        <v>10013618</v>
      </c>
      <c r="G33" s="413">
        <f t="shared" si="2"/>
        <v>21.34774745704497</v>
      </c>
    </row>
    <row r="34" spans="1:7" ht="13.5" customHeight="1">
      <c r="A34" s="274" t="s">
        <v>267</v>
      </c>
      <c r="B34" s="172">
        <v>179841540</v>
      </c>
      <c r="C34" s="172">
        <v>171033240</v>
      </c>
      <c r="D34" s="172">
        <v>112964930</v>
      </c>
      <c r="E34" s="172">
        <f t="shared" si="0"/>
        <v>463839710</v>
      </c>
      <c r="F34" s="172">
        <f>'- 55 -'!C34</f>
        <v>9609081</v>
      </c>
      <c r="G34" s="275">
        <f t="shared" si="2"/>
        <v>20.71638282112586</v>
      </c>
    </row>
    <row r="35" spans="1:7" ht="13.5" customHeight="1">
      <c r="A35" s="414" t="s">
        <v>268</v>
      </c>
      <c r="B35" s="412">
        <v>1950074480</v>
      </c>
      <c r="C35" s="412">
        <v>6446940</v>
      </c>
      <c r="D35" s="412">
        <v>487219750</v>
      </c>
      <c r="E35" s="412">
        <f t="shared" si="0"/>
        <v>2443741170</v>
      </c>
      <c r="F35" s="412">
        <f>'- 55 -'!C35</f>
        <v>58517003</v>
      </c>
      <c r="G35" s="413">
        <f aca="true" t="shared" si="3" ref="G35:G46">F35/E35*1000</f>
        <v>23.945663198038275</v>
      </c>
    </row>
    <row r="36" spans="1:7" ht="13.5" customHeight="1">
      <c r="A36" s="274" t="s">
        <v>269</v>
      </c>
      <c r="B36" s="172">
        <v>166862070</v>
      </c>
      <c r="C36" s="172">
        <v>87662790</v>
      </c>
      <c r="D36" s="172">
        <v>91896560</v>
      </c>
      <c r="E36" s="172">
        <f t="shared" si="0"/>
        <v>346421420</v>
      </c>
      <c r="F36" s="172">
        <f>'- 55 -'!C36</f>
        <v>7254131</v>
      </c>
      <c r="G36" s="275">
        <f t="shared" si="3"/>
        <v>20.940191862269952</v>
      </c>
    </row>
    <row r="37" spans="1:7" ht="13.5" customHeight="1">
      <c r="A37" s="414" t="s">
        <v>270</v>
      </c>
      <c r="B37" s="412">
        <v>433167920</v>
      </c>
      <c r="C37" s="412">
        <v>61782250</v>
      </c>
      <c r="D37" s="412">
        <v>87199860</v>
      </c>
      <c r="E37" s="412">
        <f t="shared" si="0"/>
        <v>582150030</v>
      </c>
      <c r="F37" s="412">
        <f>'- 55 -'!C37</f>
        <v>13427437</v>
      </c>
      <c r="G37" s="413">
        <f t="shared" si="3"/>
        <v>23.06525175305754</v>
      </c>
    </row>
    <row r="38" spans="1:7" ht="13.5" customHeight="1">
      <c r="A38" s="274" t="s">
        <v>271</v>
      </c>
      <c r="B38" s="172">
        <v>961384180</v>
      </c>
      <c r="C38" s="172">
        <v>5164390</v>
      </c>
      <c r="D38" s="172">
        <v>180468710</v>
      </c>
      <c r="E38" s="172">
        <f t="shared" si="0"/>
        <v>1147017280</v>
      </c>
      <c r="F38" s="172">
        <f>'- 55 -'!C38</f>
        <v>30181478</v>
      </c>
      <c r="G38" s="275">
        <f t="shared" si="3"/>
        <v>26.31301073336925</v>
      </c>
    </row>
    <row r="39" spans="1:7" ht="13.5" customHeight="1">
      <c r="A39" s="414" t="s">
        <v>272</v>
      </c>
      <c r="B39" s="412">
        <v>104164390</v>
      </c>
      <c r="C39" s="412">
        <v>182875080</v>
      </c>
      <c r="D39" s="412">
        <v>85510800</v>
      </c>
      <c r="E39" s="412">
        <f t="shared" si="0"/>
        <v>372550270</v>
      </c>
      <c r="F39" s="412">
        <f>'- 55 -'!C39</f>
        <v>7462210</v>
      </c>
      <c r="G39" s="413">
        <f t="shared" si="3"/>
        <v>20.030075404320602</v>
      </c>
    </row>
    <row r="40" spans="1:7" ht="13.5" customHeight="1">
      <c r="A40" s="274" t="s">
        <v>273</v>
      </c>
      <c r="B40" s="172">
        <v>1129319810</v>
      </c>
      <c r="C40" s="172">
        <v>6553360</v>
      </c>
      <c r="D40" s="172">
        <v>688492400</v>
      </c>
      <c r="E40" s="172">
        <f t="shared" si="0"/>
        <v>1824365570</v>
      </c>
      <c r="F40" s="172">
        <f>'- 55 -'!C40</f>
        <v>38275778</v>
      </c>
      <c r="G40" s="275">
        <f t="shared" si="3"/>
        <v>20.980322490957775</v>
      </c>
    </row>
    <row r="41" spans="1:7" ht="13.5" customHeight="1">
      <c r="A41" s="414" t="s">
        <v>274</v>
      </c>
      <c r="B41" s="412">
        <v>660652940</v>
      </c>
      <c r="C41" s="412">
        <v>100686470</v>
      </c>
      <c r="D41" s="412">
        <v>185750420</v>
      </c>
      <c r="E41" s="412">
        <f t="shared" si="0"/>
        <v>947089830</v>
      </c>
      <c r="F41" s="412">
        <f>'- 55 -'!C41</f>
        <v>21490827</v>
      </c>
      <c r="G41" s="413">
        <f t="shared" si="3"/>
        <v>22.69143466570642</v>
      </c>
    </row>
    <row r="42" spans="1:7" ht="13.5" customHeight="1">
      <c r="A42" s="274" t="s">
        <v>275</v>
      </c>
      <c r="B42" s="172">
        <v>113070340</v>
      </c>
      <c r="C42" s="172">
        <v>69051280</v>
      </c>
      <c r="D42" s="172">
        <v>54332260</v>
      </c>
      <c r="E42" s="172">
        <f t="shared" si="0"/>
        <v>236453880</v>
      </c>
      <c r="F42" s="172">
        <f>'- 55 -'!C42</f>
        <v>5451299</v>
      </c>
      <c r="G42" s="275">
        <f t="shared" si="3"/>
        <v>23.05438591238173</v>
      </c>
    </row>
    <row r="43" spans="1:7" ht="13.5" customHeight="1">
      <c r="A43" s="414" t="s">
        <v>276</v>
      </c>
      <c r="B43" s="412">
        <v>85079220</v>
      </c>
      <c r="C43" s="412">
        <v>92815520</v>
      </c>
      <c r="D43" s="412">
        <v>37296360</v>
      </c>
      <c r="E43" s="412">
        <f t="shared" si="0"/>
        <v>215191100</v>
      </c>
      <c r="F43" s="412">
        <f>'- 55 -'!C43</f>
        <v>4049914</v>
      </c>
      <c r="G43" s="413">
        <f t="shared" si="3"/>
        <v>18.820081313771805</v>
      </c>
    </row>
    <row r="44" spans="1:7" ht="13.5" customHeight="1">
      <c r="A44" s="274" t="s">
        <v>277</v>
      </c>
      <c r="B44" s="172">
        <v>44473690</v>
      </c>
      <c r="C44" s="172">
        <v>49330370</v>
      </c>
      <c r="D44" s="172">
        <v>11267980</v>
      </c>
      <c r="E44" s="172">
        <f t="shared" si="0"/>
        <v>105072040</v>
      </c>
      <c r="F44" s="172">
        <f>'- 55 -'!C44</f>
        <v>2377886</v>
      </c>
      <c r="G44" s="275">
        <f t="shared" si="3"/>
        <v>22.631006307672337</v>
      </c>
    </row>
    <row r="45" spans="1:7" ht="13.5" customHeight="1">
      <c r="A45" s="414" t="s">
        <v>278</v>
      </c>
      <c r="B45" s="412">
        <v>129429040</v>
      </c>
      <c r="C45" s="412">
        <v>30432160</v>
      </c>
      <c r="D45" s="412">
        <v>51431940</v>
      </c>
      <c r="E45" s="412">
        <f t="shared" si="0"/>
        <v>211293140</v>
      </c>
      <c r="F45" s="412">
        <f>'- 55 -'!C45</f>
        <v>4320117</v>
      </c>
      <c r="G45" s="413">
        <f t="shared" si="3"/>
        <v>20.446082631930217</v>
      </c>
    </row>
    <row r="46" spans="1:7" ht="13.5" customHeight="1">
      <c r="A46" s="274" t="s">
        <v>279</v>
      </c>
      <c r="B46" s="172">
        <v>2396421670</v>
      </c>
      <c r="C46" s="172">
        <v>921950</v>
      </c>
      <c r="D46" s="172">
        <v>2239838930</v>
      </c>
      <c r="E46" s="172">
        <f t="shared" si="0"/>
        <v>4637182550</v>
      </c>
      <c r="F46" s="172">
        <f>'- 55 -'!C46</f>
        <v>125562776</v>
      </c>
      <c r="G46" s="275">
        <f t="shared" si="3"/>
        <v>27.07738473655733</v>
      </c>
    </row>
    <row r="47" spans="1:7" ht="4.5" customHeight="1">
      <c r="A47" s="151"/>
      <c r="B47" s="173"/>
      <c r="C47" s="173"/>
      <c r="D47" s="173"/>
      <c r="E47" s="173"/>
      <c r="F47" s="173"/>
      <c r="G47" s="277"/>
    </row>
    <row r="48" spans="1:7" ht="13.5" customHeight="1">
      <c r="A48" s="415" t="s">
        <v>331</v>
      </c>
      <c r="B48" s="416">
        <f>SUM(B11:B46)</f>
        <v>17107462660</v>
      </c>
      <c r="C48" s="416">
        <f>SUM(C11:C46)</f>
        <v>2636883940</v>
      </c>
      <c r="D48" s="416">
        <f>SUM(D11:D46)</f>
        <v>7576750730</v>
      </c>
      <c r="E48" s="416">
        <f>SUM(E11:E46)</f>
        <v>27321097330</v>
      </c>
      <c r="F48" s="416">
        <f>SUM(F11:F46)</f>
        <v>623890083</v>
      </c>
      <c r="G48" s="417">
        <f>F48/E48*1000</f>
        <v>22.835469434638554</v>
      </c>
    </row>
    <row r="49" spans="1:7" ht="4.5" customHeight="1">
      <c r="A49" s="151"/>
      <c r="B49" s="173"/>
      <c r="C49" s="173"/>
      <c r="D49" s="173"/>
      <c r="E49" s="173"/>
      <c r="F49" s="173"/>
      <c r="G49" s="173"/>
    </row>
    <row r="50" spans="1:7" ht="13.5" customHeight="1">
      <c r="A50" s="274" t="s">
        <v>332</v>
      </c>
      <c r="B50" s="172">
        <v>25233030</v>
      </c>
      <c r="C50" s="172">
        <v>234960</v>
      </c>
      <c r="D50" s="172">
        <v>1982800</v>
      </c>
      <c r="E50" s="172">
        <f>SUM(B50:D50)</f>
        <v>27450790</v>
      </c>
      <c r="F50" s="173"/>
      <c r="G50" s="173"/>
    </row>
    <row r="51" spans="1:7" ht="13.5" customHeight="1">
      <c r="A51" s="414" t="s">
        <v>333</v>
      </c>
      <c r="B51" s="412">
        <v>9684870</v>
      </c>
      <c r="C51" s="412">
        <v>9044610</v>
      </c>
      <c r="D51" s="412">
        <v>29265340</v>
      </c>
      <c r="E51" s="412">
        <f>SUM(B51:D51)</f>
        <v>47994820</v>
      </c>
      <c r="F51" s="173"/>
      <c r="G51" s="278"/>
    </row>
    <row r="52" spans="1:7" ht="4.5" customHeight="1">
      <c r="A52" s="151"/>
      <c r="B52" s="173"/>
      <c r="C52" s="173"/>
      <c r="D52" s="173"/>
      <c r="E52" s="173"/>
      <c r="F52" s="173"/>
      <c r="G52" s="173"/>
    </row>
    <row r="53" spans="1:7" ht="13.5" customHeight="1">
      <c r="A53" s="415" t="s">
        <v>280</v>
      </c>
      <c r="B53" s="416">
        <f>SUM(B48,B50:B51)</f>
        <v>17142380560</v>
      </c>
      <c r="C53" s="416">
        <f>SUM(C48,C50:C51)</f>
        <v>2646163510</v>
      </c>
      <c r="D53" s="416">
        <f>SUM(D48,D50:D51)</f>
        <v>7607998870</v>
      </c>
      <c r="E53" s="416">
        <f>SUM(E48,E50:E51)</f>
        <v>27396542940</v>
      </c>
      <c r="F53" s="173"/>
      <c r="G53" s="278"/>
    </row>
    <row r="54" spans="1:7" ht="30" customHeight="1">
      <c r="A54" s="29"/>
      <c r="B54" s="29"/>
      <c r="C54" s="29"/>
      <c r="D54" s="29"/>
      <c r="E54" s="29"/>
      <c r="F54" s="29"/>
      <c r="G54" s="29"/>
    </row>
    <row r="55" spans="1:8" ht="15" customHeight="1">
      <c r="A55" s="489" t="s">
        <v>472</v>
      </c>
      <c r="B55" s="44"/>
      <c r="C55" s="44"/>
      <c r="D55" s="44"/>
      <c r="E55" s="44"/>
      <c r="F55" s="44"/>
      <c r="G55" s="44"/>
      <c r="H55" s="44"/>
    </row>
    <row r="56" spans="1:8" ht="12" customHeight="1">
      <c r="A56" s="153" t="s">
        <v>497</v>
      </c>
      <c r="B56" s="44"/>
      <c r="C56" s="44"/>
      <c r="D56" s="44"/>
      <c r="E56" s="44"/>
      <c r="F56" s="44"/>
      <c r="G56" s="44"/>
      <c r="H56" s="44"/>
    </row>
    <row r="57" spans="1:8" ht="12" customHeight="1">
      <c r="A57" s="2" t="s">
        <v>448</v>
      </c>
      <c r="B57" s="44"/>
      <c r="C57" s="44"/>
      <c r="D57" s="44"/>
      <c r="E57" s="44"/>
      <c r="F57" s="44"/>
      <c r="G57" s="44"/>
      <c r="H57" s="44"/>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8.xml><?xml version="1.0" encoding="utf-8"?>
<worksheet xmlns="http://schemas.openxmlformats.org/spreadsheetml/2006/main" xmlns:r="http://schemas.openxmlformats.org/officeDocument/2006/relationships">
  <sheetPr codeName="Sheet64">
    <pageSetUpPr fitToPage="1"/>
  </sheetPr>
  <dimension ref="A1:F52"/>
  <sheetViews>
    <sheetView showGridLines="0" showZeros="0" workbookViewId="0" topLeftCell="A1">
      <selection activeCell="A1" sqref="A1"/>
    </sheetView>
  </sheetViews>
  <sheetFormatPr defaultColWidth="15.83203125" defaultRowHeight="12"/>
  <cols>
    <col min="1" max="1" width="35.83203125" style="1" customWidth="1"/>
    <col min="2" max="3" width="21.83203125" style="1" customWidth="1"/>
    <col min="4" max="4" width="23.83203125" style="1" customWidth="1"/>
    <col min="5" max="5" width="2.83203125" style="1" customWidth="1"/>
    <col min="6" max="6" width="27.83203125" style="1" customWidth="1"/>
    <col min="7" max="16384" width="15.83203125" style="1" customWidth="1"/>
  </cols>
  <sheetData>
    <row r="1" ht="6.75" customHeight="1">
      <c r="A1" s="5"/>
    </row>
    <row r="2" spans="1:6" ht="15.75" customHeight="1">
      <c r="A2" s="503"/>
      <c r="B2" s="238" t="s">
        <v>327</v>
      </c>
      <c r="C2" s="239"/>
      <c r="D2" s="239"/>
      <c r="E2" s="240"/>
      <c r="F2" s="240"/>
    </row>
    <row r="3" spans="1:6" ht="15.75" customHeight="1">
      <c r="A3" s="29"/>
      <c r="B3" s="480" t="str">
        <f>TAXYEAR</f>
        <v>FOR THE 2006 TAXATION YEAR (2006 IS A REASSESSMENT YEAR)</v>
      </c>
      <c r="C3" s="479"/>
      <c r="D3" s="479"/>
      <c r="E3" s="502"/>
      <c r="F3" s="502"/>
    </row>
    <row r="4" spans="2:6" ht="15.75" customHeight="1">
      <c r="B4"/>
      <c r="C4" s="6"/>
      <c r="D4" s="6"/>
      <c r="E4" s="6"/>
      <c r="F4" s="6"/>
    </row>
    <row r="5" spans="2:6" ht="15.75" customHeight="1">
      <c r="B5"/>
      <c r="C5" s="6"/>
      <c r="D5" s="6"/>
      <c r="E5" s="6"/>
      <c r="F5" s="6"/>
    </row>
    <row r="6" spans="2:6" ht="15.75" customHeight="1">
      <c r="B6"/>
      <c r="C6" s="6"/>
      <c r="D6" s="6"/>
      <c r="E6" s="6"/>
      <c r="F6" s="6"/>
    </row>
    <row r="7" spans="2:6" ht="15.75" customHeight="1">
      <c r="B7" s="353" t="s">
        <v>105</v>
      </c>
      <c r="C7" s="418"/>
      <c r="D7" s="418"/>
      <c r="E7" s="6"/>
      <c r="F7" s="418" t="s">
        <v>139</v>
      </c>
    </row>
    <row r="8" spans="1:6" ht="15.75" customHeight="1">
      <c r="A8" s="19"/>
      <c r="B8" s="396" t="s">
        <v>162</v>
      </c>
      <c r="C8" s="419"/>
      <c r="D8" s="419"/>
      <c r="E8" s="6"/>
      <c r="F8" s="410" t="s">
        <v>89</v>
      </c>
    </row>
    <row r="9" spans="1:6" ht="15.75" customHeight="1">
      <c r="A9" s="21" t="s">
        <v>108</v>
      </c>
      <c r="B9" s="347" t="s">
        <v>160</v>
      </c>
      <c r="C9" s="357" t="s">
        <v>173</v>
      </c>
      <c r="D9" s="357" t="s">
        <v>83</v>
      </c>
      <c r="E9" s="6"/>
      <c r="F9" s="357" t="s">
        <v>12</v>
      </c>
    </row>
    <row r="10" spans="1:6" ht="4.5" customHeight="1">
      <c r="A10" s="24"/>
      <c r="B10" s="237">
        <v>38577</v>
      </c>
      <c r="C10" s="237"/>
      <c r="D10" s="237"/>
      <c r="E10" s="237"/>
      <c r="F10" s="237"/>
    </row>
    <row r="11" spans="1:6" ht="13.5" customHeight="1">
      <c r="A11" s="414" t="s">
        <v>245</v>
      </c>
      <c r="B11" s="412">
        <f>'- 51 -'!C11</f>
        <v>1258252.4424</v>
      </c>
      <c r="C11" s="412">
        <v>5300691</v>
      </c>
      <c r="D11" s="412">
        <f aca="true" t="shared" si="0" ref="D11:D46">SUM(B11,C11)</f>
        <v>6558943.4424</v>
      </c>
      <c r="F11" s="412">
        <v>190884</v>
      </c>
    </row>
    <row r="12" spans="1:6" ht="13.5" customHeight="1">
      <c r="A12" s="274" t="s">
        <v>246</v>
      </c>
      <c r="B12" s="172">
        <f>'- 51 -'!C12</f>
        <v>1370871.9384</v>
      </c>
      <c r="C12" s="172">
        <v>8988366</v>
      </c>
      <c r="D12" s="172">
        <f t="shared" si="0"/>
        <v>10359237.9384</v>
      </c>
      <c r="F12" s="172">
        <v>163063</v>
      </c>
    </row>
    <row r="13" spans="1:6" ht="13.5" customHeight="1">
      <c r="A13" s="414" t="s">
        <v>247</v>
      </c>
      <c r="B13" s="412">
        <f>'- 51 -'!C13</f>
        <v>7787053.2384</v>
      </c>
      <c r="C13" s="412">
        <v>22442924</v>
      </c>
      <c r="D13" s="412">
        <f t="shared" si="0"/>
        <v>30229977.2384</v>
      </c>
      <c r="F13" s="412">
        <v>180181</v>
      </c>
    </row>
    <row r="14" spans="1:6" ht="13.5" customHeight="1">
      <c r="A14" s="274" t="s">
        <v>283</v>
      </c>
      <c r="B14" s="172">
        <f>'- 51 -'!C14</f>
        <v>0</v>
      </c>
      <c r="C14" s="172">
        <v>0</v>
      </c>
      <c r="D14" s="172">
        <f t="shared" si="0"/>
        <v>0</v>
      </c>
      <c r="F14" s="172">
        <v>158217</v>
      </c>
    </row>
    <row r="15" spans="1:6" ht="13.5" customHeight="1">
      <c r="A15" s="414" t="s">
        <v>248</v>
      </c>
      <c r="B15" s="412">
        <f>'- 51 -'!C15</f>
        <v>1180081.7736</v>
      </c>
      <c r="C15" s="412">
        <v>6640369</v>
      </c>
      <c r="D15" s="412">
        <f t="shared" si="0"/>
        <v>7820450.7736</v>
      </c>
      <c r="F15" s="412">
        <v>268699</v>
      </c>
    </row>
    <row r="16" spans="1:6" ht="13.5" customHeight="1">
      <c r="A16" s="274" t="s">
        <v>249</v>
      </c>
      <c r="B16" s="172">
        <f>'- 51 -'!C16</f>
        <v>425126.09520000004</v>
      </c>
      <c r="C16" s="172">
        <v>3315361</v>
      </c>
      <c r="D16" s="172">
        <f t="shared" si="0"/>
        <v>3740487.0952</v>
      </c>
      <c r="F16" s="172">
        <v>96707</v>
      </c>
    </row>
    <row r="17" spans="1:6" ht="13.5" customHeight="1">
      <c r="A17" s="414" t="s">
        <v>250</v>
      </c>
      <c r="B17" s="412">
        <f>'- 51 -'!C17</f>
        <v>2000224.968</v>
      </c>
      <c r="C17" s="412">
        <v>5540258</v>
      </c>
      <c r="D17" s="412">
        <f t="shared" si="0"/>
        <v>7540482.968</v>
      </c>
      <c r="F17" s="412">
        <v>207930</v>
      </c>
    </row>
    <row r="18" spans="1:6" ht="13.5" customHeight="1">
      <c r="A18" s="274" t="s">
        <v>251</v>
      </c>
      <c r="B18" s="172">
        <f>'- 51 -'!C18</f>
        <v>700966.1136</v>
      </c>
      <c r="C18" s="172">
        <v>3177218</v>
      </c>
      <c r="D18" s="172">
        <f t="shared" si="0"/>
        <v>3878184.1136</v>
      </c>
      <c r="F18" s="172">
        <v>42780</v>
      </c>
    </row>
    <row r="19" spans="1:6" ht="13.5" customHeight="1">
      <c r="A19" s="414" t="s">
        <v>252</v>
      </c>
      <c r="B19" s="412">
        <f>'- 51 -'!C19</f>
        <v>1886505.1176</v>
      </c>
      <c r="C19" s="412">
        <v>8265500</v>
      </c>
      <c r="D19" s="412">
        <f t="shared" si="0"/>
        <v>10152005.1176</v>
      </c>
      <c r="F19" s="412">
        <v>133189</v>
      </c>
    </row>
    <row r="20" spans="1:6" ht="13.5" customHeight="1">
      <c r="A20" s="274" t="s">
        <v>253</v>
      </c>
      <c r="B20" s="172">
        <f>'- 51 -'!C20</f>
        <v>2728397.1552</v>
      </c>
      <c r="C20" s="172">
        <v>14841850</v>
      </c>
      <c r="D20" s="172">
        <f t="shared" si="0"/>
        <v>17570247.1552</v>
      </c>
      <c r="F20" s="172">
        <v>113156</v>
      </c>
    </row>
    <row r="21" spans="1:6" ht="13.5" customHeight="1">
      <c r="A21" s="414" t="s">
        <v>254</v>
      </c>
      <c r="B21" s="412">
        <f>'- 51 -'!C21</f>
        <v>1813848.6024</v>
      </c>
      <c r="C21" s="412">
        <v>10823214</v>
      </c>
      <c r="D21" s="412">
        <f t="shared" si="0"/>
        <v>12637062.6024</v>
      </c>
      <c r="F21" s="412">
        <v>156258</v>
      </c>
    </row>
    <row r="22" spans="1:6" ht="13.5" customHeight="1">
      <c r="A22" s="274" t="s">
        <v>255</v>
      </c>
      <c r="B22" s="172">
        <f>'- 51 -'!C22</f>
        <v>879376.608</v>
      </c>
      <c r="C22" s="172">
        <v>3821167</v>
      </c>
      <c r="D22" s="172">
        <f t="shared" si="0"/>
        <v>4700543.608</v>
      </c>
      <c r="F22" s="172">
        <v>91267</v>
      </c>
    </row>
    <row r="23" spans="1:6" ht="13.5" customHeight="1">
      <c r="A23" s="414" t="s">
        <v>256</v>
      </c>
      <c r="B23" s="412">
        <f>'- 51 -'!C23</f>
        <v>348995.33520000003</v>
      </c>
      <c r="C23" s="412">
        <v>3640009</v>
      </c>
      <c r="D23" s="412">
        <f t="shared" si="0"/>
        <v>3989004.3352</v>
      </c>
      <c r="F23" s="412">
        <v>123387</v>
      </c>
    </row>
    <row r="24" spans="1:6" ht="13.5" customHeight="1">
      <c r="A24" s="274" t="s">
        <v>257</v>
      </c>
      <c r="B24" s="172">
        <f>'- 51 -'!C24</f>
        <v>1998771.9792000002</v>
      </c>
      <c r="C24" s="172">
        <v>17320573</v>
      </c>
      <c r="D24" s="172">
        <f t="shared" si="0"/>
        <v>19319344.9792</v>
      </c>
      <c r="F24" s="172">
        <v>182372</v>
      </c>
    </row>
    <row r="25" spans="1:6" ht="13.5" customHeight="1">
      <c r="A25" s="414" t="s">
        <v>258</v>
      </c>
      <c r="B25" s="412">
        <f>'- 51 -'!C25</f>
        <v>8881918.248</v>
      </c>
      <c r="C25" s="412">
        <v>60750120</v>
      </c>
      <c r="D25" s="412">
        <f t="shared" si="0"/>
        <v>69632038.248</v>
      </c>
      <c r="F25" s="412">
        <v>159567</v>
      </c>
    </row>
    <row r="26" spans="1:6" ht="13.5" customHeight="1">
      <c r="A26" s="274" t="s">
        <v>259</v>
      </c>
      <c r="B26" s="172">
        <f>'- 51 -'!C26</f>
        <v>1312162.5720000002</v>
      </c>
      <c r="C26" s="172">
        <v>10448212</v>
      </c>
      <c r="D26" s="172">
        <f t="shared" si="0"/>
        <v>11760374.572</v>
      </c>
      <c r="F26" s="172">
        <v>145276</v>
      </c>
    </row>
    <row r="27" spans="1:6" ht="13.5" customHeight="1">
      <c r="A27" s="414" t="s">
        <v>260</v>
      </c>
      <c r="B27" s="412">
        <f>'- 51 -'!C27</f>
        <v>1006092.636</v>
      </c>
      <c r="C27" s="412">
        <v>6782856</v>
      </c>
      <c r="D27" s="412">
        <f t="shared" si="0"/>
        <v>7788948.636</v>
      </c>
      <c r="F27" s="412">
        <v>72917</v>
      </c>
    </row>
    <row r="28" spans="1:6" ht="13.5" customHeight="1">
      <c r="A28" s="274" t="s">
        <v>261</v>
      </c>
      <c r="B28" s="172">
        <f>'- 51 -'!C28</f>
        <v>1699798.6296</v>
      </c>
      <c r="C28" s="172">
        <v>6815067</v>
      </c>
      <c r="D28" s="172">
        <f t="shared" si="0"/>
        <v>8514865.6296</v>
      </c>
      <c r="F28" s="172">
        <v>179195</v>
      </c>
    </row>
    <row r="29" spans="1:6" ht="13.5" customHeight="1">
      <c r="A29" s="414" t="s">
        <v>262</v>
      </c>
      <c r="B29" s="412">
        <f>'- 51 -'!C29</f>
        <v>8938779.7008</v>
      </c>
      <c r="C29" s="412">
        <v>63055841</v>
      </c>
      <c r="D29" s="412">
        <f t="shared" si="0"/>
        <v>71994620.7008</v>
      </c>
      <c r="F29" s="412">
        <v>208243</v>
      </c>
    </row>
    <row r="30" spans="1:6" ht="13.5" customHeight="1">
      <c r="A30" s="274" t="s">
        <v>263</v>
      </c>
      <c r="B30" s="172">
        <f>'- 51 -'!C30</f>
        <v>803098.0728000001</v>
      </c>
      <c r="C30" s="172">
        <v>3677186</v>
      </c>
      <c r="D30" s="172">
        <f t="shared" si="0"/>
        <v>4480284.0728</v>
      </c>
      <c r="F30" s="172">
        <v>153812</v>
      </c>
    </row>
    <row r="31" spans="1:6" ht="13.5" customHeight="1">
      <c r="A31" s="414" t="s">
        <v>264</v>
      </c>
      <c r="B31" s="412">
        <f>'- 51 -'!C31</f>
        <v>2974499.9472000003</v>
      </c>
      <c r="C31" s="412">
        <v>10983330</v>
      </c>
      <c r="D31" s="412">
        <f t="shared" si="0"/>
        <v>13957829.9472</v>
      </c>
      <c r="F31" s="412">
        <v>168044</v>
      </c>
    </row>
    <row r="32" spans="1:6" ht="13.5" customHeight="1">
      <c r="A32" s="274" t="s">
        <v>265</v>
      </c>
      <c r="B32" s="172">
        <f>'- 51 -'!C32</f>
        <v>1188658.524</v>
      </c>
      <c r="C32" s="172">
        <v>9266416</v>
      </c>
      <c r="D32" s="172">
        <f t="shared" si="0"/>
        <v>10455074.524</v>
      </c>
      <c r="F32" s="172">
        <v>203565</v>
      </c>
    </row>
    <row r="33" spans="1:6" ht="13.5" customHeight="1">
      <c r="A33" s="414" t="s">
        <v>266</v>
      </c>
      <c r="B33" s="412">
        <f>'- 51 -'!C33</f>
        <v>1286843.9688000001</v>
      </c>
      <c r="C33" s="412">
        <v>10013618</v>
      </c>
      <c r="D33" s="412">
        <f t="shared" si="0"/>
        <v>11300461.9688</v>
      </c>
      <c r="F33" s="412">
        <v>173365</v>
      </c>
    </row>
    <row r="34" spans="1:6" ht="13.5" customHeight="1">
      <c r="A34" s="274" t="s">
        <v>267</v>
      </c>
      <c r="B34" s="172">
        <f>'- 51 -'!C34</f>
        <v>1816476.0744</v>
      </c>
      <c r="C34" s="172">
        <v>9609081</v>
      </c>
      <c r="D34" s="172">
        <f t="shared" si="0"/>
        <v>11425557.0744</v>
      </c>
      <c r="F34" s="172">
        <v>187283</v>
      </c>
    </row>
    <row r="35" spans="1:6" ht="13.5" customHeight="1">
      <c r="A35" s="414" t="s">
        <v>268</v>
      </c>
      <c r="B35" s="412">
        <f>'- 51 -'!C35</f>
        <v>7834493.58</v>
      </c>
      <c r="C35" s="412">
        <v>58517003</v>
      </c>
      <c r="D35" s="412">
        <f t="shared" si="0"/>
        <v>66351496.58</v>
      </c>
      <c r="F35" s="412">
        <v>143001</v>
      </c>
    </row>
    <row r="36" spans="1:6" ht="13.5" customHeight="1">
      <c r="A36" s="274" t="s">
        <v>269</v>
      </c>
      <c r="B36" s="172">
        <f>'- 51 -'!C36</f>
        <v>1477696.6848000002</v>
      </c>
      <c r="C36" s="172">
        <v>7254131</v>
      </c>
      <c r="D36" s="172">
        <f t="shared" si="0"/>
        <v>8731827.6848</v>
      </c>
      <c r="F36" s="172">
        <v>181218</v>
      </c>
    </row>
    <row r="37" spans="1:6" ht="13.5" customHeight="1">
      <c r="A37" s="414" t="s">
        <v>270</v>
      </c>
      <c r="B37" s="412">
        <f>'- 51 -'!C37</f>
        <v>1402173.7488</v>
      </c>
      <c r="C37" s="412">
        <v>13427437</v>
      </c>
      <c r="D37" s="412">
        <f t="shared" si="0"/>
        <v>14829610.7488</v>
      </c>
      <c r="F37" s="412">
        <v>121573</v>
      </c>
    </row>
    <row r="38" spans="1:6" ht="13.5" customHeight="1">
      <c r="A38" s="274" t="s">
        <v>271</v>
      </c>
      <c r="B38" s="172">
        <f>'- 51 -'!C38</f>
        <v>2901936.8568</v>
      </c>
      <c r="C38" s="172">
        <v>30181478</v>
      </c>
      <c r="D38" s="172">
        <f t="shared" si="0"/>
        <v>33083414.8568</v>
      </c>
      <c r="F38" s="172">
        <v>132626</v>
      </c>
    </row>
    <row r="39" spans="1:6" ht="13.5" customHeight="1">
      <c r="A39" s="414" t="s">
        <v>272</v>
      </c>
      <c r="B39" s="412">
        <f>'- 51 -'!C39</f>
        <v>1375013.664</v>
      </c>
      <c r="C39" s="412">
        <v>7462210</v>
      </c>
      <c r="D39" s="412">
        <f t="shared" si="0"/>
        <v>8837223.664</v>
      </c>
      <c r="F39" s="412">
        <v>210302</v>
      </c>
    </row>
    <row r="40" spans="1:6" ht="13.5" customHeight="1">
      <c r="A40" s="274" t="s">
        <v>273</v>
      </c>
      <c r="B40" s="172">
        <f>'- 51 -'!C40</f>
        <v>11070957.792000001</v>
      </c>
      <c r="C40" s="172">
        <v>38275778</v>
      </c>
      <c r="D40" s="172">
        <f t="shared" si="0"/>
        <v>49346735.792</v>
      </c>
      <c r="F40" s="172">
        <v>210788</v>
      </c>
    </row>
    <row r="41" spans="1:6" ht="13.5" customHeight="1">
      <c r="A41" s="414" t="s">
        <v>274</v>
      </c>
      <c r="B41" s="412">
        <f>'- 51 -'!C41</f>
        <v>2986866.7536</v>
      </c>
      <c r="C41" s="412">
        <v>21490827</v>
      </c>
      <c r="D41" s="412">
        <f t="shared" si="0"/>
        <v>24477693.7536</v>
      </c>
      <c r="F41" s="412">
        <v>189525</v>
      </c>
    </row>
    <row r="42" spans="1:6" ht="13.5" customHeight="1">
      <c r="A42" s="274" t="s">
        <v>275</v>
      </c>
      <c r="B42" s="172">
        <f>'- 51 -'!C42</f>
        <v>873662.7408</v>
      </c>
      <c r="C42" s="172">
        <v>5451299</v>
      </c>
      <c r="D42" s="172">
        <f t="shared" si="0"/>
        <v>6324961.7408</v>
      </c>
      <c r="F42" s="172">
        <v>140939</v>
      </c>
    </row>
    <row r="43" spans="1:6" ht="13.5" customHeight="1">
      <c r="A43" s="414" t="s">
        <v>276</v>
      </c>
      <c r="B43" s="412">
        <f>'- 51 -'!C43</f>
        <v>599725.4688</v>
      </c>
      <c r="C43" s="412">
        <v>4049914</v>
      </c>
      <c r="D43" s="412">
        <f t="shared" si="0"/>
        <v>4649639.4688</v>
      </c>
      <c r="F43" s="412">
        <v>187334</v>
      </c>
    </row>
    <row r="44" spans="1:6" ht="13.5" customHeight="1">
      <c r="A44" s="274" t="s">
        <v>277</v>
      </c>
      <c r="B44" s="172">
        <f>'- 51 -'!C44</f>
        <v>181189.1184</v>
      </c>
      <c r="C44" s="172">
        <v>2377886</v>
      </c>
      <c r="D44" s="172">
        <f t="shared" si="0"/>
        <v>2559075.1184</v>
      </c>
      <c r="F44" s="172">
        <v>122332</v>
      </c>
    </row>
    <row r="45" spans="1:6" ht="13.5" customHeight="1">
      <c r="A45" s="414" t="s">
        <v>278</v>
      </c>
      <c r="B45" s="412">
        <f>'- 51 -'!C45</f>
        <v>827025.5952</v>
      </c>
      <c r="C45" s="412">
        <v>4320117</v>
      </c>
      <c r="D45" s="412">
        <f t="shared" si="0"/>
        <v>5147142.5952</v>
      </c>
      <c r="F45" s="412">
        <v>142199</v>
      </c>
    </row>
    <row r="46" spans="1:6" ht="13.5" customHeight="1">
      <c r="A46" s="274" t="s">
        <v>279</v>
      </c>
      <c r="B46" s="172">
        <f>'- 51 -'!C46</f>
        <v>36016609.9944</v>
      </c>
      <c r="C46" s="172">
        <v>125562776</v>
      </c>
      <c r="D46" s="172">
        <f t="shared" si="0"/>
        <v>161579385.9944</v>
      </c>
      <c r="F46" s="172">
        <v>156367</v>
      </c>
    </row>
    <row r="47" spans="1:6" ht="4.5" customHeight="1">
      <c r="A47" s="151"/>
      <c r="B47" s="173"/>
      <c r="C47" s="173"/>
      <c r="D47" s="173"/>
      <c r="F47" s="173"/>
    </row>
    <row r="48" spans="1:6" ht="13.5" customHeight="1">
      <c r="A48" s="415" t="s">
        <v>280</v>
      </c>
      <c r="B48" s="416">
        <f>SUM(B11:B46)</f>
        <v>121834151.73839998</v>
      </c>
      <c r="C48" s="416">
        <f>SUM(C11:C46)</f>
        <v>623890083</v>
      </c>
      <c r="D48" s="416">
        <f>SUM(D11:D46)</f>
        <v>745724234.7383999</v>
      </c>
      <c r="F48" s="416">
        <v>159713.89473917495</v>
      </c>
    </row>
    <row r="49" spans="1:6" ht="69.75" customHeight="1">
      <c r="A49" s="281" t="s">
        <v>32</v>
      </c>
      <c r="B49" s="29"/>
      <c r="C49" s="29"/>
      <c r="D49" s="29"/>
      <c r="E49" s="29"/>
      <c r="F49" s="29"/>
    </row>
    <row r="50" ht="15" customHeight="1">
      <c r="A50" s="126" t="s">
        <v>397</v>
      </c>
    </row>
    <row r="51" ht="12" customHeight="1">
      <c r="A51" s="30" t="s">
        <v>398</v>
      </c>
    </row>
    <row r="52" ht="12" customHeight="1">
      <c r="A52" s="151" t="s">
        <v>399</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49.xml><?xml version="1.0" encoding="utf-8"?>
<worksheet xmlns="http://schemas.openxmlformats.org/spreadsheetml/2006/main" xmlns:r="http://schemas.openxmlformats.org/officeDocument/2006/relationships">
  <sheetPr codeName="Sheet45">
    <pageSetUpPr fitToPage="1"/>
  </sheetPr>
  <dimension ref="A1:F54"/>
  <sheetViews>
    <sheetView showGridLines="0" showZeros="0" workbookViewId="0" topLeftCell="A1">
      <selection activeCell="A1" sqref="A1"/>
    </sheetView>
  </sheetViews>
  <sheetFormatPr defaultColWidth="19.83203125" defaultRowHeight="12"/>
  <cols>
    <col min="1" max="1" width="32.83203125" style="1" customWidth="1"/>
    <col min="2" max="2" width="22.83203125" style="1" customWidth="1"/>
    <col min="3" max="3" width="18.83203125" style="1" customWidth="1"/>
    <col min="4" max="5" width="19.83203125" style="1" customWidth="1"/>
    <col min="6" max="16384" width="19.83203125" style="1" customWidth="1"/>
  </cols>
  <sheetData>
    <row r="1" spans="1:6" ht="6.75" customHeight="1">
      <c r="A1" s="5"/>
      <c r="B1" s="5"/>
      <c r="C1" s="5"/>
      <c r="D1" s="5"/>
      <c r="E1" s="5"/>
      <c r="F1" s="5"/>
    </row>
    <row r="2" spans="1:6" ht="15.75" customHeight="1">
      <c r="A2" s="305"/>
      <c r="B2" s="313" t="str">
        <f>REVYEAR</f>
        <v>ANALYSIS OF OPERATING FUND REVENUE: 2006/2007 ACTUAL</v>
      </c>
      <c r="C2" s="314"/>
      <c r="D2" s="310"/>
      <c r="E2" s="310"/>
      <c r="F2" s="246" t="s">
        <v>214</v>
      </c>
    </row>
    <row r="3" spans="1:6" ht="15.75" customHeight="1">
      <c r="A3" s="235"/>
      <c r="B3" s="5"/>
      <c r="C3" s="5"/>
      <c r="D3" s="5"/>
      <c r="E3" s="5"/>
      <c r="F3" s="5"/>
    </row>
    <row r="4" spans="2:6" ht="15.75" customHeight="1">
      <c r="B4" s="441" t="s">
        <v>325</v>
      </c>
      <c r="C4" s="366"/>
      <c r="D4" s="366"/>
      <c r="E4" s="366"/>
      <c r="F4" s="356"/>
    </row>
    <row r="5" spans="2:6" ht="15.75" customHeight="1">
      <c r="B5" s="442" t="s">
        <v>237</v>
      </c>
      <c r="C5" s="437"/>
      <c r="D5" s="358"/>
      <c r="E5" s="358"/>
      <c r="F5" s="367"/>
    </row>
    <row r="6" spans="2:6" ht="15.75" customHeight="1">
      <c r="B6" s="133" t="s">
        <v>124</v>
      </c>
      <c r="C6" s="47"/>
      <c r="D6" s="47"/>
      <c r="E6" s="242"/>
      <c r="F6" s="317"/>
    </row>
    <row r="7" spans="2:6" ht="15.75" customHeight="1">
      <c r="B7" s="252"/>
      <c r="C7" s="39"/>
      <c r="D7" s="39"/>
      <c r="E7" s="39"/>
      <c r="F7" s="39"/>
    </row>
    <row r="8" spans="1:6" ht="15.75" customHeight="1">
      <c r="A8" s="74"/>
      <c r="B8" s="309" t="s">
        <v>233</v>
      </c>
      <c r="C8" s="254" t="s">
        <v>243</v>
      </c>
      <c r="D8" s="254" t="s">
        <v>210</v>
      </c>
      <c r="E8" s="254" t="s">
        <v>211</v>
      </c>
      <c r="F8" s="254" t="s">
        <v>141</v>
      </c>
    </row>
    <row r="9" spans="1:6" ht="15.75" customHeight="1">
      <c r="A9" s="41" t="s">
        <v>108</v>
      </c>
      <c r="B9" s="52" t="s">
        <v>13</v>
      </c>
      <c r="C9" s="93" t="s">
        <v>14</v>
      </c>
      <c r="D9" s="93" t="s">
        <v>179</v>
      </c>
      <c r="E9" s="93" t="s">
        <v>51</v>
      </c>
      <c r="F9" s="93" t="s">
        <v>165</v>
      </c>
    </row>
    <row r="10" spans="1:6" ht="4.5" customHeight="1">
      <c r="A10" s="4"/>
      <c r="D10" s="5"/>
      <c r="E10" s="5"/>
      <c r="F10" s="5"/>
    </row>
    <row r="11" spans="1:6" ht="13.5" customHeight="1">
      <c r="A11" s="414" t="s">
        <v>245</v>
      </c>
      <c r="B11" s="412">
        <v>2795828</v>
      </c>
      <c r="C11" s="412">
        <v>176517</v>
      </c>
      <c r="D11" s="412">
        <v>82407</v>
      </c>
      <c r="E11" s="412">
        <v>59932</v>
      </c>
      <c r="F11" s="412">
        <v>137844</v>
      </c>
    </row>
    <row r="12" spans="1:6" ht="13.5" customHeight="1">
      <c r="A12" s="274" t="s">
        <v>246</v>
      </c>
      <c r="B12" s="172">
        <v>4191782</v>
      </c>
      <c r="C12" s="172">
        <v>420375</v>
      </c>
      <c r="D12" s="172">
        <v>123552</v>
      </c>
      <c r="E12" s="172">
        <v>89856</v>
      </c>
      <c r="F12" s="172">
        <v>206669</v>
      </c>
    </row>
    <row r="13" spans="1:6" ht="13.5" customHeight="1">
      <c r="A13" s="414" t="s">
        <v>247</v>
      </c>
      <c r="B13" s="412">
        <v>12800947</v>
      </c>
      <c r="C13" s="412">
        <v>94396</v>
      </c>
      <c r="D13" s="412">
        <v>377306</v>
      </c>
      <c r="E13" s="412">
        <v>274404</v>
      </c>
      <c r="F13" s="412">
        <v>631129</v>
      </c>
    </row>
    <row r="14" spans="1:6" ht="13.5" customHeight="1">
      <c r="A14" s="274" t="s">
        <v>283</v>
      </c>
      <c r="B14" s="172">
        <v>8172334</v>
      </c>
      <c r="C14" s="172">
        <v>766947</v>
      </c>
      <c r="D14" s="172">
        <v>240654</v>
      </c>
      <c r="E14" s="172">
        <v>175184</v>
      </c>
      <c r="F14" s="172">
        <v>402923</v>
      </c>
    </row>
    <row r="15" spans="1:6" ht="13.5" customHeight="1">
      <c r="A15" s="414" t="s">
        <v>248</v>
      </c>
      <c r="B15" s="412">
        <v>2954438</v>
      </c>
      <c r="C15" s="412">
        <v>246026</v>
      </c>
      <c r="D15" s="412">
        <v>87082</v>
      </c>
      <c r="E15" s="412">
        <v>63332</v>
      </c>
      <c r="F15" s="412">
        <v>145664</v>
      </c>
    </row>
    <row r="16" spans="1:6" ht="13.5" customHeight="1">
      <c r="A16" s="274" t="s">
        <v>249</v>
      </c>
      <c r="B16" s="172">
        <v>2115857</v>
      </c>
      <c r="C16" s="172">
        <v>0</v>
      </c>
      <c r="D16" s="172">
        <v>62365</v>
      </c>
      <c r="E16" s="172">
        <v>45356</v>
      </c>
      <c r="F16" s="172">
        <v>104319</v>
      </c>
    </row>
    <row r="17" spans="1:6" ht="13.5" customHeight="1">
      <c r="A17" s="414" t="s">
        <v>250</v>
      </c>
      <c r="B17" s="412">
        <v>2608855</v>
      </c>
      <c r="C17" s="412">
        <v>312287</v>
      </c>
      <c r="D17" s="412">
        <v>76896</v>
      </c>
      <c r="E17" s="412">
        <v>55924</v>
      </c>
      <c r="F17" s="412">
        <v>128625</v>
      </c>
    </row>
    <row r="18" spans="1:6" ht="13.5" customHeight="1">
      <c r="A18" s="274" t="s">
        <v>251</v>
      </c>
      <c r="B18" s="172">
        <v>4988938</v>
      </c>
      <c r="C18" s="172">
        <v>1141245</v>
      </c>
      <c r="D18" s="172">
        <v>147048</v>
      </c>
      <c r="E18" s="172">
        <v>106944</v>
      </c>
      <c r="F18" s="172">
        <v>245971</v>
      </c>
    </row>
    <row r="19" spans="1:6" ht="13.5" customHeight="1">
      <c r="A19" s="414" t="s">
        <v>252</v>
      </c>
      <c r="B19" s="412">
        <v>6003109</v>
      </c>
      <c r="C19" s="412">
        <v>237715</v>
      </c>
      <c r="D19" s="412">
        <v>176941</v>
      </c>
      <c r="E19" s="412">
        <v>128684</v>
      </c>
      <c r="F19" s="412">
        <v>295973</v>
      </c>
    </row>
    <row r="20" spans="1:6" ht="13.5" customHeight="1">
      <c r="A20" s="274" t="s">
        <v>253</v>
      </c>
      <c r="B20" s="172">
        <v>12308881</v>
      </c>
      <c r="C20" s="172">
        <v>225594</v>
      </c>
      <c r="D20" s="172">
        <v>365387</v>
      </c>
      <c r="E20" s="172">
        <v>265736</v>
      </c>
      <c r="F20" s="172">
        <v>611193</v>
      </c>
    </row>
    <row r="21" spans="1:6" ht="13.5" customHeight="1">
      <c r="A21" s="414" t="s">
        <v>254</v>
      </c>
      <c r="B21" s="412">
        <v>6015051</v>
      </c>
      <c r="C21" s="412">
        <v>447962</v>
      </c>
      <c r="D21" s="412">
        <v>169842</v>
      </c>
      <c r="E21" s="412">
        <v>128940</v>
      </c>
      <c r="F21" s="412">
        <v>296562</v>
      </c>
    </row>
    <row r="22" spans="1:6" ht="13.5" customHeight="1">
      <c r="A22" s="274" t="s">
        <v>255</v>
      </c>
      <c r="B22" s="172">
        <v>3084498</v>
      </c>
      <c r="C22" s="172">
        <v>0</v>
      </c>
      <c r="D22" s="172">
        <v>90915</v>
      </c>
      <c r="E22" s="172">
        <v>66120</v>
      </c>
      <c r="F22" s="172">
        <v>152076</v>
      </c>
    </row>
    <row r="23" spans="1:6" ht="13.5" customHeight="1">
      <c r="A23" s="414" t="s">
        <v>256</v>
      </c>
      <c r="B23" s="412">
        <v>2349667</v>
      </c>
      <c r="C23" s="412">
        <v>406869</v>
      </c>
      <c r="D23" s="412">
        <v>69256</v>
      </c>
      <c r="E23" s="412">
        <v>50368</v>
      </c>
      <c r="F23" s="412">
        <v>115846</v>
      </c>
    </row>
    <row r="24" spans="1:6" ht="13.5" customHeight="1">
      <c r="A24" s="274" t="s">
        <v>257</v>
      </c>
      <c r="B24" s="172">
        <v>8438425</v>
      </c>
      <c r="C24" s="172">
        <v>386501</v>
      </c>
      <c r="D24" s="172">
        <v>248721</v>
      </c>
      <c r="E24" s="172">
        <v>180888</v>
      </c>
      <c r="F24" s="172">
        <v>416042</v>
      </c>
    </row>
    <row r="25" spans="1:6" ht="13.5" customHeight="1">
      <c r="A25" s="414" t="s">
        <v>258</v>
      </c>
      <c r="B25" s="412">
        <v>27186127</v>
      </c>
      <c r="C25" s="412">
        <v>0</v>
      </c>
      <c r="D25" s="412">
        <v>1093594</v>
      </c>
      <c r="E25" s="412">
        <v>582768</v>
      </c>
      <c r="F25" s="412">
        <v>1340366</v>
      </c>
    </row>
    <row r="26" spans="1:6" ht="13.5" customHeight="1">
      <c r="A26" s="274" t="s">
        <v>259</v>
      </c>
      <c r="B26" s="172">
        <v>5901598</v>
      </c>
      <c r="C26" s="172">
        <v>591545</v>
      </c>
      <c r="D26" s="172">
        <v>173949</v>
      </c>
      <c r="E26" s="172">
        <v>126508</v>
      </c>
      <c r="F26" s="172">
        <v>290968</v>
      </c>
    </row>
    <row r="27" spans="1:6" ht="13.5" customHeight="1">
      <c r="A27" s="414" t="s">
        <v>260</v>
      </c>
      <c r="B27" s="412">
        <v>6205943</v>
      </c>
      <c r="C27" s="412">
        <v>0</v>
      </c>
      <c r="D27" s="412">
        <v>182919</v>
      </c>
      <c r="E27" s="412">
        <v>133032</v>
      </c>
      <c r="F27" s="412">
        <v>305974</v>
      </c>
    </row>
    <row r="28" spans="1:6" ht="13.5" customHeight="1">
      <c r="A28" s="274" t="s">
        <v>261</v>
      </c>
      <c r="B28" s="172">
        <v>3378580</v>
      </c>
      <c r="C28" s="172">
        <v>579618</v>
      </c>
      <c r="D28" s="172">
        <v>96370</v>
      </c>
      <c r="E28" s="172">
        <v>72424</v>
      </c>
      <c r="F28" s="172">
        <v>166575</v>
      </c>
    </row>
    <row r="29" spans="1:6" ht="13.5" customHeight="1">
      <c r="A29" s="414" t="s">
        <v>262</v>
      </c>
      <c r="B29" s="412">
        <v>23845241</v>
      </c>
      <c r="C29" s="412">
        <v>0</v>
      </c>
      <c r="D29" s="412">
        <v>702834</v>
      </c>
      <c r="E29" s="412">
        <v>511152</v>
      </c>
      <c r="F29" s="412">
        <v>1175650</v>
      </c>
    </row>
    <row r="30" spans="1:6" ht="13.5" customHeight="1">
      <c r="A30" s="274" t="s">
        <v>263</v>
      </c>
      <c r="B30" s="172">
        <v>2296113</v>
      </c>
      <c r="C30" s="172">
        <v>309164</v>
      </c>
      <c r="D30" s="172">
        <v>67678</v>
      </c>
      <c r="E30" s="172">
        <v>49220</v>
      </c>
      <c r="F30" s="172">
        <v>113206</v>
      </c>
    </row>
    <row r="31" spans="1:6" ht="13.5" customHeight="1">
      <c r="A31" s="414" t="s">
        <v>264</v>
      </c>
      <c r="B31" s="412">
        <v>6055170</v>
      </c>
      <c r="C31" s="412">
        <v>190207</v>
      </c>
      <c r="D31" s="412">
        <v>189365</v>
      </c>
      <c r="E31" s="412">
        <v>129800</v>
      </c>
      <c r="F31" s="412">
        <v>298540</v>
      </c>
    </row>
    <row r="32" spans="1:6" ht="13.5" customHeight="1">
      <c r="A32" s="274" t="s">
        <v>265</v>
      </c>
      <c r="B32" s="172">
        <v>4098856</v>
      </c>
      <c r="C32" s="172">
        <v>640657</v>
      </c>
      <c r="D32" s="172">
        <v>120813</v>
      </c>
      <c r="E32" s="172">
        <v>87864</v>
      </c>
      <c r="F32" s="172">
        <v>202087</v>
      </c>
    </row>
    <row r="33" spans="1:6" ht="13.5" customHeight="1">
      <c r="A33" s="414" t="s">
        <v>266</v>
      </c>
      <c r="B33" s="412">
        <v>4382114</v>
      </c>
      <c r="C33" s="412">
        <v>890778</v>
      </c>
      <c r="D33" s="412">
        <v>129162</v>
      </c>
      <c r="E33" s="412">
        <v>93936</v>
      </c>
      <c r="F33" s="412">
        <v>216053</v>
      </c>
    </row>
    <row r="34" spans="1:6" ht="13.5" customHeight="1">
      <c r="A34" s="274" t="s">
        <v>267</v>
      </c>
      <c r="B34" s="172">
        <v>3959279</v>
      </c>
      <c r="C34" s="172">
        <v>549064</v>
      </c>
      <c r="D34" s="172">
        <v>113005</v>
      </c>
      <c r="E34" s="172">
        <v>84872</v>
      </c>
      <c r="F34" s="172">
        <v>195206</v>
      </c>
    </row>
    <row r="35" spans="1:6" ht="13.5" customHeight="1">
      <c r="A35" s="414" t="s">
        <v>268</v>
      </c>
      <c r="B35" s="412">
        <v>31703340</v>
      </c>
      <c r="C35" s="412">
        <v>0</v>
      </c>
      <c r="D35" s="412">
        <v>934300</v>
      </c>
      <c r="E35" s="412">
        <v>679600</v>
      </c>
      <c r="F35" s="412">
        <v>1563080</v>
      </c>
    </row>
    <row r="36" spans="1:6" ht="13.5" customHeight="1">
      <c r="A36" s="274" t="s">
        <v>269</v>
      </c>
      <c r="B36" s="172">
        <v>3466282</v>
      </c>
      <c r="C36" s="172">
        <v>390765</v>
      </c>
      <c r="D36" s="172">
        <v>102168</v>
      </c>
      <c r="E36" s="172">
        <v>74304</v>
      </c>
      <c r="F36" s="172">
        <v>170899</v>
      </c>
    </row>
    <row r="37" spans="1:6" ht="13.5" customHeight="1">
      <c r="A37" s="414" t="s">
        <v>270</v>
      </c>
      <c r="B37" s="412">
        <v>6302415</v>
      </c>
      <c r="C37" s="412">
        <v>522843</v>
      </c>
      <c r="D37" s="412">
        <v>185763</v>
      </c>
      <c r="E37" s="412">
        <v>135100</v>
      </c>
      <c r="F37" s="412">
        <v>310730</v>
      </c>
    </row>
    <row r="38" spans="1:6" ht="13.5" customHeight="1">
      <c r="A38" s="274" t="s">
        <v>271</v>
      </c>
      <c r="B38" s="172">
        <v>16033978</v>
      </c>
      <c r="C38" s="172">
        <v>0</v>
      </c>
      <c r="D38" s="172">
        <v>472599</v>
      </c>
      <c r="E38" s="172">
        <v>343708</v>
      </c>
      <c r="F38" s="172">
        <v>790528</v>
      </c>
    </row>
    <row r="39" spans="1:6" ht="13.5" customHeight="1">
      <c r="A39" s="414" t="s">
        <v>272</v>
      </c>
      <c r="B39" s="412">
        <v>3226687</v>
      </c>
      <c r="C39" s="412">
        <v>532414</v>
      </c>
      <c r="D39" s="412">
        <v>95106</v>
      </c>
      <c r="E39" s="412">
        <v>69168</v>
      </c>
      <c r="F39" s="412">
        <v>159086</v>
      </c>
    </row>
    <row r="40" spans="1:6" ht="13.5" customHeight="1">
      <c r="A40" s="274" t="s">
        <v>273</v>
      </c>
      <c r="B40" s="172">
        <v>16403819</v>
      </c>
      <c r="C40" s="172">
        <v>0</v>
      </c>
      <c r="D40" s="172">
        <v>483500</v>
      </c>
      <c r="E40" s="172">
        <v>351636</v>
      </c>
      <c r="F40" s="172">
        <v>808763</v>
      </c>
    </row>
    <row r="41" spans="1:6" ht="13.5" customHeight="1">
      <c r="A41" s="414" t="s">
        <v>274</v>
      </c>
      <c r="B41" s="412">
        <v>8667491</v>
      </c>
      <c r="C41" s="412">
        <v>564778</v>
      </c>
      <c r="D41" s="412">
        <v>255574</v>
      </c>
      <c r="E41" s="412">
        <v>185872</v>
      </c>
      <c r="F41" s="412">
        <v>427506</v>
      </c>
    </row>
    <row r="42" spans="1:6" ht="13.5" customHeight="1">
      <c r="A42" s="274" t="s">
        <v>275</v>
      </c>
      <c r="B42" s="172">
        <v>3154100</v>
      </c>
      <c r="C42" s="172">
        <v>325494</v>
      </c>
      <c r="D42" s="172">
        <v>92967</v>
      </c>
      <c r="E42" s="172">
        <v>67612</v>
      </c>
      <c r="F42" s="172">
        <v>155508</v>
      </c>
    </row>
    <row r="43" spans="1:6" ht="13.5" customHeight="1">
      <c r="A43" s="414" t="s">
        <v>276</v>
      </c>
      <c r="B43" s="412">
        <v>2087494</v>
      </c>
      <c r="C43" s="412">
        <v>200537</v>
      </c>
      <c r="D43" s="412">
        <v>61529</v>
      </c>
      <c r="E43" s="412">
        <v>44748</v>
      </c>
      <c r="F43" s="412">
        <v>102920</v>
      </c>
    </row>
    <row r="44" spans="1:6" ht="13.5" customHeight="1">
      <c r="A44" s="274" t="s">
        <v>277</v>
      </c>
      <c r="B44" s="172">
        <v>1433088</v>
      </c>
      <c r="C44" s="172">
        <v>314471</v>
      </c>
      <c r="D44" s="172">
        <v>42276</v>
      </c>
      <c r="E44" s="172">
        <v>30720</v>
      </c>
      <c r="F44" s="172">
        <v>70656</v>
      </c>
    </row>
    <row r="45" spans="1:6" ht="13.5" customHeight="1">
      <c r="A45" s="414" t="s">
        <v>278</v>
      </c>
      <c r="B45" s="412">
        <v>2731078</v>
      </c>
      <c r="C45" s="412">
        <v>26586</v>
      </c>
      <c r="D45" s="412">
        <v>80498</v>
      </c>
      <c r="E45" s="412">
        <v>58544</v>
      </c>
      <c r="F45" s="412">
        <v>134651</v>
      </c>
    </row>
    <row r="46" spans="1:6" ht="13.5" customHeight="1">
      <c r="A46" s="274" t="s">
        <v>279</v>
      </c>
      <c r="B46" s="172">
        <v>56191604</v>
      </c>
      <c r="C46" s="172">
        <v>0</v>
      </c>
      <c r="D46" s="172">
        <v>1536210</v>
      </c>
      <c r="E46" s="172">
        <v>1204536</v>
      </c>
      <c r="F46" s="172">
        <v>2770433</v>
      </c>
    </row>
    <row r="47" spans="1:6" ht="4.5" customHeight="1">
      <c r="A47" s="151"/>
      <c r="B47" s="173"/>
      <c r="C47" s="173"/>
      <c r="D47" s="173"/>
      <c r="E47" s="173"/>
      <c r="F47" s="173"/>
    </row>
    <row r="48" spans="1:6" ht="13.5" customHeight="1">
      <c r="A48" s="415" t="s">
        <v>280</v>
      </c>
      <c r="B48" s="416">
        <f>SUM(B11:B46)</f>
        <v>317539007</v>
      </c>
      <c r="C48" s="416">
        <f>SUM(C11:C46)</f>
        <v>11491355</v>
      </c>
      <c r="D48" s="416">
        <f>SUM(D11:D46)</f>
        <v>9530551</v>
      </c>
      <c r="E48" s="416">
        <f>SUM(E11:E46)</f>
        <v>6808792</v>
      </c>
      <c r="F48" s="416">
        <f>SUM(F11:F46)</f>
        <v>15660221</v>
      </c>
    </row>
    <row r="49" spans="1:6" ht="4.5" customHeight="1">
      <c r="A49" s="151" t="s">
        <v>32</v>
      </c>
      <c r="B49" s="173"/>
      <c r="C49" s="173"/>
      <c r="D49" s="173"/>
      <c r="E49" s="173"/>
      <c r="F49" s="173"/>
    </row>
    <row r="50" spans="1:6" ht="13.5" customHeight="1">
      <c r="A50" s="274" t="s">
        <v>281</v>
      </c>
      <c r="B50" s="172">
        <v>199902</v>
      </c>
      <c r="C50" s="172">
        <v>0</v>
      </c>
      <c r="D50" s="172">
        <v>12557</v>
      </c>
      <c r="E50" s="172">
        <v>9132</v>
      </c>
      <c r="F50" s="172">
        <v>21004</v>
      </c>
    </row>
    <row r="51" spans="1:6" ht="13.5" customHeight="1">
      <c r="A51" s="414" t="s">
        <v>282</v>
      </c>
      <c r="B51" s="412">
        <v>0</v>
      </c>
      <c r="C51" s="412">
        <v>0</v>
      </c>
      <c r="D51" s="412">
        <v>0</v>
      </c>
      <c r="E51" s="412">
        <v>0</v>
      </c>
      <c r="F51" s="412">
        <v>0</v>
      </c>
    </row>
    <row r="52" spans="1:6" ht="49.5" customHeight="1">
      <c r="A52" s="29"/>
      <c r="B52" s="29"/>
      <c r="C52" s="29"/>
      <c r="D52" s="29"/>
      <c r="E52" s="29"/>
      <c r="F52" s="29"/>
    </row>
    <row r="53" spans="1:6" ht="15" customHeight="1">
      <c r="A53" s="489" t="s">
        <v>568</v>
      </c>
      <c r="C53" s="44"/>
      <c r="D53" s="44"/>
      <c r="E53" s="44"/>
      <c r="F53" s="44"/>
    </row>
    <row r="54" spans="1:6" ht="12" customHeight="1">
      <c r="A54" s="129" t="s">
        <v>15</v>
      </c>
      <c r="C54" s="44"/>
      <c r="D54" s="44"/>
      <c r="E54" s="44"/>
      <c r="F54" s="44"/>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2"/>
  <sheetViews>
    <sheetView showGridLines="0" showZeros="0" workbookViewId="0" topLeftCell="A1">
      <selection activeCell="A1" sqref="A1"/>
    </sheetView>
  </sheetViews>
  <sheetFormatPr defaultColWidth="15.83203125" defaultRowHeight="12"/>
  <cols>
    <col min="1" max="1" width="34.83203125" style="1" customWidth="1"/>
    <col min="2" max="3" width="18.83203125" style="1" customWidth="1"/>
    <col min="4" max="4" width="20.83203125" style="1" customWidth="1"/>
    <col min="5" max="5" width="1.83203125" style="1" customWidth="1"/>
    <col min="6" max="6" width="18.83203125" style="1" customWidth="1"/>
    <col min="7" max="7" width="19.83203125" style="1" customWidth="1"/>
    <col min="8" max="16384" width="15.83203125" style="1" customWidth="1"/>
  </cols>
  <sheetData>
    <row r="1" spans="1:6" ht="6.75" customHeight="1">
      <c r="A1" s="5"/>
      <c r="B1" s="5"/>
      <c r="C1" s="5"/>
      <c r="D1" s="5"/>
      <c r="E1" s="6"/>
      <c r="F1" s="6"/>
    </row>
    <row r="2" spans="1:7" ht="15.75" customHeight="1">
      <c r="A2" s="70"/>
      <c r="B2" s="7" t="s">
        <v>35</v>
      </c>
      <c r="C2" s="8"/>
      <c r="D2" s="8"/>
      <c r="E2" s="8"/>
      <c r="F2" s="81"/>
      <c r="G2" s="91" t="s">
        <v>37</v>
      </c>
    </row>
    <row r="3" spans="1:7" ht="15.75" customHeight="1">
      <c r="A3" s="72"/>
      <c r="B3" s="9" t="str">
        <f>STATDATE</f>
        <v>ACTUAL SEPTEMBER 30, 2006</v>
      </c>
      <c r="C3" s="10"/>
      <c r="D3" s="10"/>
      <c r="E3" s="10"/>
      <c r="F3" s="83"/>
      <c r="G3" s="83"/>
    </row>
    <row r="4" spans="5:6" ht="15.75" customHeight="1">
      <c r="E4" s="6"/>
      <c r="F4" s="6"/>
    </row>
    <row r="5" ht="15.75" customHeight="1"/>
    <row r="6" spans="2:6" ht="15.75" customHeight="1">
      <c r="B6" s="524"/>
      <c r="C6" s="525"/>
      <c r="D6" s="526" t="s">
        <v>454</v>
      </c>
      <c r="E6" s="207"/>
      <c r="F6" s="526"/>
    </row>
    <row r="7" spans="2:6" ht="15.75" customHeight="1">
      <c r="B7" s="385" t="s">
        <v>78</v>
      </c>
      <c r="C7" s="386"/>
      <c r="D7" s="527" t="s">
        <v>165</v>
      </c>
      <c r="E7" s="207"/>
      <c r="F7" s="527" t="s">
        <v>83</v>
      </c>
    </row>
    <row r="8" spans="1:6" ht="15.75" customHeight="1">
      <c r="A8" s="39"/>
      <c r="B8" s="13" t="s">
        <v>205</v>
      </c>
      <c r="C8" s="84"/>
      <c r="D8" s="523" t="s">
        <v>138</v>
      </c>
      <c r="E8" s="16"/>
      <c r="F8" s="84" t="s">
        <v>426</v>
      </c>
    </row>
    <row r="9" spans="1:6" ht="15.75" customHeight="1">
      <c r="A9" s="92" t="s">
        <v>108</v>
      </c>
      <c r="B9" s="87" t="s">
        <v>51</v>
      </c>
      <c r="C9" s="87" t="s">
        <v>83</v>
      </c>
      <c r="D9" s="93" t="s">
        <v>473</v>
      </c>
      <c r="E9" s="94"/>
      <c r="F9" s="87" t="s">
        <v>194</v>
      </c>
    </row>
    <row r="10" spans="1:5" ht="4.5" customHeight="1">
      <c r="A10" s="4"/>
      <c r="B10" s="95"/>
      <c r="C10" s="4"/>
      <c r="E10" s="96"/>
    </row>
    <row r="11" spans="1:6" ht="13.5" customHeight="1">
      <c r="A11" s="331" t="s">
        <v>245</v>
      </c>
      <c r="B11" s="338">
        <v>0</v>
      </c>
      <c r="C11" s="338">
        <f>SUM('- 6 -'!B11:H11,B11)</f>
        <v>1426.5</v>
      </c>
      <c r="D11" s="338">
        <v>28</v>
      </c>
      <c r="E11" s="97"/>
      <c r="F11" s="338">
        <f>C11+D11</f>
        <v>1454.5</v>
      </c>
    </row>
    <row r="12" spans="1:6" ht="13.5" customHeight="1">
      <c r="A12" s="25" t="s">
        <v>246</v>
      </c>
      <c r="B12" s="78">
        <v>75.14</v>
      </c>
      <c r="C12" s="78">
        <f>SUM('- 6 -'!B12:H12,B12)</f>
        <v>2395.33</v>
      </c>
      <c r="D12" s="78">
        <v>0</v>
      </c>
      <c r="E12" s="97"/>
      <c r="F12" s="78">
        <f aca="true" t="shared" si="0" ref="F12:F46">C12+D12</f>
        <v>2395.33</v>
      </c>
    </row>
    <row r="13" spans="1:6" ht="13.5" customHeight="1">
      <c r="A13" s="331" t="s">
        <v>247</v>
      </c>
      <c r="B13" s="338">
        <v>356</v>
      </c>
      <c r="C13" s="338">
        <f>SUM('- 6 -'!B13:H13,B13)</f>
        <v>6524.5</v>
      </c>
      <c r="D13" s="338">
        <v>219</v>
      </c>
      <c r="E13" s="97"/>
      <c r="F13" s="338">
        <f t="shared" si="0"/>
        <v>6743.5</v>
      </c>
    </row>
    <row r="14" spans="1:6" ht="13.5" customHeight="1">
      <c r="A14" s="25" t="s">
        <v>283</v>
      </c>
      <c r="B14" s="78">
        <v>0</v>
      </c>
      <c r="C14" s="78">
        <f>SUM('- 6 -'!B14:H14,B14)</f>
        <v>4579</v>
      </c>
      <c r="D14" s="78">
        <v>102</v>
      </c>
      <c r="E14" s="97"/>
      <c r="F14" s="78">
        <f t="shared" si="0"/>
        <v>4681</v>
      </c>
    </row>
    <row r="15" spans="1:6" ht="13.5" customHeight="1">
      <c r="A15" s="331" t="s">
        <v>248</v>
      </c>
      <c r="B15" s="338">
        <v>0</v>
      </c>
      <c r="C15" s="338">
        <f>SUM('- 6 -'!B15:H15,B15)</f>
        <v>1625</v>
      </c>
      <c r="D15" s="338">
        <v>0</v>
      </c>
      <c r="E15" s="97"/>
      <c r="F15" s="338">
        <f t="shared" si="0"/>
        <v>1625</v>
      </c>
    </row>
    <row r="16" spans="1:6" ht="13.5" customHeight="1">
      <c r="A16" s="25" t="s">
        <v>249</v>
      </c>
      <c r="B16" s="78">
        <v>12</v>
      </c>
      <c r="C16" s="78">
        <f>SUM('- 6 -'!B16:H16,B16)</f>
        <v>1108.5</v>
      </c>
      <c r="D16" s="78">
        <v>5</v>
      </c>
      <c r="E16" s="97"/>
      <c r="F16" s="78">
        <f t="shared" si="0"/>
        <v>1113.5</v>
      </c>
    </row>
    <row r="17" spans="1:6" ht="13.5" customHeight="1">
      <c r="A17" s="331" t="s">
        <v>250</v>
      </c>
      <c r="B17" s="338">
        <v>32.714285714285715</v>
      </c>
      <c r="C17" s="338">
        <f>SUM('- 6 -'!B17:H17,B17)</f>
        <v>1460.3142857142857</v>
      </c>
      <c r="D17" s="338">
        <v>0</v>
      </c>
      <c r="E17" s="97"/>
      <c r="F17" s="338">
        <f t="shared" si="0"/>
        <v>1460.3142857142857</v>
      </c>
    </row>
    <row r="18" spans="1:6" ht="13.5" customHeight="1">
      <c r="A18" s="25" t="s">
        <v>251</v>
      </c>
      <c r="B18" s="78">
        <v>0</v>
      </c>
      <c r="C18" s="78">
        <f>SUM('- 6 -'!B18:H18,B18)</f>
        <v>5718.8</v>
      </c>
      <c r="D18" s="78">
        <v>0</v>
      </c>
      <c r="E18" s="97"/>
      <c r="F18" s="78">
        <f t="shared" si="0"/>
        <v>5718.8</v>
      </c>
    </row>
    <row r="19" spans="1:6" ht="13.5" customHeight="1">
      <c r="A19" s="331" t="s">
        <v>252</v>
      </c>
      <c r="B19" s="338">
        <v>131.52</v>
      </c>
      <c r="C19" s="338">
        <f>SUM('- 6 -'!B19:H19,B19)</f>
        <v>3394.46</v>
      </c>
      <c r="D19" s="338">
        <v>46</v>
      </c>
      <c r="E19" s="97"/>
      <c r="F19" s="338">
        <f t="shared" si="0"/>
        <v>3440.46</v>
      </c>
    </row>
    <row r="20" spans="1:6" ht="13.5" customHeight="1">
      <c r="A20" s="25" t="s">
        <v>253</v>
      </c>
      <c r="B20" s="78">
        <v>399.1</v>
      </c>
      <c r="C20" s="78">
        <f>SUM('- 6 -'!B20:H20,B20)</f>
        <v>6777</v>
      </c>
      <c r="D20" s="78">
        <v>13</v>
      </c>
      <c r="E20" s="97"/>
      <c r="F20" s="78">
        <f t="shared" si="0"/>
        <v>6790</v>
      </c>
    </row>
    <row r="21" spans="1:6" ht="13.5" customHeight="1">
      <c r="A21" s="331" t="s">
        <v>254</v>
      </c>
      <c r="B21" s="338">
        <v>0</v>
      </c>
      <c r="C21" s="338">
        <f>SUM('- 6 -'!B21:H21,B21)</f>
        <v>3076.5</v>
      </c>
      <c r="D21" s="338">
        <v>43</v>
      </c>
      <c r="E21" s="97"/>
      <c r="F21" s="338">
        <f t="shared" si="0"/>
        <v>3119.5</v>
      </c>
    </row>
    <row r="22" spans="1:6" ht="13.5" customHeight="1">
      <c r="A22" s="25" t="s">
        <v>255</v>
      </c>
      <c r="B22" s="78">
        <v>0</v>
      </c>
      <c r="C22" s="78">
        <f>SUM('- 6 -'!B22:H22,B22)</f>
        <v>1529.4</v>
      </c>
      <c r="D22" s="78">
        <v>97</v>
      </c>
      <c r="E22" s="97"/>
      <c r="F22" s="78">
        <f t="shared" si="0"/>
        <v>1626.4</v>
      </c>
    </row>
    <row r="23" spans="1:6" ht="13.5" customHeight="1">
      <c r="A23" s="331" t="s">
        <v>256</v>
      </c>
      <c r="B23" s="338">
        <v>30</v>
      </c>
      <c r="C23" s="338">
        <f>SUM('- 6 -'!B23:H23,B23)</f>
        <v>1302</v>
      </c>
      <c r="D23" s="338">
        <v>0</v>
      </c>
      <c r="E23" s="97"/>
      <c r="F23" s="338">
        <f t="shared" si="0"/>
        <v>1302</v>
      </c>
    </row>
    <row r="24" spans="1:6" ht="13.5" customHeight="1">
      <c r="A24" s="25" t="s">
        <v>257</v>
      </c>
      <c r="B24" s="78">
        <v>348.5</v>
      </c>
      <c r="C24" s="78">
        <f>SUM('- 6 -'!B24:H24,B24)</f>
        <v>4528.5</v>
      </c>
      <c r="D24" s="78">
        <v>26</v>
      </c>
      <c r="E24" s="97"/>
      <c r="F24" s="78">
        <f t="shared" si="0"/>
        <v>4554.5</v>
      </c>
    </row>
    <row r="25" spans="1:6" ht="13.5" customHeight="1">
      <c r="A25" s="331" t="s">
        <v>258</v>
      </c>
      <c r="B25" s="338">
        <v>202</v>
      </c>
      <c r="C25" s="338">
        <f>SUM('- 6 -'!B25:H25,B25)</f>
        <v>14257.5</v>
      </c>
      <c r="D25" s="338">
        <v>175</v>
      </c>
      <c r="E25" s="97"/>
      <c r="F25" s="338">
        <f t="shared" si="0"/>
        <v>14432.5</v>
      </c>
    </row>
    <row r="26" spans="1:6" ht="13.5" customHeight="1">
      <c r="A26" s="25" t="s">
        <v>259</v>
      </c>
      <c r="B26" s="78">
        <v>183.5</v>
      </c>
      <c r="C26" s="78">
        <f>SUM('- 6 -'!B26:H26,B26)</f>
        <v>3182.5</v>
      </c>
      <c r="D26" s="78">
        <v>19</v>
      </c>
      <c r="E26" s="97"/>
      <c r="F26" s="78">
        <f t="shared" si="0"/>
        <v>3201.5</v>
      </c>
    </row>
    <row r="27" spans="1:6" ht="13.5" customHeight="1">
      <c r="A27" s="331" t="s">
        <v>260</v>
      </c>
      <c r="B27" s="338">
        <v>172.14</v>
      </c>
      <c r="C27" s="338">
        <f>SUM('- 6 -'!B27:H27,B27)</f>
        <v>3202.54</v>
      </c>
      <c r="D27" s="338">
        <v>98</v>
      </c>
      <c r="E27" s="97"/>
      <c r="F27" s="338">
        <f t="shared" si="0"/>
        <v>3300.54</v>
      </c>
    </row>
    <row r="28" spans="1:6" ht="13.5" customHeight="1">
      <c r="A28" s="25" t="s">
        <v>261</v>
      </c>
      <c r="B28" s="78">
        <v>0</v>
      </c>
      <c r="C28" s="78">
        <f>SUM('- 6 -'!B28:H28,B28)</f>
        <v>1904.5</v>
      </c>
      <c r="D28" s="78">
        <v>0</v>
      </c>
      <c r="E28" s="97"/>
      <c r="F28" s="78">
        <f t="shared" si="0"/>
        <v>1904.5</v>
      </c>
    </row>
    <row r="29" spans="1:6" ht="13.5" customHeight="1">
      <c r="A29" s="331" t="s">
        <v>262</v>
      </c>
      <c r="B29" s="338">
        <v>0</v>
      </c>
      <c r="C29" s="338">
        <f>SUM('- 6 -'!B29:H29,B29)</f>
        <v>12512.5</v>
      </c>
      <c r="D29" s="338">
        <v>64</v>
      </c>
      <c r="E29" s="97"/>
      <c r="F29" s="338">
        <f t="shared" si="0"/>
        <v>12576.5</v>
      </c>
    </row>
    <row r="30" spans="1:6" ht="13.5" customHeight="1">
      <c r="A30" s="25" t="s">
        <v>263</v>
      </c>
      <c r="B30" s="78">
        <v>0</v>
      </c>
      <c r="C30" s="78">
        <f>SUM('- 6 -'!B30:H30,B30)</f>
        <v>1199</v>
      </c>
      <c r="D30" s="78">
        <v>0</v>
      </c>
      <c r="E30" s="97"/>
      <c r="F30" s="78">
        <f t="shared" si="0"/>
        <v>1199</v>
      </c>
    </row>
    <row r="31" spans="1:6" ht="13.5" customHeight="1">
      <c r="A31" s="331" t="s">
        <v>264</v>
      </c>
      <c r="B31" s="338">
        <v>86</v>
      </c>
      <c r="C31" s="338">
        <f>SUM('- 6 -'!B31:H31,B31)</f>
        <v>3152.5</v>
      </c>
      <c r="D31" s="338">
        <v>183</v>
      </c>
      <c r="E31" s="97"/>
      <c r="F31" s="338">
        <f t="shared" si="0"/>
        <v>3335.5</v>
      </c>
    </row>
    <row r="32" spans="1:6" ht="13.5" customHeight="1">
      <c r="A32" s="25" t="s">
        <v>265</v>
      </c>
      <c r="B32" s="78">
        <v>142.2</v>
      </c>
      <c r="C32" s="78">
        <f>SUM('- 6 -'!B32:H32,B32)</f>
        <v>2166</v>
      </c>
      <c r="D32" s="78">
        <v>0</v>
      </c>
      <c r="E32" s="97"/>
      <c r="F32" s="78">
        <f t="shared" si="0"/>
        <v>2166</v>
      </c>
    </row>
    <row r="33" spans="1:6" ht="13.5" customHeight="1">
      <c r="A33" s="331" t="s">
        <v>266</v>
      </c>
      <c r="B33" s="338">
        <v>24</v>
      </c>
      <c r="C33" s="338">
        <f>SUM('- 6 -'!B33:H33,B33)</f>
        <v>2302.2</v>
      </c>
      <c r="D33" s="338">
        <v>0</v>
      </c>
      <c r="E33" s="97"/>
      <c r="F33" s="338">
        <f t="shared" si="0"/>
        <v>2302.2</v>
      </c>
    </row>
    <row r="34" spans="1:6" ht="13.5" customHeight="1">
      <c r="A34" s="25" t="s">
        <v>267</v>
      </c>
      <c r="B34" s="78">
        <v>22.2</v>
      </c>
      <c r="C34" s="78">
        <f>SUM('- 6 -'!B34:H34,B34)</f>
        <v>2034</v>
      </c>
      <c r="D34" s="78">
        <v>9.5</v>
      </c>
      <c r="E34" s="97"/>
      <c r="F34" s="78">
        <f t="shared" si="0"/>
        <v>2043.5</v>
      </c>
    </row>
    <row r="35" spans="1:6" ht="13.5" customHeight="1">
      <c r="A35" s="331" t="s">
        <v>268</v>
      </c>
      <c r="B35" s="338">
        <v>512</v>
      </c>
      <c r="C35" s="338">
        <f>SUM('- 6 -'!B35:H35,B35)</f>
        <v>16631</v>
      </c>
      <c r="D35" s="338">
        <v>173</v>
      </c>
      <c r="E35" s="97"/>
      <c r="F35" s="338">
        <f t="shared" si="0"/>
        <v>16804</v>
      </c>
    </row>
    <row r="36" spans="1:6" ht="13.5" customHeight="1">
      <c r="A36" s="25" t="s">
        <v>269</v>
      </c>
      <c r="B36" s="78">
        <v>17.4</v>
      </c>
      <c r="C36" s="78">
        <f>SUM('- 6 -'!B36:H36,B36)</f>
        <v>1932</v>
      </c>
      <c r="D36" s="78">
        <v>7</v>
      </c>
      <c r="E36" s="97"/>
      <c r="F36" s="78">
        <f t="shared" si="0"/>
        <v>1939</v>
      </c>
    </row>
    <row r="37" spans="1:6" ht="13.5" customHeight="1">
      <c r="A37" s="331" t="s">
        <v>270</v>
      </c>
      <c r="B37" s="338">
        <v>0</v>
      </c>
      <c r="C37" s="338">
        <f>SUM('- 6 -'!B37:H37,B37)</f>
        <v>3359.6</v>
      </c>
      <c r="D37" s="338">
        <v>0</v>
      </c>
      <c r="E37" s="97"/>
      <c r="F37" s="338">
        <f t="shared" si="0"/>
        <v>3359.6</v>
      </c>
    </row>
    <row r="38" spans="1:6" ht="13.5" customHeight="1">
      <c r="A38" s="25" t="s">
        <v>271</v>
      </c>
      <c r="B38" s="78">
        <v>124</v>
      </c>
      <c r="C38" s="78">
        <f>SUM('- 6 -'!B38:H38,B38)</f>
        <v>8720.5</v>
      </c>
      <c r="D38" s="78">
        <v>36</v>
      </c>
      <c r="E38" s="97"/>
      <c r="F38" s="78">
        <f t="shared" si="0"/>
        <v>8756.5</v>
      </c>
    </row>
    <row r="39" spans="1:6" ht="13.5" customHeight="1">
      <c r="A39" s="331" t="s">
        <v>272</v>
      </c>
      <c r="B39" s="338">
        <v>0</v>
      </c>
      <c r="C39" s="338">
        <f>SUM('- 6 -'!B39:H39,B39)</f>
        <v>1655</v>
      </c>
      <c r="D39" s="338">
        <v>0</v>
      </c>
      <c r="E39" s="97"/>
      <c r="F39" s="338">
        <f t="shared" si="0"/>
        <v>1655</v>
      </c>
    </row>
    <row r="40" spans="1:6" ht="13.5" customHeight="1">
      <c r="A40" s="25" t="s">
        <v>273</v>
      </c>
      <c r="B40" s="78">
        <v>511.34</v>
      </c>
      <c r="C40" s="78">
        <f>SUM('- 6 -'!B40:H40,B40)</f>
        <v>8549.81</v>
      </c>
      <c r="D40" s="78">
        <v>136.54</v>
      </c>
      <c r="E40" s="97"/>
      <c r="F40" s="78">
        <f t="shared" si="0"/>
        <v>8686.35</v>
      </c>
    </row>
    <row r="41" spans="1:6" ht="13.5" customHeight="1">
      <c r="A41" s="331" t="s">
        <v>274</v>
      </c>
      <c r="B41" s="338">
        <v>0</v>
      </c>
      <c r="C41" s="338">
        <f>SUM('- 6 -'!B41:H41,B41)</f>
        <v>4629.5</v>
      </c>
      <c r="D41" s="338">
        <v>48</v>
      </c>
      <c r="E41" s="97"/>
      <c r="F41" s="338">
        <f t="shared" si="0"/>
        <v>4677.5</v>
      </c>
    </row>
    <row r="42" spans="1:6" ht="13.5" customHeight="1">
      <c r="A42" s="25" t="s">
        <v>275</v>
      </c>
      <c r="B42" s="78">
        <v>155</v>
      </c>
      <c r="C42" s="78">
        <f>SUM('- 6 -'!B42:H42,B42)</f>
        <v>1728</v>
      </c>
      <c r="D42" s="78">
        <v>0</v>
      </c>
      <c r="E42" s="97"/>
      <c r="F42" s="78">
        <f t="shared" si="0"/>
        <v>1728</v>
      </c>
    </row>
    <row r="43" spans="1:6" ht="13.5" customHeight="1">
      <c r="A43" s="331" t="s">
        <v>276</v>
      </c>
      <c r="B43" s="338">
        <v>0</v>
      </c>
      <c r="C43" s="338">
        <f>SUM('- 6 -'!B43:H43,B43)</f>
        <v>1089.5</v>
      </c>
      <c r="D43" s="338">
        <v>0</v>
      </c>
      <c r="E43" s="97"/>
      <c r="F43" s="338">
        <f t="shared" si="0"/>
        <v>1089.5</v>
      </c>
    </row>
    <row r="44" spans="1:6" ht="13.5" customHeight="1">
      <c r="A44" s="25" t="s">
        <v>277</v>
      </c>
      <c r="B44" s="78">
        <v>0</v>
      </c>
      <c r="C44" s="78">
        <f>SUM('- 6 -'!B44:H44,B44)</f>
        <v>817.5</v>
      </c>
      <c r="D44" s="78">
        <v>0</v>
      </c>
      <c r="E44" s="97"/>
      <c r="F44" s="78">
        <f t="shared" si="0"/>
        <v>817.5</v>
      </c>
    </row>
    <row r="45" spans="1:6" ht="13.5" customHeight="1">
      <c r="A45" s="331" t="s">
        <v>278</v>
      </c>
      <c r="B45" s="338">
        <v>44.6</v>
      </c>
      <c r="C45" s="338">
        <f>SUM('- 6 -'!B45:H45,B45)</f>
        <v>1470</v>
      </c>
      <c r="D45" s="338">
        <v>6</v>
      </c>
      <c r="E45" s="97"/>
      <c r="F45" s="338">
        <f t="shared" si="0"/>
        <v>1476</v>
      </c>
    </row>
    <row r="46" spans="1:6" ht="13.5" customHeight="1">
      <c r="A46" s="25" t="s">
        <v>279</v>
      </c>
      <c r="B46" s="78">
        <v>577.9</v>
      </c>
      <c r="C46" s="78">
        <f>SUM('- 6 -'!B46:H46,B46)</f>
        <v>28938</v>
      </c>
      <c r="D46" s="78">
        <v>1289</v>
      </c>
      <c r="E46" s="97"/>
      <c r="F46" s="78">
        <f t="shared" si="0"/>
        <v>30227</v>
      </c>
    </row>
    <row r="47" spans="1:7" ht="4.5" customHeight="1">
      <c r="A47"/>
      <c r="B47"/>
      <c r="C47"/>
      <c r="D47"/>
      <c r="E47"/>
      <c r="F47"/>
      <c r="G47"/>
    </row>
    <row r="48" spans="1:6" ht="13.5" customHeight="1">
      <c r="A48" s="333" t="s">
        <v>280</v>
      </c>
      <c r="B48" s="341">
        <f>SUM(B11:B46)</f>
        <v>4159.254285714285</v>
      </c>
      <c r="C48" s="341">
        <f>SUM(C11:C46)</f>
        <v>170879.45428571428</v>
      </c>
      <c r="D48" s="341">
        <f>SUM(D11:D46)</f>
        <v>2823.04</v>
      </c>
      <c r="E48" s="98"/>
      <c r="F48" s="341">
        <f>SUM(F11:F46)</f>
        <v>173702.4942857143</v>
      </c>
    </row>
    <row r="49" spans="1:6" ht="4.5" customHeight="1">
      <c r="A49" s="27" t="s">
        <v>32</v>
      </c>
      <c r="B49" s="79"/>
      <c r="C49" s="79"/>
      <c r="D49" s="79"/>
      <c r="E49" s="96"/>
      <c r="F49" s="79"/>
    </row>
    <row r="50" spans="1:6" ht="13.5" customHeight="1">
      <c r="A50" s="25" t="s">
        <v>281</v>
      </c>
      <c r="B50" s="78">
        <v>0</v>
      </c>
      <c r="C50" s="78">
        <f>SUM('- 6 -'!B50:H50,B50)</f>
        <v>228.3</v>
      </c>
      <c r="D50" s="78">
        <v>0</v>
      </c>
      <c r="E50" s="97"/>
      <c r="F50" s="78">
        <f>C50+D50</f>
        <v>228.3</v>
      </c>
    </row>
    <row r="51" spans="1:6" ht="13.5" customHeight="1">
      <c r="A51" s="331" t="s">
        <v>282</v>
      </c>
      <c r="B51" s="338">
        <v>610.5</v>
      </c>
      <c r="C51" s="338">
        <f>SUM('- 6 -'!B51:H51,B51)</f>
        <v>665.7</v>
      </c>
      <c r="D51" s="338">
        <v>0</v>
      </c>
      <c r="E51" s="97"/>
      <c r="F51" s="338">
        <f>C51+D51</f>
        <v>665.7</v>
      </c>
    </row>
    <row r="52" ht="49.5" customHeight="1">
      <c r="E52" s="96"/>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sheetPr codeName="Sheet451">
    <pageSetUpPr fitToPage="1"/>
  </sheetPr>
  <dimension ref="A1:F54"/>
  <sheetViews>
    <sheetView showGridLines="0" showZeros="0" workbookViewId="0" topLeftCell="A1">
      <selection activeCell="A1" sqref="A1"/>
    </sheetView>
  </sheetViews>
  <sheetFormatPr defaultColWidth="19.83203125" defaultRowHeight="12"/>
  <cols>
    <col min="1" max="1" width="32.83203125" style="1" customWidth="1"/>
    <col min="2" max="2" width="17.83203125" style="1" customWidth="1"/>
    <col min="3" max="3" width="21.83203125" style="1" customWidth="1"/>
    <col min="4" max="4" width="22.83203125" style="1" customWidth="1"/>
    <col min="5" max="6" width="18.83203125" style="1" customWidth="1"/>
    <col min="7" max="16384" width="19.83203125" style="1" customWidth="1"/>
  </cols>
  <sheetData>
    <row r="1" spans="1:6" ht="6.75" customHeight="1">
      <c r="A1" s="5"/>
      <c r="B1" s="5"/>
      <c r="C1" s="5"/>
      <c r="D1" s="5"/>
      <c r="E1" s="5"/>
      <c r="F1" s="5"/>
    </row>
    <row r="2" spans="1:6" ht="15.75" customHeight="1">
      <c r="A2" s="305"/>
      <c r="B2" s="313" t="str">
        <f>REVYEAR</f>
        <v>ANALYSIS OF OPERATING FUND REVENUE: 2006/2007 ACTUAL</v>
      </c>
      <c r="C2" s="314"/>
      <c r="D2" s="310"/>
      <c r="E2" s="315"/>
      <c r="F2" s="246" t="s">
        <v>215</v>
      </c>
    </row>
    <row r="3" spans="1:6" ht="15.75" customHeight="1">
      <c r="A3" s="235"/>
      <c r="B3" s="235"/>
      <c r="C3" s="5"/>
      <c r="D3" s="5"/>
      <c r="E3" s="5"/>
      <c r="F3" s="5"/>
    </row>
    <row r="4" spans="2:6" ht="15.75" customHeight="1">
      <c r="B4" s="441" t="str">
        <f>'- 56 -'!B4</f>
        <v>EDUCATION, CITIZENSHIP AND YOUTH</v>
      </c>
      <c r="C4" s="366"/>
      <c r="D4" s="366"/>
      <c r="E4" s="366"/>
      <c r="F4" s="356"/>
    </row>
    <row r="5" spans="2:6" ht="15.75" customHeight="1">
      <c r="B5" s="442" t="s">
        <v>236</v>
      </c>
      <c r="C5" s="437"/>
      <c r="D5" s="437"/>
      <c r="E5" s="358"/>
      <c r="F5" s="443"/>
    </row>
    <row r="6" spans="2:6" ht="15.75" customHeight="1">
      <c r="B6" s="308" t="s">
        <v>124</v>
      </c>
      <c r="C6" s="47"/>
      <c r="D6" s="47"/>
      <c r="E6" s="47"/>
      <c r="F6" s="134"/>
    </row>
    <row r="7" spans="2:6" ht="15.75" customHeight="1">
      <c r="B7" s="252"/>
      <c r="C7" s="39"/>
      <c r="D7" s="39"/>
      <c r="E7" s="39"/>
      <c r="F7" s="252" t="s">
        <v>83</v>
      </c>
    </row>
    <row r="8" spans="1:6" ht="15.75" customHeight="1">
      <c r="A8" s="74"/>
      <c r="B8" s="486" t="s">
        <v>466</v>
      </c>
      <c r="C8" s="254" t="s">
        <v>140</v>
      </c>
      <c r="D8" s="254" t="s">
        <v>142</v>
      </c>
      <c r="E8" s="316"/>
      <c r="F8" s="254" t="s">
        <v>143</v>
      </c>
    </row>
    <row r="9" spans="1:6" ht="15.75" customHeight="1">
      <c r="A9" s="41" t="s">
        <v>108</v>
      </c>
      <c r="B9" s="487" t="s">
        <v>467</v>
      </c>
      <c r="C9" s="93" t="s">
        <v>164</v>
      </c>
      <c r="D9" s="93" t="s">
        <v>166</v>
      </c>
      <c r="E9" s="93" t="s">
        <v>163</v>
      </c>
      <c r="F9" s="93" t="s">
        <v>162</v>
      </c>
    </row>
    <row r="10" spans="1:6" ht="4.5" customHeight="1">
      <c r="A10" s="4"/>
      <c r="B10" s="5"/>
      <c r="E10" s="5"/>
      <c r="F10" s="5"/>
    </row>
    <row r="11" spans="1:6" ht="13.5" customHeight="1">
      <c r="A11" s="414" t="s">
        <v>245</v>
      </c>
      <c r="B11" s="412">
        <v>470073</v>
      </c>
      <c r="C11" s="412">
        <v>109658</v>
      </c>
      <c r="D11" s="412">
        <v>64427</v>
      </c>
      <c r="E11" s="412">
        <v>796320</v>
      </c>
      <c r="F11" s="412">
        <f>SUM('- 56 -'!B11:F11,B11:E11)</f>
        <v>4693006</v>
      </c>
    </row>
    <row r="12" spans="1:6" ht="13.5" customHeight="1">
      <c r="A12" s="274" t="s">
        <v>246</v>
      </c>
      <c r="B12" s="172">
        <v>721362</v>
      </c>
      <c r="C12" s="172">
        <v>162443</v>
      </c>
      <c r="D12" s="172">
        <v>96595</v>
      </c>
      <c r="E12" s="172">
        <v>1208760</v>
      </c>
      <c r="F12" s="172">
        <f>SUM('- 56 -'!B12:F12,B12:E12)</f>
        <v>7221394</v>
      </c>
    </row>
    <row r="13" spans="1:6" ht="13.5" customHeight="1">
      <c r="A13" s="414" t="s">
        <v>247</v>
      </c>
      <c r="B13" s="412">
        <v>2367797</v>
      </c>
      <c r="C13" s="412">
        <v>499713</v>
      </c>
      <c r="D13" s="412">
        <v>304593</v>
      </c>
      <c r="E13" s="412">
        <v>3103800</v>
      </c>
      <c r="F13" s="412">
        <f>SUM('- 56 -'!B13:F13,B13:E13)</f>
        <v>20454085</v>
      </c>
    </row>
    <row r="14" spans="1:6" ht="13.5" customHeight="1">
      <c r="A14" s="274" t="s">
        <v>283</v>
      </c>
      <c r="B14" s="172">
        <v>1389816</v>
      </c>
      <c r="C14" s="172">
        <v>315280</v>
      </c>
      <c r="D14" s="172">
        <v>166425</v>
      </c>
      <c r="E14" s="172">
        <v>2241960</v>
      </c>
      <c r="F14" s="172">
        <f>SUM('- 56 -'!B14:F14,B14:E14)</f>
        <v>13871523</v>
      </c>
    </row>
    <row r="15" spans="1:6" ht="13.5" customHeight="1">
      <c r="A15" s="414" t="s">
        <v>248</v>
      </c>
      <c r="B15" s="412">
        <v>504680</v>
      </c>
      <c r="C15" s="412">
        <v>115980</v>
      </c>
      <c r="D15" s="412">
        <v>60165</v>
      </c>
      <c r="E15" s="412">
        <v>842520</v>
      </c>
      <c r="F15" s="412">
        <f>SUM('- 56 -'!B15:F15,B15:E15)</f>
        <v>5019887</v>
      </c>
    </row>
    <row r="16" spans="1:6" ht="13.5" customHeight="1">
      <c r="A16" s="274" t="s">
        <v>249</v>
      </c>
      <c r="B16" s="172">
        <v>352175</v>
      </c>
      <c r="C16" s="172">
        <v>83881</v>
      </c>
      <c r="D16" s="172">
        <v>54427</v>
      </c>
      <c r="E16" s="172">
        <v>609000</v>
      </c>
      <c r="F16" s="172">
        <f>SUM('- 56 -'!B16:F16,B16:E16)</f>
        <v>3427380</v>
      </c>
    </row>
    <row r="17" spans="1:6" ht="13.5" customHeight="1">
      <c r="A17" s="414" t="s">
        <v>250</v>
      </c>
      <c r="B17" s="412">
        <v>466593</v>
      </c>
      <c r="C17" s="412">
        <v>102494</v>
      </c>
      <c r="D17" s="412">
        <v>60118</v>
      </c>
      <c r="E17" s="412">
        <v>899640</v>
      </c>
      <c r="F17" s="412">
        <f>SUM('- 56 -'!B17:F17,B17:E17)</f>
        <v>4711432</v>
      </c>
    </row>
    <row r="18" spans="1:6" ht="13.5" customHeight="1">
      <c r="A18" s="274" t="s">
        <v>251</v>
      </c>
      <c r="B18" s="172">
        <v>1289286</v>
      </c>
      <c r="C18" s="172">
        <v>190896</v>
      </c>
      <c r="D18" s="172">
        <v>101597</v>
      </c>
      <c r="E18" s="172">
        <v>3868924</v>
      </c>
      <c r="F18" s="172">
        <f>SUM('- 56 -'!B18:F18,B18:E18)</f>
        <v>12080849</v>
      </c>
    </row>
    <row r="19" spans="1:6" ht="13.5" customHeight="1">
      <c r="A19" s="414" t="s">
        <v>252</v>
      </c>
      <c r="B19" s="412">
        <v>1051512</v>
      </c>
      <c r="C19" s="412">
        <v>232481</v>
      </c>
      <c r="D19" s="412">
        <v>141335</v>
      </c>
      <c r="E19" s="412">
        <v>1091160</v>
      </c>
      <c r="F19" s="412">
        <f>SUM('- 56 -'!B19:F19,B19:E19)</f>
        <v>9358910</v>
      </c>
    </row>
    <row r="20" spans="1:6" ht="13.5" customHeight="1">
      <c r="A20" s="274" t="s">
        <v>253</v>
      </c>
      <c r="B20" s="172">
        <v>2127784</v>
      </c>
      <c r="C20" s="172">
        <v>480351</v>
      </c>
      <c r="D20" s="172">
        <v>252449</v>
      </c>
      <c r="E20" s="172">
        <v>2257920</v>
      </c>
      <c r="F20" s="172">
        <f>SUM('- 56 -'!B20:F20,B20:E20)</f>
        <v>18895295</v>
      </c>
    </row>
    <row r="21" spans="1:6" ht="13.5" customHeight="1">
      <c r="A21" s="414" t="s">
        <v>254</v>
      </c>
      <c r="B21" s="412">
        <v>1019196</v>
      </c>
      <c r="C21" s="412">
        <v>237962</v>
      </c>
      <c r="D21" s="412">
        <v>122493</v>
      </c>
      <c r="E21" s="412">
        <v>1515360</v>
      </c>
      <c r="F21" s="412">
        <f>SUM('- 56 -'!B21:F21,B21:E21)</f>
        <v>9953368</v>
      </c>
    </row>
    <row r="22" spans="1:6" ht="13.5" customHeight="1">
      <c r="A22" s="274" t="s">
        <v>255</v>
      </c>
      <c r="B22" s="172">
        <v>608514</v>
      </c>
      <c r="C22" s="172">
        <v>119576</v>
      </c>
      <c r="D22" s="172">
        <v>79344</v>
      </c>
      <c r="E22" s="172">
        <v>950880</v>
      </c>
      <c r="F22" s="172">
        <f>SUM('- 56 -'!B22:F22,B22:E22)</f>
        <v>5151923</v>
      </c>
    </row>
    <row r="23" spans="1:6" ht="13.5" customHeight="1">
      <c r="A23" s="414" t="s">
        <v>256</v>
      </c>
      <c r="B23" s="412">
        <v>435062</v>
      </c>
      <c r="C23" s="412">
        <v>93359</v>
      </c>
      <c r="D23" s="412">
        <v>54146</v>
      </c>
      <c r="E23" s="412">
        <v>682015</v>
      </c>
      <c r="F23" s="412">
        <f>SUM('- 56 -'!B23:F23,B23:E23)</f>
        <v>4256588</v>
      </c>
    </row>
    <row r="24" spans="1:6" ht="13.5" customHeight="1">
      <c r="A24" s="274" t="s">
        <v>257</v>
      </c>
      <c r="B24" s="172">
        <v>1438796</v>
      </c>
      <c r="C24" s="172">
        <v>331684</v>
      </c>
      <c r="D24" s="172">
        <v>171844</v>
      </c>
      <c r="E24" s="172">
        <v>1886640</v>
      </c>
      <c r="F24" s="172">
        <f>SUM('- 56 -'!B24:F24,B24:E24)</f>
        <v>13499541</v>
      </c>
    </row>
    <row r="25" spans="1:6" ht="13.5" customHeight="1">
      <c r="A25" s="414" t="s">
        <v>258</v>
      </c>
      <c r="B25" s="412">
        <v>4750601</v>
      </c>
      <c r="C25" s="412">
        <v>1069597</v>
      </c>
      <c r="D25" s="412">
        <v>560630</v>
      </c>
      <c r="E25" s="412">
        <v>6376440</v>
      </c>
      <c r="F25" s="412">
        <f>SUM('- 56 -'!B25:F25,B25:E25)</f>
        <v>42960123</v>
      </c>
    </row>
    <row r="26" spans="1:6" ht="13.5" customHeight="1">
      <c r="A26" s="274" t="s">
        <v>259</v>
      </c>
      <c r="B26" s="172">
        <v>1075577</v>
      </c>
      <c r="C26" s="172">
        <v>230600</v>
      </c>
      <c r="D26" s="172">
        <v>136212</v>
      </c>
      <c r="E26" s="172">
        <v>2273319</v>
      </c>
      <c r="F26" s="172">
        <f>SUM('- 56 -'!B26:F26,B26:E26)</f>
        <v>10800276</v>
      </c>
    </row>
    <row r="27" spans="1:6" ht="13.5" customHeight="1">
      <c r="A27" s="414" t="s">
        <v>260</v>
      </c>
      <c r="B27" s="412">
        <v>1412280</v>
      </c>
      <c r="C27" s="412">
        <v>240681</v>
      </c>
      <c r="D27" s="412">
        <v>163461</v>
      </c>
      <c r="E27" s="412">
        <v>1297800</v>
      </c>
      <c r="F27" s="412">
        <f>SUM('- 56 -'!B27:F27,B27:E27)</f>
        <v>9942090</v>
      </c>
    </row>
    <row r="28" spans="1:6" ht="13.5" customHeight="1">
      <c r="A28" s="274" t="s">
        <v>261</v>
      </c>
      <c r="B28" s="172">
        <v>592558</v>
      </c>
      <c r="C28" s="172">
        <v>133363</v>
      </c>
      <c r="D28" s="172">
        <v>77856</v>
      </c>
      <c r="E28" s="172">
        <v>1271956</v>
      </c>
      <c r="F28" s="172">
        <f>SUM('- 56 -'!B28:F28,B28:E28)</f>
        <v>6369300</v>
      </c>
    </row>
    <row r="29" spans="1:6" ht="13.5" customHeight="1">
      <c r="A29" s="414" t="s">
        <v>262</v>
      </c>
      <c r="B29" s="412">
        <v>3957028</v>
      </c>
      <c r="C29" s="412">
        <v>937270</v>
      </c>
      <c r="D29" s="412">
        <v>485594</v>
      </c>
      <c r="E29" s="412">
        <v>4908120</v>
      </c>
      <c r="F29" s="412">
        <f>SUM('- 56 -'!B29:F29,B29:E29)</f>
        <v>36522889</v>
      </c>
    </row>
    <row r="30" spans="1:6" ht="13.5" customHeight="1">
      <c r="A30" s="274" t="s">
        <v>263</v>
      </c>
      <c r="B30" s="172">
        <v>395367</v>
      </c>
      <c r="C30" s="172">
        <v>89521</v>
      </c>
      <c r="D30" s="172">
        <v>52912</v>
      </c>
      <c r="E30" s="172">
        <v>734762</v>
      </c>
      <c r="F30" s="172">
        <f>SUM('- 56 -'!B30:F30,B30:E30)</f>
        <v>4107943</v>
      </c>
    </row>
    <row r="31" spans="1:6" ht="13.5" customHeight="1">
      <c r="A31" s="414" t="s">
        <v>264</v>
      </c>
      <c r="B31" s="412">
        <v>1100708</v>
      </c>
      <c r="C31" s="412">
        <v>235270</v>
      </c>
      <c r="D31" s="412">
        <v>123310</v>
      </c>
      <c r="E31" s="412">
        <v>1963080</v>
      </c>
      <c r="F31" s="412">
        <f>SUM('- 56 -'!B31:F31,B31:E31)</f>
        <v>10285450</v>
      </c>
    </row>
    <row r="32" spans="1:6" ht="13.5" customHeight="1">
      <c r="A32" s="274" t="s">
        <v>265</v>
      </c>
      <c r="B32" s="172">
        <v>689031</v>
      </c>
      <c r="C32" s="172">
        <v>160249</v>
      </c>
      <c r="D32" s="172">
        <v>83471</v>
      </c>
      <c r="E32" s="172">
        <v>1339080</v>
      </c>
      <c r="F32" s="172">
        <f>SUM('- 56 -'!B32:F32,B32:E32)</f>
        <v>7422108</v>
      </c>
    </row>
    <row r="33" spans="1:6" ht="13.5" customHeight="1">
      <c r="A33" s="414" t="s">
        <v>266</v>
      </c>
      <c r="B33" s="412">
        <v>754416</v>
      </c>
      <c r="C33" s="412">
        <v>172427</v>
      </c>
      <c r="D33" s="412">
        <v>100981</v>
      </c>
      <c r="E33" s="412">
        <v>1769880</v>
      </c>
      <c r="F33" s="412">
        <f>SUM('- 56 -'!B33:F33,B33:E33)</f>
        <v>8509747</v>
      </c>
    </row>
    <row r="34" spans="1:6" ht="13.5" customHeight="1">
      <c r="A34" s="274" t="s">
        <v>267</v>
      </c>
      <c r="B34" s="172">
        <v>682910</v>
      </c>
      <c r="C34" s="172">
        <v>157395</v>
      </c>
      <c r="D34" s="172">
        <v>80628</v>
      </c>
      <c r="E34" s="172">
        <v>1214640</v>
      </c>
      <c r="F34" s="172">
        <f>SUM('- 56 -'!B34:F34,B34:E34)</f>
        <v>7036999</v>
      </c>
    </row>
    <row r="35" spans="1:6" ht="13.5" customHeight="1">
      <c r="A35" s="414" t="s">
        <v>268</v>
      </c>
      <c r="B35" s="412">
        <v>5446279</v>
      </c>
      <c r="C35" s="412">
        <v>1252903</v>
      </c>
      <c r="D35" s="412">
        <v>649284</v>
      </c>
      <c r="E35" s="412">
        <v>6937560</v>
      </c>
      <c r="F35" s="412">
        <f>SUM('- 56 -'!B35:F35,B35:E35)</f>
        <v>49166346</v>
      </c>
    </row>
    <row r="36" spans="1:6" ht="13.5" customHeight="1">
      <c r="A36" s="274" t="s">
        <v>269</v>
      </c>
      <c r="B36" s="172">
        <v>594589</v>
      </c>
      <c r="C36" s="172">
        <v>137514</v>
      </c>
      <c r="D36" s="172">
        <v>79877</v>
      </c>
      <c r="E36" s="172">
        <v>1150800</v>
      </c>
      <c r="F36" s="172">
        <f>SUM('- 56 -'!B36:F36,B36:E36)</f>
        <v>6167198</v>
      </c>
    </row>
    <row r="37" spans="1:6" ht="13.5" customHeight="1">
      <c r="A37" s="414" t="s">
        <v>270</v>
      </c>
      <c r="B37" s="412">
        <v>1104076</v>
      </c>
      <c r="C37" s="412">
        <v>246567</v>
      </c>
      <c r="D37" s="412">
        <v>131491</v>
      </c>
      <c r="E37" s="412">
        <v>1614480</v>
      </c>
      <c r="F37" s="412">
        <f>SUM('- 56 -'!B37:F37,B37:E37)</f>
        <v>10553465</v>
      </c>
    </row>
    <row r="38" spans="1:6" ht="13.5" customHeight="1">
      <c r="A38" s="274" t="s">
        <v>271</v>
      </c>
      <c r="B38" s="172">
        <v>2822720</v>
      </c>
      <c r="C38" s="172">
        <v>627651</v>
      </c>
      <c r="D38" s="172">
        <v>326523</v>
      </c>
      <c r="E38" s="172">
        <v>3118920</v>
      </c>
      <c r="F38" s="172">
        <f>SUM('- 56 -'!B38:F38,B38:E38)</f>
        <v>24536627</v>
      </c>
    </row>
    <row r="39" spans="1:6" ht="13.5" customHeight="1">
      <c r="A39" s="414" t="s">
        <v>272</v>
      </c>
      <c r="B39" s="412">
        <v>538184</v>
      </c>
      <c r="C39" s="412">
        <v>127133</v>
      </c>
      <c r="D39" s="412">
        <v>74356</v>
      </c>
      <c r="E39" s="412">
        <v>1065960</v>
      </c>
      <c r="F39" s="412">
        <f>SUM('- 56 -'!B39:F39,B39:E39)</f>
        <v>5888094</v>
      </c>
    </row>
    <row r="40" spans="1:6" ht="13.5" customHeight="1">
      <c r="A40" s="274" t="s">
        <v>273</v>
      </c>
      <c r="B40" s="172">
        <v>2862681</v>
      </c>
      <c r="C40" s="172">
        <v>645754</v>
      </c>
      <c r="D40" s="172">
        <v>334054</v>
      </c>
      <c r="E40" s="172">
        <v>4355400</v>
      </c>
      <c r="F40" s="172">
        <f>SUM('- 56 -'!B40:F40,B40:E40)</f>
        <v>26245607</v>
      </c>
    </row>
    <row r="41" spans="1:6" ht="13.5" customHeight="1">
      <c r="A41" s="414" t="s">
        <v>274</v>
      </c>
      <c r="B41" s="412">
        <v>1485592</v>
      </c>
      <c r="C41" s="412">
        <v>340835</v>
      </c>
      <c r="D41" s="412">
        <v>199812</v>
      </c>
      <c r="E41" s="412">
        <v>2201640</v>
      </c>
      <c r="F41" s="412">
        <f>SUM('- 56 -'!B41:F41,B41:E41)</f>
        <v>14329100</v>
      </c>
    </row>
    <row r="42" spans="1:6" ht="13.5" customHeight="1">
      <c r="A42" s="274" t="s">
        <v>275</v>
      </c>
      <c r="B42" s="172">
        <v>555902</v>
      </c>
      <c r="C42" s="172">
        <v>124362</v>
      </c>
      <c r="D42" s="172">
        <v>89327</v>
      </c>
      <c r="E42" s="172">
        <v>1042440</v>
      </c>
      <c r="F42" s="172">
        <f>SUM('- 56 -'!B42:F42,B42:E42)</f>
        <v>5607712</v>
      </c>
    </row>
    <row r="43" spans="1:6" ht="13.5" customHeight="1">
      <c r="A43" s="414" t="s">
        <v>276</v>
      </c>
      <c r="B43" s="412">
        <v>355604</v>
      </c>
      <c r="C43" s="412">
        <v>82283</v>
      </c>
      <c r="D43" s="412">
        <v>48104</v>
      </c>
      <c r="E43" s="412">
        <v>566704</v>
      </c>
      <c r="F43" s="412">
        <f>SUM('- 56 -'!B43:F43,B43:E43)</f>
        <v>3549923</v>
      </c>
    </row>
    <row r="44" spans="1:6" ht="13.5" customHeight="1">
      <c r="A44" s="274" t="s">
        <v>277</v>
      </c>
      <c r="B44" s="172">
        <v>311981</v>
      </c>
      <c r="C44" s="172">
        <v>54930</v>
      </c>
      <c r="D44" s="172">
        <v>33024</v>
      </c>
      <c r="E44" s="172">
        <v>544709</v>
      </c>
      <c r="F44" s="172">
        <f>SUM('- 56 -'!B44:F44,B44:E44)</f>
        <v>2835855</v>
      </c>
    </row>
    <row r="45" spans="1:6" ht="13.5" customHeight="1">
      <c r="A45" s="414" t="s">
        <v>278</v>
      </c>
      <c r="B45" s="412">
        <v>455827</v>
      </c>
      <c r="C45" s="412">
        <v>107487</v>
      </c>
      <c r="D45" s="412">
        <v>62935</v>
      </c>
      <c r="E45" s="412">
        <v>541800</v>
      </c>
      <c r="F45" s="412">
        <f>SUM('- 56 -'!B45:F45,B45:E45)</f>
        <v>4199406</v>
      </c>
    </row>
    <row r="46" spans="1:6" ht="13.5" customHeight="1">
      <c r="A46" s="274" t="s">
        <v>279</v>
      </c>
      <c r="B46" s="172">
        <v>15280535</v>
      </c>
      <c r="C46" s="172">
        <v>2184773</v>
      </c>
      <c r="D46" s="172">
        <v>1144309</v>
      </c>
      <c r="E46" s="172">
        <v>14428680</v>
      </c>
      <c r="F46" s="172">
        <f>SUM('- 56 -'!B46:F46,B46:E46)</f>
        <v>94741080</v>
      </c>
    </row>
    <row r="47" spans="1:6" ht="4.5" customHeight="1">
      <c r="A47" s="151"/>
      <c r="B47" s="173"/>
      <c r="C47" s="173"/>
      <c r="D47" s="173"/>
      <c r="E47" s="173"/>
      <c r="F47" s="173"/>
    </row>
    <row r="48" spans="1:6" ht="13.5" customHeight="1">
      <c r="A48" s="415" t="s">
        <v>280</v>
      </c>
      <c r="B48" s="416">
        <f>SUM(B11:B46)</f>
        <v>61467092</v>
      </c>
      <c r="C48" s="416">
        <f>SUM(C11:C46)</f>
        <v>12434323</v>
      </c>
      <c r="D48" s="416">
        <f>SUM(D11:D46)</f>
        <v>6768109</v>
      </c>
      <c r="E48" s="416">
        <f>SUM(E11:E46)</f>
        <v>82673069</v>
      </c>
      <c r="F48" s="416">
        <f>SUM(F11:F46)</f>
        <v>524372519</v>
      </c>
    </row>
    <row r="49" spans="1:6" ht="4.5" customHeight="1">
      <c r="A49" s="151" t="s">
        <v>32</v>
      </c>
      <c r="B49" s="173"/>
      <c r="C49" s="173"/>
      <c r="D49" s="173"/>
      <c r="E49" s="173"/>
      <c r="F49" s="173"/>
    </row>
    <row r="50" spans="1:6" ht="13.5" customHeight="1">
      <c r="A50" s="274" t="s">
        <v>281</v>
      </c>
      <c r="B50" s="172">
        <v>71403</v>
      </c>
      <c r="C50" s="172">
        <v>17142</v>
      </c>
      <c r="D50" s="172">
        <v>9817</v>
      </c>
      <c r="E50" s="172">
        <v>211088</v>
      </c>
      <c r="F50" s="172">
        <f>SUM('- 56 -'!B50:F50,B50:E50)</f>
        <v>552045</v>
      </c>
    </row>
    <row r="51" spans="1:6" ht="13.5" customHeight="1">
      <c r="A51" s="414" t="s">
        <v>282</v>
      </c>
      <c r="B51" s="412">
        <v>0</v>
      </c>
      <c r="C51" s="412">
        <v>0</v>
      </c>
      <c r="D51" s="412">
        <v>0</v>
      </c>
      <c r="E51" s="412">
        <v>0</v>
      </c>
      <c r="F51" s="412">
        <f>SUM('- 56 -'!B51:F51,B51:E51)</f>
        <v>0</v>
      </c>
    </row>
    <row r="52" spans="1:6" ht="49.5" customHeight="1">
      <c r="A52" s="29"/>
      <c r="B52" s="29"/>
      <c r="C52" s="29"/>
      <c r="D52" s="29"/>
      <c r="E52" s="29"/>
      <c r="F52" s="29"/>
    </row>
    <row r="53" spans="1:6" ht="15" customHeight="1">
      <c r="A53" s="129" t="s">
        <v>470</v>
      </c>
      <c r="B53" s="44"/>
      <c r="D53" s="44"/>
      <c r="E53" s="44"/>
      <c r="F53" s="44"/>
    </row>
    <row r="54" ht="12">
      <c r="A54" s="44" t="s">
        <v>471</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sheetPr codeName="Sheet47">
    <pageSetUpPr fitToPage="1"/>
  </sheetPr>
  <dimension ref="A1:F56"/>
  <sheetViews>
    <sheetView showGridLines="0" showZeros="0" workbookViewId="0" topLeftCell="A1">
      <selection activeCell="A1" sqref="A1"/>
    </sheetView>
  </sheetViews>
  <sheetFormatPr defaultColWidth="19.83203125" defaultRowHeight="12"/>
  <cols>
    <col min="1" max="1" width="32.83203125" style="1" customWidth="1"/>
    <col min="2" max="2" width="22.83203125" style="1" customWidth="1"/>
    <col min="3" max="3" width="18.83203125" style="1" customWidth="1"/>
    <col min="4" max="4" width="17.83203125" style="1" customWidth="1"/>
    <col min="5" max="6" width="20.83203125" style="1" customWidth="1"/>
    <col min="7" max="7" width="14.83203125" style="1" customWidth="1"/>
    <col min="8" max="16384" width="19.83203125" style="1" customWidth="1"/>
  </cols>
  <sheetData>
    <row r="1" spans="1:6" ht="6.75" customHeight="1">
      <c r="A1" s="5"/>
      <c r="B1" s="5"/>
      <c r="C1" s="5"/>
      <c r="D1" s="5"/>
      <c r="E1" s="5"/>
      <c r="F1" s="5"/>
    </row>
    <row r="2" spans="1:6" ht="15.75" customHeight="1">
      <c r="A2" s="305"/>
      <c r="B2" s="234" t="str">
        <f>REVYEAR</f>
        <v>ANALYSIS OF OPERATING FUND REVENUE: 2006/2007 ACTUAL</v>
      </c>
      <c r="C2" s="306"/>
      <c r="D2" s="310"/>
      <c r="E2" s="310"/>
      <c r="F2" s="246" t="s">
        <v>216</v>
      </c>
    </row>
    <row r="3" spans="1:6" ht="15.75" customHeight="1">
      <c r="A3" s="235"/>
      <c r="B3" s="235"/>
      <c r="C3" s="5"/>
      <c r="D3" s="5"/>
      <c r="E3" s="5"/>
      <c r="F3" s="5"/>
    </row>
    <row r="4" spans="2:6" ht="15.75" customHeight="1">
      <c r="B4" s="441" t="str">
        <f>'- 56 -'!B4</f>
        <v>EDUCATION, CITIZENSHIP AND YOUTH</v>
      </c>
      <c r="C4" s="366"/>
      <c r="D4" s="356"/>
      <c r="E4" s="356"/>
      <c r="F4" s="356"/>
    </row>
    <row r="5" spans="2:6" ht="15.75" customHeight="1">
      <c r="B5" s="442" t="s">
        <v>236</v>
      </c>
      <c r="C5" s="437"/>
      <c r="D5" s="443"/>
      <c r="E5" s="443"/>
      <c r="F5" s="443"/>
    </row>
    <row r="6" spans="2:6" ht="15.75" customHeight="1">
      <c r="B6" s="308" t="s">
        <v>125</v>
      </c>
      <c r="C6" s="47"/>
      <c r="D6" s="47"/>
      <c r="E6" s="46"/>
      <c r="F6" s="190"/>
    </row>
    <row r="7" spans="2:6" ht="15.75" customHeight="1">
      <c r="B7" s="252"/>
      <c r="C7" s="252"/>
      <c r="D7" s="252" t="s">
        <v>469</v>
      </c>
      <c r="E7" s="252" t="s">
        <v>205</v>
      </c>
      <c r="F7" s="252" t="s">
        <v>219</v>
      </c>
    </row>
    <row r="8" spans="1:6" ht="15.75" customHeight="1">
      <c r="A8" s="74"/>
      <c r="B8" s="309" t="s">
        <v>52</v>
      </c>
      <c r="C8" s="254" t="s">
        <v>138</v>
      </c>
      <c r="D8" s="254" t="s">
        <v>436</v>
      </c>
      <c r="E8" s="254" t="s">
        <v>51</v>
      </c>
      <c r="F8" s="254" t="s">
        <v>220</v>
      </c>
    </row>
    <row r="9" spans="1:6" ht="15.75" customHeight="1">
      <c r="A9" s="41" t="s">
        <v>108</v>
      </c>
      <c r="B9" s="318" t="s">
        <v>207</v>
      </c>
      <c r="C9" s="93" t="s">
        <v>16</v>
      </c>
      <c r="D9" s="93" t="s">
        <v>112</v>
      </c>
      <c r="E9" s="93" t="s">
        <v>105</v>
      </c>
      <c r="F9" s="93" t="s">
        <v>228</v>
      </c>
    </row>
    <row r="10" spans="1:5" ht="4.5" customHeight="1">
      <c r="A10" s="4"/>
      <c r="B10" s="5"/>
      <c r="C10" s="5"/>
      <c r="D10" s="5"/>
      <c r="E10" s="5"/>
    </row>
    <row r="11" spans="1:6" ht="13.5" customHeight="1">
      <c r="A11" s="414" t="s">
        <v>245</v>
      </c>
      <c r="B11" s="412">
        <v>709704</v>
      </c>
      <c r="C11" s="412">
        <v>558165</v>
      </c>
      <c r="D11" s="412">
        <v>46650</v>
      </c>
      <c r="E11" s="412">
        <v>28491</v>
      </c>
      <c r="F11" s="412">
        <v>12000</v>
      </c>
    </row>
    <row r="12" spans="1:6" ht="13.5" customHeight="1">
      <c r="A12" s="274" t="s">
        <v>246</v>
      </c>
      <c r="B12" s="172">
        <v>1250584</v>
      </c>
      <c r="C12" s="172">
        <v>1424997</v>
      </c>
      <c r="D12" s="172">
        <v>155263</v>
      </c>
      <c r="E12" s="172">
        <v>160710</v>
      </c>
      <c r="F12" s="172">
        <v>36000</v>
      </c>
    </row>
    <row r="13" spans="1:6" ht="13.5" customHeight="1">
      <c r="A13" s="414" t="s">
        <v>247</v>
      </c>
      <c r="B13" s="412">
        <v>799170</v>
      </c>
      <c r="C13" s="412">
        <v>3258241</v>
      </c>
      <c r="D13" s="412">
        <v>79850</v>
      </c>
      <c r="E13" s="412">
        <v>532345</v>
      </c>
      <c r="F13" s="412">
        <v>270000</v>
      </c>
    </row>
    <row r="14" spans="1:6" ht="13.5" customHeight="1">
      <c r="A14" s="274" t="s">
        <v>283</v>
      </c>
      <c r="B14" s="172">
        <v>2674585</v>
      </c>
      <c r="C14" s="172">
        <v>1841447</v>
      </c>
      <c r="D14" s="172">
        <v>104588</v>
      </c>
      <c r="E14" s="172">
        <v>22908</v>
      </c>
      <c r="F14" s="172">
        <v>223500</v>
      </c>
    </row>
    <row r="15" spans="1:6" ht="13.5" customHeight="1">
      <c r="A15" s="414" t="s">
        <v>248</v>
      </c>
      <c r="B15" s="412">
        <v>842927</v>
      </c>
      <c r="C15" s="412">
        <v>801522</v>
      </c>
      <c r="D15" s="412">
        <v>21325</v>
      </c>
      <c r="E15" s="412">
        <v>65615</v>
      </c>
      <c r="F15" s="412">
        <v>75000</v>
      </c>
    </row>
    <row r="16" spans="1:6" ht="13.5" customHeight="1">
      <c r="A16" s="274" t="s">
        <v>249</v>
      </c>
      <c r="B16" s="172">
        <v>122618</v>
      </c>
      <c r="C16" s="172">
        <v>549997</v>
      </c>
      <c r="D16" s="172">
        <v>0</v>
      </c>
      <c r="E16" s="172">
        <v>42268</v>
      </c>
      <c r="F16" s="172">
        <v>69000</v>
      </c>
    </row>
    <row r="17" spans="1:6" ht="13.5" customHeight="1">
      <c r="A17" s="414" t="s">
        <v>250</v>
      </c>
      <c r="B17" s="412">
        <v>879855</v>
      </c>
      <c r="C17" s="412">
        <v>611324</v>
      </c>
      <c r="D17" s="412">
        <v>22975</v>
      </c>
      <c r="E17" s="412">
        <v>93445</v>
      </c>
      <c r="F17" s="412">
        <v>12000</v>
      </c>
    </row>
    <row r="18" spans="1:6" ht="13.5" customHeight="1">
      <c r="A18" s="274" t="s">
        <v>251</v>
      </c>
      <c r="B18" s="172">
        <v>1302715</v>
      </c>
      <c r="C18" s="172">
        <v>1611517</v>
      </c>
      <c r="D18" s="172">
        <v>0</v>
      </c>
      <c r="E18" s="172">
        <v>68888</v>
      </c>
      <c r="F18" s="172">
        <v>567811</v>
      </c>
    </row>
    <row r="19" spans="1:6" ht="13.5" customHeight="1">
      <c r="A19" s="414" t="s">
        <v>252</v>
      </c>
      <c r="B19" s="412">
        <v>1040379</v>
      </c>
      <c r="C19" s="412">
        <v>1511300</v>
      </c>
      <c r="D19" s="412">
        <v>482338</v>
      </c>
      <c r="E19" s="412">
        <v>228250</v>
      </c>
      <c r="F19" s="412">
        <v>5888</v>
      </c>
    </row>
    <row r="20" spans="1:6" ht="13.5" customHeight="1">
      <c r="A20" s="274" t="s">
        <v>253</v>
      </c>
      <c r="B20" s="172">
        <v>2291504</v>
      </c>
      <c r="C20" s="172">
        <v>2614816</v>
      </c>
      <c r="D20" s="172">
        <v>652413</v>
      </c>
      <c r="E20" s="172">
        <v>525663</v>
      </c>
      <c r="F20" s="172">
        <v>71502</v>
      </c>
    </row>
    <row r="21" spans="1:6" ht="13.5" customHeight="1">
      <c r="A21" s="414" t="s">
        <v>254</v>
      </c>
      <c r="B21" s="412">
        <v>1347102</v>
      </c>
      <c r="C21" s="412">
        <v>1735738</v>
      </c>
      <c r="D21" s="412">
        <v>48513</v>
      </c>
      <c r="E21" s="412">
        <v>105655</v>
      </c>
      <c r="F21" s="412">
        <v>84000</v>
      </c>
    </row>
    <row r="22" spans="1:6" ht="13.5" customHeight="1">
      <c r="A22" s="274" t="s">
        <v>255</v>
      </c>
      <c r="B22" s="172">
        <v>333049</v>
      </c>
      <c r="C22" s="172">
        <v>1330916</v>
      </c>
      <c r="D22" s="172">
        <v>4625</v>
      </c>
      <c r="E22" s="172">
        <v>49390</v>
      </c>
      <c r="F22" s="172">
        <v>120000</v>
      </c>
    </row>
    <row r="23" spans="1:6" ht="13.5" customHeight="1">
      <c r="A23" s="414" t="s">
        <v>256</v>
      </c>
      <c r="B23" s="412">
        <v>1034635</v>
      </c>
      <c r="C23" s="412">
        <v>903488</v>
      </c>
      <c r="D23" s="412">
        <v>14000</v>
      </c>
      <c r="E23" s="412">
        <v>65890</v>
      </c>
      <c r="F23" s="412">
        <v>72000</v>
      </c>
    </row>
    <row r="24" spans="1:6" ht="13.5" customHeight="1">
      <c r="A24" s="274" t="s">
        <v>257</v>
      </c>
      <c r="B24" s="172">
        <v>1788834</v>
      </c>
      <c r="C24" s="172">
        <v>2937584</v>
      </c>
      <c r="D24" s="172">
        <v>4913</v>
      </c>
      <c r="E24" s="172">
        <v>434885</v>
      </c>
      <c r="F24" s="172">
        <v>231300</v>
      </c>
    </row>
    <row r="25" spans="1:6" ht="13.5" customHeight="1">
      <c r="A25" s="414" t="s">
        <v>258</v>
      </c>
      <c r="B25" s="412">
        <v>977608</v>
      </c>
      <c r="C25" s="412">
        <v>7161846</v>
      </c>
      <c r="D25" s="412">
        <v>403490</v>
      </c>
      <c r="E25" s="412">
        <v>634370</v>
      </c>
      <c r="F25" s="412">
        <v>466000</v>
      </c>
    </row>
    <row r="26" spans="1:6" ht="13.5" customHeight="1">
      <c r="A26" s="274" t="s">
        <v>259</v>
      </c>
      <c r="B26" s="172">
        <v>1578537</v>
      </c>
      <c r="C26" s="172">
        <v>1694716</v>
      </c>
      <c r="D26" s="172">
        <v>0</v>
      </c>
      <c r="E26" s="172">
        <v>250608</v>
      </c>
      <c r="F26" s="172">
        <v>129000</v>
      </c>
    </row>
    <row r="27" spans="1:6" ht="13.5" customHeight="1">
      <c r="A27" s="414" t="s">
        <v>260</v>
      </c>
      <c r="B27" s="412">
        <v>47337</v>
      </c>
      <c r="C27" s="412">
        <v>1337215</v>
      </c>
      <c r="D27" s="412">
        <v>0</v>
      </c>
      <c r="E27" s="412">
        <v>222695</v>
      </c>
      <c r="F27" s="412">
        <v>280000</v>
      </c>
    </row>
    <row r="28" spans="1:6" ht="13.5" customHeight="1">
      <c r="A28" s="274" t="s">
        <v>261</v>
      </c>
      <c r="B28" s="172">
        <v>1391926</v>
      </c>
      <c r="C28" s="172">
        <v>716380</v>
      </c>
      <c r="D28" s="172">
        <v>13063</v>
      </c>
      <c r="E28" s="172">
        <v>63800</v>
      </c>
      <c r="F28" s="172">
        <v>48500</v>
      </c>
    </row>
    <row r="29" spans="1:6" ht="13.5" customHeight="1">
      <c r="A29" s="414" t="s">
        <v>262</v>
      </c>
      <c r="B29" s="412">
        <v>687179</v>
      </c>
      <c r="C29" s="412">
        <v>6290253</v>
      </c>
      <c r="D29" s="412">
        <v>439400</v>
      </c>
      <c r="E29" s="412">
        <v>172068</v>
      </c>
      <c r="F29" s="412">
        <v>195400</v>
      </c>
    </row>
    <row r="30" spans="1:6" ht="13.5" customHeight="1">
      <c r="A30" s="274" t="s">
        <v>263</v>
      </c>
      <c r="B30" s="172">
        <v>837420</v>
      </c>
      <c r="C30" s="172">
        <v>707748</v>
      </c>
      <c r="D30" s="172">
        <v>41100</v>
      </c>
      <c r="E30" s="172">
        <v>33715</v>
      </c>
      <c r="F30" s="172">
        <v>33000</v>
      </c>
    </row>
    <row r="31" spans="1:6" ht="13.5" customHeight="1">
      <c r="A31" s="414" t="s">
        <v>264</v>
      </c>
      <c r="B31" s="412">
        <v>777037</v>
      </c>
      <c r="C31" s="412">
        <v>1900606</v>
      </c>
      <c r="D31" s="412">
        <v>63313</v>
      </c>
      <c r="E31" s="412">
        <v>184313</v>
      </c>
      <c r="F31" s="412">
        <v>213000</v>
      </c>
    </row>
    <row r="32" spans="1:6" ht="13.5" customHeight="1">
      <c r="A32" s="274" t="s">
        <v>265</v>
      </c>
      <c r="B32" s="172">
        <v>1234198</v>
      </c>
      <c r="C32" s="172">
        <v>781102</v>
      </c>
      <c r="D32" s="172">
        <v>97775</v>
      </c>
      <c r="E32" s="172">
        <v>133431</v>
      </c>
      <c r="F32" s="172">
        <v>78000</v>
      </c>
    </row>
    <row r="33" spans="1:6" ht="13.5" customHeight="1">
      <c r="A33" s="414" t="s">
        <v>266</v>
      </c>
      <c r="B33" s="412">
        <v>1553849</v>
      </c>
      <c r="C33" s="412">
        <v>914822</v>
      </c>
      <c r="D33" s="412">
        <v>73345</v>
      </c>
      <c r="E33" s="412">
        <v>78211</v>
      </c>
      <c r="F33" s="412">
        <v>30000</v>
      </c>
    </row>
    <row r="34" spans="1:6" ht="13.5" customHeight="1">
      <c r="A34" s="274" t="s">
        <v>267</v>
      </c>
      <c r="B34" s="172">
        <v>1274539</v>
      </c>
      <c r="C34" s="172">
        <v>826877</v>
      </c>
      <c r="D34" s="172">
        <v>48338</v>
      </c>
      <c r="E34" s="172">
        <v>97818</v>
      </c>
      <c r="F34" s="172">
        <v>60000</v>
      </c>
    </row>
    <row r="35" spans="1:6" ht="13.5" customHeight="1">
      <c r="A35" s="414" t="s">
        <v>268</v>
      </c>
      <c r="B35" s="412">
        <v>1662420</v>
      </c>
      <c r="C35" s="412">
        <v>7824497</v>
      </c>
      <c r="D35" s="412">
        <v>258725</v>
      </c>
      <c r="E35" s="412">
        <v>979551</v>
      </c>
      <c r="F35" s="412">
        <v>495000</v>
      </c>
    </row>
    <row r="36" spans="1:6" ht="13.5" customHeight="1">
      <c r="A36" s="274" t="s">
        <v>269</v>
      </c>
      <c r="B36" s="172">
        <v>1043666</v>
      </c>
      <c r="C36" s="172">
        <v>873763</v>
      </c>
      <c r="D36" s="172">
        <v>24025</v>
      </c>
      <c r="E36" s="172">
        <v>41773</v>
      </c>
      <c r="F36" s="172">
        <v>47000</v>
      </c>
    </row>
    <row r="37" spans="1:6" ht="13.5" customHeight="1">
      <c r="A37" s="414" t="s">
        <v>270</v>
      </c>
      <c r="B37" s="412">
        <v>1408896</v>
      </c>
      <c r="C37" s="412">
        <v>2367193</v>
      </c>
      <c r="D37" s="412">
        <v>128188</v>
      </c>
      <c r="E37" s="412">
        <v>98780</v>
      </c>
      <c r="F37" s="412">
        <v>156000</v>
      </c>
    </row>
    <row r="38" spans="1:6" ht="13.5" customHeight="1">
      <c r="A38" s="274" t="s">
        <v>271</v>
      </c>
      <c r="B38" s="172">
        <v>898302</v>
      </c>
      <c r="C38" s="172">
        <v>4206700</v>
      </c>
      <c r="D38" s="172">
        <v>293828</v>
      </c>
      <c r="E38" s="172">
        <v>336161</v>
      </c>
      <c r="F38" s="172">
        <v>273000</v>
      </c>
    </row>
    <row r="39" spans="1:6" ht="13.5" customHeight="1">
      <c r="A39" s="414" t="s">
        <v>272</v>
      </c>
      <c r="B39" s="412">
        <v>1138201</v>
      </c>
      <c r="C39" s="412">
        <v>631482</v>
      </c>
      <c r="D39" s="412">
        <v>23763</v>
      </c>
      <c r="E39" s="412">
        <v>48455</v>
      </c>
      <c r="F39" s="412">
        <v>12000</v>
      </c>
    </row>
    <row r="40" spans="1:6" ht="13.5" customHeight="1">
      <c r="A40" s="274" t="s">
        <v>273</v>
      </c>
      <c r="B40" s="172">
        <v>598136</v>
      </c>
      <c r="C40" s="172">
        <v>4376569</v>
      </c>
      <c r="D40" s="172">
        <v>106650</v>
      </c>
      <c r="E40" s="172">
        <v>449735</v>
      </c>
      <c r="F40" s="172">
        <v>249500</v>
      </c>
    </row>
    <row r="41" spans="1:6" ht="13.5" customHeight="1">
      <c r="A41" s="414" t="s">
        <v>274</v>
      </c>
      <c r="B41" s="412">
        <v>2832579</v>
      </c>
      <c r="C41" s="412">
        <v>2640199</v>
      </c>
      <c r="D41" s="412">
        <v>103300</v>
      </c>
      <c r="E41" s="412">
        <v>146300</v>
      </c>
      <c r="F41" s="412">
        <v>150000</v>
      </c>
    </row>
    <row r="42" spans="1:6" ht="13.5" customHeight="1">
      <c r="A42" s="274" t="s">
        <v>275</v>
      </c>
      <c r="B42" s="172">
        <v>1095236</v>
      </c>
      <c r="C42" s="172">
        <v>996845</v>
      </c>
      <c r="D42" s="172">
        <v>5513</v>
      </c>
      <c r="E42" s="172">
        <v>207955</v>
      </c>
      <c r="F42" s="172">
        <v>103000</v>
      </c>
    </row>
    <row r="43" spans="1:6" ht="13.5" customHeight="1">
      <c r="A43" s="414" t="s">
        <v>276</v>
      </c>
      <c r="B43" s="412">
        <v>616072</v>
      </c>
      <c r="C43" s="412">
        <v>537090</v>
      </c>
      <c r="D43" s="412">
        <v>21925</v>
      </c>
      <c r="E43" s="412">
        <v>41305</v>
      </c>
      <c r="F43" s="412">
        <v>12000</v>
      </c>
    </row>
    <row r="44" spans="1:6" ht="13.5" customHeight="1">
      <c r="A44" s="274" t="s">
        <v>277</v>
      </c>
      <c r="B44" s="172">
        <v>753911</v>
      </c>
      <c r="C44" s="172">
        <v>481196</v>
      </c>
      <c r="D44" s="172">
        <v>14525</v>
      </c>
      <c r="E44" s="172">
        <v>29728</v>
      </c>
      <c r="F44" s="172">
        <v>84000</v>
      </c>
    </row>
    <row r="45" spans="1:6" ht="13.5" customHeight="1">
      <c r="A45" s="414" t="s">
        <v>278</v>
      </c>
      <c r="B45" s="412">
        <v>406884</v>
      </c>
      <c r="C45" s="412">
        <v>569136</v>
      </c>
      <c r="D45" s="412">
        <v>95400</v>
      </c>
      <c r="E45" s="412">
        <v>114840</v>
      </c>
      <c r="F45" s="412">
        <v>12000</v>
      </c>
    </row>
    <row r="46" spans="1:6" ht="13.5" customHeight="1">
      <c r="A46" s="274" t="s">
        <v>279</v>
      </c>
      <c r="B46" s="172">
        <v>1315973</v>
      </c>
      <c r="C46" s="172">
        <v>14519630</v>
      </c>
      <c r="D46" s="172">
        <v>2171533</v>
      </c>
      <c r="E46" s="172">
        <v>1461900</v>
      </c>
      <c r="F46" s="172">
        <v>1866400</v>
      </c>
    </row>
    <row r="47" spans="1:6" ht="4.5" customHeight="1">
      <c r="A47" s="151"/>
      <c r="B47" s="173"/>
      <c r="C47" s="173"/>
      <c r="D47" s="173"/>
      <c r="E47" s="173"/>
      <c r="F47" s="173"/>
    </row>
    <row r="48" spans="1:6" ht="13.5" customHeight="1">
      <c r="A48" s="415" t="s">
        <v>280</v>
      </c>
      <c r="B48" s="416">
        <f>SUM(B11:B46)</f>
        <v>40547567</v>
      </c>
      <c r="C48" s="416">
        <f>SUM(C11:C46)</f>
        <v>84046917</v>
      </c>
      <c r="D48" s="416">
        <f>SUM(D11:D46)</f>
        <v>6064652</v>
      </c>
      <c r="E48" s="416">
        <f>SUM(E11:E46)</f>
        <v>8251915</v>
      </c>
      <c r="F48" s="416">
        <f>SUM(F11:F46)</f>
        <v>6842801</v>
      </c>
    </row>
    <row r="49" spans="1:6" ht="4.5" customHeight="1">
      <c r="A49" s="151" t="s">
        <v>32</v>
      </c>
      <c r="B49" s="173"/>
      <c r="C49" s="173"/>
      <c r="D49" s="173"/>
      <c r="E49" s="173"/>
      <c r="F49" s="173"/>
    </row>
    <row r="50" spans="1:6" ht="13.5" customHeight="1">
      <c r="A50" s="274" t="s">
        <v>281</v>
      </c>
      <c r="B50" s="172">
        <v>1614</v>
      </c>
      <c r="C50" s="172">
        <v>234750</v>
      </c>
      <c r="D50" s="172">
        <v>0</v>
      </c>
      <c r="E50" s="172">
        <v>3795</v>
      </c>
      <c r="F50" s="172">
        <v>6000</v>
      </c>
    </row>
    <row r="51" spans="1:6" ht="13.5" customHeight="1">
      <c r="A51" s="414" t="s">
        <v>282</v>
      </c>
      <c r="B51" s="412">
        <v>0</v>
      </c>
      <c r="C51" s="412">
        <v>0</v>
      </c>
      <c r="D51" s="412">
        <v>0</v>
      </c>
      <c r="E51" s="412">
        <v>0</v>
      </c>
      <c r="F51" s="412">
        <v>0</v>
      </c>
    </row>
    <row r="52" spans="1:6" ht="49.5" customHeight="1">
      <c r="A52" s="29"/>
      <c r="B52" s="29"/>
      <c r="C52" s="29"/>
      <c r="D52" s="29"/>
      <c r="E52" s="29"/>
      <c r="F52" s="29"/>
    </row>
    <row r="53" spans="1:6" ht="15" customHeight="1">
      <c r="A53" s="129" t="s">
        <v>17</v>
      </c>
      <c r="B53" s="280"/>
      <c r="C53" s="44"/>
      <c r="D53" s="44"/>
      <c r="E53" s="44"/>
      <c r="F53" s="44"/>
    </row>
    <row r="54" spans="1:6" ht="12" customHeight="1">
      <c r="A54" s="488" t="s">
        <v>589</v>
      </c>
      <c r="B54" s="44"/>
      <c r="C54" s="44"/>
      <c r="D54" s="44"/>
      <c r="E54" s="44"/>
      <c r="F54" s="311"/>
    </row>
    <row r="55" spans="1:6" ht="12" customHeight="1">
      <c r="A55" s="1" t="s">
        <v>590</v>
      </c>
      <c r="B55" s="44"/>
      <c r="C55" s="44"/>
      <c r="D55" s="44"/>
      <c r="E55" s="44"/>
      <c r="F55" s="44"/>
    </row>
    <row r="56" spans="1:6" ht="13.5" customHeight="1">
      <c r="A56" s="44"/>
      <c r="B56" s="44"/>
      <c r="C56" s="312"/>
      <c r="D56" s="44"/>
      <c r="E56" s="44">
        <f>C48+'- 57 -'!B48</f>
        <v>145514009</v>
      </c>
      <c r="F56" s="44"/>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sheetPr codeName="Sheet46">
    <pageSetUpPr fitToPage="1"/>
  </sheetPr>
  <dimension ref="A1:F53"/>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5" width="20.83203125" style="1" customWidth="1"/>
    <col min="6" max="6" width="19.83203125" style="1" customWidth="1"/>
    <col min="7" max="16384" width="19.83203125" style="1" customWidth="1"/>
  </cols>
  <sheetData>
    <row r="1" spans="1:6" ht="6.75" customHeight="1">
      <c r="A1" s="5"/>
      <c r="B1" s="5"/>
      <c r="C1" s="5"/>
      <c r="D1" s="5"/>
      <c r="E1" s="5"/>
      <c r="F1" s="5"/>
    </row>
    <row r="2" spans="1:6" ht="15.75" customHeight="1">
      <c r="A2" s="305"/>
      <c r="B2" s="234" t="str">
        <f>REVYEAR</f>
        <v>ANALYSIS OF OPERATING FUND REVENUE: 2006/2007 ACTUAL</v>
      </c>
      <c r="C2" s="306"/>
      <c r="D2" s="306"/>
      <c r="E2" s="306"/>
      <c r="F2" s="246" t="s">
        <v>217</v>
      </c>
    </row>
    <row r="3" spans="1:6" ht="15.75" customHeight="1">
      <c r="A3" s="235"/>
      <c r="B3" s="5"/>
      <c r="C3" s="5"/>
      <c r="D3" s="5"/>
      <c r="E3" s="5"/>
      <c r="F3" s="5"/>
    </row>
    <row r="4" spans="2:6" ht="15.75" customHeight="1">
      <c r="B4" s="441" t="str">
        <f>'- 56 -'!B4</f>
        <v>EDUCATION, CITIZENSHIP AND YOUTH</v>
      </c>
      <c r="C4" s="362"/>
      <c r="D4" s="362"/>
      <c r="E4" s="366"/>
      <c r="F4" s="356"/>
    </row>
    <row r="5" spans="2:6" ht="15.75" customHeight="1">
      <c r="B5" s="442" t="s">
        <v>236</v>
      </c>
      <c r="C5" s="440"/>
      <c r="D5" s="440"/>
      <c r="E5" s="437"/>
      <c r="F5" s="443"/>
    </row>
    <row r="6" spans="2:6" ht="15.75" customHeight="1">
      <c r="B6" s="308" t="s">
        <v>125</v>
      </c>
      <c r="C6" s="46"/>
      <c r="D6" s="46"/>
      <c r="E6" s="190"/>
      <c r="F6" s="190"/>
    </row>
    <row r="7" spans="2:6" ht="15.75" customHeight="1">
      <c r="B7" s="252" t="s">
        <v>98</v>
      </c>
      <c r="C7" s="252" t="s">
        <v>212</v>
      </c>
      <c r="D7" s="252" t="s">
        <v>212</v>
      </c>
      <c r="E7" s="39"/>
      <c r="F7" s="252" t="s">
        <v>83</v>
      </c>
    </row>
    <row r="8" spans="1:6" ht="15.75" customHeight="1">
      <c r="A8" s="74"/>
      <c r="B8" s="309" t="s">
        <v>112</v>
      </c>
      <c r="C8" s="254" t="s">
        <v>468</v>
      </c>
      <c r="D8" s="254" t="s">
        <v>222</v>
      </c>
      <c r="E8" s="254" t="s">
        <v>74</v>
      </c>
      <c r="F8" s="254" t="s">
        <v>144</v>
      </c>
    </row>
    <row r="9" spans="1:6" ht="15.75" customHeight="1">
      <c r="A9" s="41" t="s">
        <v>108</v>
      </c>
      <c r="B9" s="52" t="s">
        <v>221</v>
      </c>
      <c r="C9" s="93" t="s">
        <v>166</v>
      </c>
      <c r="D9" s="93" t="s">
        <v>213</v>
      </c>
      <c r="E9" s="93" t="s">
        <v>18</v>
      </c>
      <c r="F9" s="93" t="s">
        <v>162</v>
      </c>
    </row>
    <row r="10" spans="1:6" ht="4.5" customHeight="1">
      <c r="A10" s="4"/>
      <c r="B10" s="5"/>
      <c r="C10" s="5"/>
      <c r="D10" s="5"/>
      <c r="E10" s="5"/>
      <c r="F10" s="5"/>
    </row>
    <row r="11" spans="1:6" ht="13.5" customHeight="1">
      <c r="A11" s="414" t="s">
        <v>245</v>
      </c>
      <c r="B11" s="412">
        <v>3975</v>
      </c>
      <c r="C11" s="412">
        <v>11750</v>
      </c>
      <c r="D11" s="412">
        <v>42300</v>
      </c>
      <c r="E11" s="412">
        <v>167227</v>
      </c>
      <c r="F11" s="412">
        <f>SUM('- 58 -'!B11:F11,B11:E11)</f>
        <v>1580262</v>
      </c>
    </row>
    <row r="12" spans="1:6" ht="13.5" customHeight="1">
      <c r="A12" s="274" t="s">
        <v>246</v>
      </c>
      <c r="B12" s="172">
        <v>12385</v>
      </c>
      <c r="C12" s="172">
        <v>20750</v>
      </c>
      <c r="D12" s="172">
        <v>74700</v>
      </c>
      <c r="E12" s="172">
        <v>172269</v>
      </c>
      <c r="F12" s="172">
        <f>SUM('- 58 -'!B12:F12,B12:E12)</f>
        <v>3307658</v>
      </c>
    </row>
    <row r="13" spans="1:6" ht="13.5" customHeight="1">
      <c r="A13" s="414" t="s">
        <v>247</v>
      </c>
      <c r="B13" s="412">
        <v>127767</v>
      </c>
      <c r="C13" s="412">
        <v>64125</v>
      </c>
      <c r="D13" s="412">
        <v>250850</v>
      </c>
      <c r="E13" s="412">
        <v>365145</v>
      </c>
      <c r="F13" s="412">
        <f>SUM('- 58 -'!B13:F13,B13:E13)</f>
        <v>5747493</v>
      </c>
    </row>
    <row r="14" spans="1:6" ht="13.5" customHeight="1">
      <c r="A14" s="274" t="s">
        <v>283</v>
      </c>
      <c r="B14" s="172">
        <v>1267727</v>
      </c>
      <c r="C14" s="172">
        <v>45750</v>
      </c>
      <c r="D14" s="172">
        <v>164700</v>
      </c>
      <c r="E14" s="172">
        <v>392523</v>
      </c>
      <c r="F14" s="172">
        <f>SUM('- 58 -'!B14:F14,B14:E14)</f>
        <v>6737728</v>
      </c>
    </row>
    <row r="15" spans="1:6" ht="13.5" customHeight="1">
      <c r="A15" s="414" t="s">
        <v>248</v>
      </c>
      <c r="B15" s="412">
        <v>6294</v>
      </c>
      <c r="C15" s="412">
        <v>14000</v>
      </c>
      <c r="D15" s="412">
        <v>50400</v>
      </c>
      <c r="E15" s="412">
        <v>85563</v>
      </c>
      <c r="F15" s="412">
        <f>SUM('- 58 -'!B15:F15,B15:E15)</f>
        <v>1962646</v>
      </c>
    </row>
    <row r="16" spans="1:6" ht="13.5" customHeight="1">
      <c r="A16" s="274" t="s">
        <v>249</v>
      </c>
      <c r="B16" s="172">
        <v>29091</v>
      </c>
      <c r="C16" s="172">
        <v>10750</v>
      </c>
      <c r="D16" s="172">
        <v>42200</v>
      </c>
      <c r="E16" s="172">
        <v>751808</v>
      </c>
      <c r="F16" s="172">
        <f>SUM('- 58 -'!B16:F16,B16:E16)</f>
        <v>1617732</v>
      </c>
    </row>
    <row r="17" spans="1:6" ht="13.5" customHeight="1">
      <c r="A17" s="414" t="s">
        <v>250</v>
      </c>
      <c r="B17" s="412">
        <v>1968</v>
      </c>
      <c r="C17" s="412">
        <v>9000</v>
      </c>
      <c r="D17" s="412">
        <v>31500</v>
      </c>
      <c r="E17" s="412">
        <v>107390</v>
      </c>
      <c r="F17" s="412">
        <f>SUM('- 58 -'!B17:F17,B17:E17)</f>
        <v>1769457</v>
      </c>
    </row>
    <row r="18" spans="1:6" ht="13.5" customHeight="1">
      <c r="A18" s="274" t="s">
        <v>251</v>
      </c>
      <c r="B18" s="172">
        <v>934</v>
      </c>
      <c r="C18" s="172">
        <v>27625</v>
      </c>
      <c r="D18" s="172">
        <v>159850</v>
      </c>
      <c r="E18" s="172">
        <v>2494323</v>
      </c>
      <c r="F18" s="172">
        <f>SUM('- 58 -'!B18:F18,B18:E18)</f>
        <v>6233663</v>
      </c>
    </row>
    <row r="19" spans="1:6" ht="13.5" customHeight="1">
      <c r="A19" s="414" t="s">
        <v>252</v>
      </c>
      <c r="B19" s="412">
        <v>3416</v>
      </c>
      <c r="C19" s="412">
        <v>34250</v>
      </c>
      <c r="D19" s="412">
        <v>123300</v>
      </c>
      <c r="E19" s="412">
        <v>532126</v>
      </c>
      <c r="F19" s="412">
        <f>SUM('- 58 -'!B19:F19,B19:E19)</f>
        <v>3961247</v>
      </c>
    </row>
    <row r="20" spans="1:6" ht="13.5" customHeight="1">
      <c r="A20" s="274" t="s">
        <v>253</v>
      </c>
      <c r="B20" s="172">
        <v>30170</v>
      </c>
      <c r="C20" s="172">
        <v>61375</v>
      </c>
      <c r="D20" s="172">
        <v>220950</v>
      </c>
      <c r="E20" s="172">
        <v>456562</v>
      </c>
      <c r="F20" s="172">
        <f>SUM('- 58 -'!B20:F20,B20:E20)</f>
        <v>6924955</v>
      </c>
    </row>
    <row r="21" spans="1:6" ht="13.5" customHeight="1">
      <c r="A21" s="414" t="s">
        <v>254</v>
      </c>
      <c r="B21" s="412">
        <v>16120</v>
      </c>
      <c r="C21" s="412">
        <v>21125</v>
      </c>
      <c r="D21" s="412">
        <v>76050</v>
      </c>
      <c r="E21" s="412">
        <v>131759</v>
      </c>
      <c r="F21" s="412">
        <f>SUM('- 58 -'!B21:F21,B21:E21)</f>
        <v>3566062</v>
      </c>
    </row>
    <row r="22" spans="1:6" ht="13.5" customHeight="1">
      <c r="A22" s="274" t="s">
        <v>255</v>
      </c>
      <c r="B22" s="172">
        <v>40873</v>
      </c>
      <c r="C22" s="172">
        <v>15375</v>
      </c>
      <c r="D22" s="172">
        <v>75350</v>
      </c>
      <c r="E22" s="172">
        <v>923550</v>
      </c>
      <c r="F22" s="172">
        <f>SUM('- 58 -'!B22:F22,B22:E22)</f>
        <v>2893128</v>
      </c>
    </row>
    <row r="23" spans="1:6" ht="13.5" customHeight="1">
      <c r="A23" s="414" t="s">
        <v>256</v>
      </c>
      <c r="B23" s="412">
        <v>6355</v>
      </c>
      <c r="C23" s="412">
        <v>9875</v>
      </c>
      <c r="D23" s="412">
        <v>35550</v>
      </c>
      <c r="E23" s="412">
        <v>100554</v>
      </c>
      <c r="F23" s="412">
        <f>SUM('- 58 -'!B23:F23,B23:E23)</f>
        <v>2242347</v>
      </c>
    </row>
    <row r="24" spans="1:6" ht="13.5" customHeight="1">
      <c r="A24" s="274" t="s">
        <v>257</v>
      </c>
      <c r="B24" s="172">
        <v>106495</v>
      </c>
      <c r="C24" s="172">
        <v>38125</v>
      </c>
      <c r="D24" s="172">
        <v>193250</v>
      </c>
      <c r="E24" s="172">
        <v>127442</v>
      </c>
      <c r="F24" s="172">
        <f>SUM('- 58 -'!B24:F24,B24:E24)</f>
        <v>5862828</v>
      </c>
    </row>
    <row r="25" spans="1:6" ht="13.5" customHeight="1">
      <c r="A25" s="414" t="s">
        <v>258</v>
      </c>
      <c r="B25" s="412">
        <v>999582</v>
      </c>
      <c r="C25" s="412">
        <v>116625</v>
      </c>
      <c r="D25" s="412">
        <v>419850</v>
      </c>
      <c r="E25" s="412">
        <v>611511</v>
      </c>
      <c r="F25" s="412">
        <f>SUM('- 58 -'!B25:F25,B25:E25)</f>
        <v>11790882</v>
      </c>
    </row>
    <row r="26" spans="1:6" ht="13.5" customHeight="1">
      <c r="A26" s="274" t="s">
        <v>259</v>
      </c>
      <c r="B26" s="172">
        <v>42104</v>
      </c>
      <c r="C26" s="172">
        <v>26375</v>
      </c>
      <c r="D26" s="172">
        <v>150950</v>
      </c>
      <c r="E26" s="172">
        <v>126662</v>
      </c>
      <c r="F26" s="172">
        <f>SUM('- 58 -'!B26:F26,B26:E26)</f>
        <v>3998952</v>
      </c>
    </row>
    <row r="27" spans="1:6" ht="13.5" customHeight="1">
      <c r="A27" s="414" t="s">
        <v>260</v>
      </c>
      <c r="B27" s="412">
        <v>79546</v>
      </c>
      <c r="C27" s="412">
        <v>30375</v>
      </c>
      <c r="D27" s="412">
        <v>130250</v>
      </c>
      <c r="E27" s="412">
        <v>1879546</v>
      </c>
      <c r="F27" s="412">
        <f>SUM('- 58 -'!B27:F27,B27:E27)</f>
        <v>4006964</v>
      </c>
    </row>
    <row r="28" spans="1:6" ht="13.5" customHeight="1">
      <c r="A28" s="274" t="s">
        <v>261</v>
      </c>
      <c r="B28" s="172">
        <v>6823</v>
      </c>
      <c r="C28" s="172">
        <v>14375</v>
      </c>
      <c r="D28" s="172">
        <v>51300</v>
      </c>
      <c r="E28" s="172">
        <v>211356</v>
      </c>
      <c r="F28" s="172">
        <f>SUM('- 58 -'!B28:F28,B28:E28)</f>
        <v>2517523</v>
      </c>
    </row>
    <row r="29" spans="1:6" ht="13.5" customHeight="1">
      <c r="A29" s="414" t="s">
        <v>262</v>
      </c>
      <c r="B29" s="412">
        <v>530844</v>
      </c>
      <c r="C29" s="412">
        <v>80596</v>
      </c>
      <c r="D29" s="412">
        <v>366300</v>
      </c>
      <c r="E29" s="412">
        <v>382653</v>
      </c>
      <c r="F29" s="412">
        <f>SUM('- 58 -'!B29:F29,B29:E29)</f>
        <v>9144693</v>
      </c>
    </row>
    <row r="30" spans="1:6" ht="13.5" customHeight="1">
      <c r="A30" s="274" t="s">
        <v>263</v>
      </c>
      <c r="B30" s="172">
        <v>4405</v>
      </c>
      <c r="C30" s="172">
        <v>10875</v>
      </c>
      <c r="D30" s="172">
        <v>39150</v>
      </c>
      <c r="E30" s="172">
        <v>122313</v>
      </c>
      <c r="F30" s="172">
        <f>SUM('- 58 -'!B30:F30,B30:E30)</f>
        <v>1829726</v>
      </c>
    </row>
    <row r="31" spans="1:6" ht="13.5" customHeight="1">
      <c r="A31" s="414" t="s">
        <v>264</v>
      </c>
      <c r="B31" s="412">
        <v>46823</v>
      </c>
      <c r="C31" s="412">
        <v>31385</v>
      </c>
      <c r="D31" s="412">
        <v>112950</v>
      </c>
      <c r="E31" s="412">
        <v>202081</v>
      </c>
      <c r="F31" s="412">
        <f>SUM('- 58 -'!B31:F31,B31:E31)</f>
        <v>3531508</v>
      </c>
    </row>
    <row r="32" spans="1:6" ht="13.5" customHeight="1">
      <c r="A32" s="274" t="s">
        <v>265</v>
      </c>
      <c r="B32" s="172">
        <v>41227</v>
      </c>
      <c r="C32" s="172">
        <v>14015</v>
      </c>
      <c r="D32" s="172">
        <v>63000</v>
      </c>
      <c r="E32" s="172">
        <v>242355</v>
      </c>
      <c r="F32" s="172">
        <f>SUM('- 58 -'!B32:F32,B32:E32)</f>
        <v>2685103</v>
      </c>
    </row>
    <row r="33" spans="1:6" ht="13.5" customHeight="1">
      <c r="A33" s="414" t="s">
        <v>266</v>
      </c>
      <c r="B33" s="412">
        <v>34524</v>
      </c>
      <c r="C33" s="412">
        <v>19500</v>
      </c>
      <c r="D33" s="412">
        <v>70200</v>
      </c>
      <c r="E33" s="412">
        <v>259390</v>
      </c>
      <c r="F33" s="412">
        <f>SUM('- 58 -'!B33:F33,B33:E33)</f>
        <v>3033841</v>
      </c>
    </row>
    <row r="34" spans="1:6" ht="13.5" customHeight="1">
      <c r="A34" s="274" t="s">
        <v>267</v>
      </c>
      <c r="B34" s="172">
        <v>68820</v>
      </c>
      <c r="C34" s="172">
        <v>16125</v>
      </c>
      <c r="D34" s="172">
        <v>58050</v>
      </c>
      <c r="E34" s="172">
        <v>184380</v>
      </c>
      <c r="F34" s="172">
        <f>SUM('- 58 -'!B34:F34,B34:E34)</f>
        <v>2634947</v>
      </c>
    </row>
    <row r="35" spans="1:6" ht="13.5" customHeight="1">
      <c r="A35" s="414" t="s">
        <v>268</v>
      </c>
      <c r="B35" s="412">
        <v>616408</v>
      </c>
      <c r="C35" s="412">
        <v>133125</v>
      </c>
      <c r="D35" s="412">
        <v>591700</v>
      </c>
      <c r="E35" s="412">
        <v>753192</v>
      </c>
      <c r="F35" s="412">
        <f>SUM('- 58 -'!B35:F35,B35:E35)</f>
        <v>13314618</v>
      </c>
    </row>
    <row r="36" spans="1:6" ht="13.5" customHeight="1">
      <c r="A36" s="274" t="s">
        <v>269</v>
      </c>
      <c r="B36" s="172">
        <v>6826</v>
      </c>
      <c r="C36" s="172">
        <v>15625</v>
      </c>
      <c r="D36" s="172">
        <v>56250</v>
      </c>
      <c r="E36" s="172">
        <v>220246</v>
      </c>
      <c r="F36" s="172">
        <f>SUM('- 58 -'!B36:F36,B36:E36)</f>
        <v>2329174</v>
      </c>
    </row>
    <row r="37" spans="1:6" ht="13.5" customHeight="1">
      <c r="A37" s="414" t="s">
        <v>270</v>
      </c>
      <c r="B37" s="412">
        <v>259142</v>
      </c>
      <c r="C37" s="412">
        <v>30875</v>
      </c>
      <c r="D37" s="412">
        <v>111150</v>
      </c>
      <c r="E37" s="412">
        <v>46931</v>
      </c>
      <c r="F37" s="412">
        <f>SUM('- 58 -'!B37:F37,B37:E37)</f>
        <v>4607155</v>
      </c>
    </row>
    <row r="38" spans="1:6" ht="13.5" customHeight="1">
      <c r="A38" s="274" t="s">
        <v>271</v>
      </c>
      <c r="B38" s="172">
        <v>268165</v>
      </c>
      <c r="C38" s="172">
        <v>71250</v>
      </c>
      <c r="D38" s="172">
        <v>256500</v>
      </c>
      <c r="E38" s="172">
        <v>315479</v>
      </c>
      <c r="F38" s="172">
        <f>SUM('- 58 -'!B38:F38,B38:E38)</f>
        <v>6919385</v>
      </c>
    </row>
    <row r="39" spans="1:6" ht="13.5" customHeight="1">
      <c r="A39" s="414" t="s">
        <v>272</v>
      </c>
      <c r="B39" s="412">
        <v>7070</v>
      </c>
      <c r="C39" s="412">
        <v>14750</v>
      </c>
      <c r="D39" s="412">
        <v>109100</v>
      </c>
      <c r="E39" s="412">
        <v>205208</v>
      </c>
      <c r="F39" s="412">
        <f>SUM('- 58 -'!B39:F39,B39:E39)</f>
        <v>2190029</v>
      </c>
    </row>
    <row r="40" spans="1:6" ht="13.5" customHeight="1">
      <c r="A40" s="274" t="s">
        <v>273</v>
      </c>
      <c r="B40" s="172">
        <v>313816</v>
      </c>
      <c r="C40" s="172">
        <v>69375</v>
      </c>
      <c r="D40" s="172">
        <v>361750</v>
      </c>
      <c r="E40" s="172">
        <v>263410</v>
      </c>
      <c r="F40" s="172">
        <f>SUM('- 58 -'!B40:F40,B40:E40)</f>
        <v>6788941</v>
      </c>
    </row>
    <row r="41" spans="1:6" ht="13.5" customHeight="1">
      <c r="A41" s="414" t="s">
        <v>274</v>
      </c>
      <c r="B41" s="412">
        <v>129260</v>
      </c>
      <c r="C41" s="412">
        <v>36250</v>
      </c>
      <c r="D41" s="412">
        <v>130500</v>
      </c>
      <c r="E41" s="412">
        <v>249354</v>
      </c>
      <c r="F41" s="412">
        <f>SUM('- 58 -'!B41:F41,B41:E41)</f>
        <v>6417742</v>
      </c>
    </row>
    <row r="42" spans="1:6" ht="13.5" customHeight="1">
      <c r="A42" s="274" t="s">
        <v>275</v>
      </c>
      <c r="B42" s="172">
        <v>25488</v>
      </c>
      <c r="C42" s="172">
        <v>13375</v>
      </c>
      <c r="D42" s="172">
        <v>48150</v>
      </c>
      <c r="E42" s="172">
        <v>113266</v>
      </c>
      <c r="F42" s="172">
        <f>SUM('- 58 -'!B42:F42,B42:E42)</f>
        <v>2608828</v>
      </c>
    </row>
    <row r="43" spans="1:6" ht="13.5" customHeight="1">
      <c r="A43" s="414" t="s">
        <v>276</v>
      </c>
      <c r="B43" s="412">
        <v>3546</v>
      </c>
      <c r="C43" s="412">
        <v>9000</v>
      </c>
      <c r="D43" s="412">
        <v>32400</v>
      </c>
      <c r="E43" s="412">
        <v>111695</v>
      </c>
      <c r="F43" s="412">
        <f>SUM('- 58 -'!B43:F43,B43:E43)</f>
        <v>1385033</v>
      </c>
    </row>
    <row r="44" spans="1:6" ht="13.5" customHeight="1">
      <c r="A44" s="274" t="s">
        <v>277</v>
      </c>
      <c r="B44" s="172">
        <v>15291</v>
      </c>
      <c r="C44" s="172">
        <v>6737</v>
      </c>
      <c r="D44" s="172">
        <v>21600</v>
      </c>
      <c r="E44" s="172">
        <v>137320</v>
      </c>
      <c r="F44" s="172">
        <f>SUM('- 58 -'!B44:F44,B44:E44)</f>
        <v>1544308</v>
      </c>
    </row>
    <row r="45" spans="1:6" ht="13.5" customHeight="1">
      <c r="A45" s="414" t="s">
        <v>278</v>
      </c>
      <c r="B45" s="412">
        <v>36503</v>
      </c>
      <c r="C45" s="412">
        <v>11750</v>
      </c>
      <c r="D45" s="412">
        <v>42750</v>
      </c>
      <c r="E45" s="412">
        <v>56654</v>
      </c>
      <c r="F45" s="412">
        <f>SUM('- 58 -'!B45:F45,B45:E45)</f>
        <v>1345917</v>
      </c>
    </row>
    <row r="46" spans="1:6" ht="13.5" customHeight="1">
      <c r="A46" s="274" t="s">
        <v>279</v>
      </c>
      <c r="B46" s="172">
        <v>708492</v>
      </c>
      <c r="C46" s="172">
        <v>287000</v>
      </c>
      <c r="D46" s="172">
        <v>1431150</v>
      </c>
      <c r="E46" s="172">
        <v>713566</v>
      </c>
      <c r="F46" s="172">
        <f>SUM('- 58 -'!B46:F46,B46:E46)</f>
        <v>24475644</v>
      </c>
    </row>
    <row r="47" spans="1:6" ht="4.5" customHeight="1">
      <c r="A47" s="151"/>
      <c r="B47" s="173"/>
      <c r="C47" s="173"/>
      <c r="D47" s="173"/>
      <c r="E47" s="173"/>
      <c r="F47" s="173"/>
    </row>
    <row r="48" spans="1:6" ht="13.5" customHeight="1">
      <c r="A48" s="415" t="s">
        <v>280</v>
      </c>
      <c r="B48" s="416">
        <f>SUM(B11:B46)</f>
        <v>5898275</v>
      </c>
      <c r="C48" s="416">
        <f>SUM(C11:C46)</f>
        <v>1443233</v>
      </c>
      <c r="D48" s="416">
        <f>SUM(D11:D46)</f>
        <v>6195950</v>
      </c>
      <c r="E48" s="416">
        <f>SUM(E11:E46)</f>
        <v>14216809</v>
      </c>
      <c r="F48" s="416">
        <f>SUM(F11:F46)</f>
        <v>173508119</v>
      </c>
    </row>
    <row r="49" spans="1:6" ht="4.5" customHeight="1">
      <c r="A49" s="151" t="s">
        <v>32</v>
      </c>
      <c r="B49" s="173"/>
      <c r="C49" s="173"/>
      <c r="D49" s="173"/>
      <c r="E49" s="173"/>
      <c r="F49" s="173"/>
    </row>
    <row r="50" spans="1:6" ht="13.5" customHeight="1">
      <c r="A50" s="274" t="s">
        <v>281</v>
      </c>
      <c r="B50" s="172">
        <v>908</v>
      </c>
      <c r="C50" s="172">
        <v>5000</v>
      </c>
      <c r="D50" s="172">
        <v>4050</v>
      </c>
      <c r="E50" s="172">
        <v>42614</v>
      </c>
      <c r="F50" s="172">
        <f>SUM('- 58 -'!B50:F50,B50:E50)</f>
        <v>298731</v>
      </c>
    </row>
    <row r="51" spans="1:6" ht="13.5" customHeight="1">
      <c r="A51" s="414" t="s">
        <v>282</v>
      </c>
      <c r="B51" s="412">
        <v>0</v>
      </c>
      <c r="C51" s="412">
        <v>0</v>
      </c>
      <c r="D51" s="412">
        <v>0</v>
      </c>
      <c r="E51" s="412">
        <v>0</v>
      </c>
      <c r="F51" s="412">
        <f>SUM('- 58 -'!B51:F51,B51:E51)</f>
        <v>0</v>
      </c>
    </row>
    <row r="52" spans="1:6" ht="49.5" customHeight="1">
      <c r="A52" s="29"/>
      <c r="B52" s="29"/>
      <c r="C52" s="29"/>
      <c r="D52" s="29"/>
      <c r="E52" s="29"/>
      <c r="F52" s="29"/>
    </row>
    <row r="53" spans="1:6" ht="15" customHeight="1">
      <c r="A53" s="129" t="s">
        <v>613</v>
      </c>
      <c r="E53" s="44"/>
      <c r="F53" s="44"/>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topLeftCell="A1">
      <selection activeCell="A1" sqref="A1"/>
    </sheetView>
  </sheetViews>
  <sheetFormatPr defaultColWidth="23.83203125" defaultRowHeight="12"/>
  <cols>
    <col min="1" max="1" width="31.83203125" style="1" customWidth="1"/>
    <col min="2" max="2" width="20.83203125" style="1" customWidth="1"/>
    <col min="3" max="3" width="19.83203125" style="1" customWidth="1"/>
    <col min="4" max="4" width="20.83203125" style="1" customWidth="1"/>
    <col min="5" max="5" width="18.83203125" style="1" customWidth="1"/>
    <col min="6" max="6" width="20.83203125" style="1" customWidth="1"/>
    <col min="7" max="16384" width="23.83203125" style="1" customWidth="1"/>
  </cols>
  <sheetData>
    <row r="1" spans="1:6" ht="6.75" customHeight="1">
      <c r="A1" s="5"/>
      <c r="B1" s="5"/>
      <c r="C1" s="5"/>
      <c r="D1" s="5"/>
      <c r="E1" s="5"/>
      <c r="F1" s="5"/>
    </row>
    <row r="2" spans="1:6" ht="15.75" customHeight="1">
      <c r="A2" s="305"/>
      <c r="B2" s="234" t="str">
        <f>REVYEAR</f>
        <v>ANALYSIS OF OPERATING FUND REVENUE: 2006/2007 ACTUAL</v>
      </c>
      <c r="C2" s="234"/>
      <c r="D2" s="234"/>
      <c r="E2" s="306"/>
      <c r="F2" s="246" t="s">
        <v>218</v>
      </c>
    </row>
    <row r="3" spans="1:6" ht="15.75" customHeight="1">
      <c r="A3" s="235"/>
      <c r="B3" s="307"/>
      <c r="C3" s="307"/>
      <c r="D3" s="307"/>
      <c r="E3" s="307"/>
      <c r="F3" s="307"/>
    </row>
    <row r="4" ht="15.75" customHeight="1"/>
    <row r="5" spans="2:6" ht="15.75" customHeight="1">
      <c r="B5" s="441" t="str">
        <f>'- 56 -'!B4</f>
        <v>EDUCATION, CITIZENSHIP AND YOUTH</v>
      </c>
      <c r="C5" s="444"/>
      <c r="D5" s="444"/>
      <c r="E5" s="366"/>
      <c r="F5" s="356"/>
    </row>
    <row r="6" spans="2:6" ht="15.75" customHeight="1">
      <c r="B6" s="442" t="s">
        <v>236</v>
      </c>
      <c r="C6" s="445"/>
      <c r="D6" s="445"/>
      <c r="E6" s="437"/>
      <c r="F6" s="443"/>
    </row>
    <row r="7" spans="2:6" ht="15.75" customHeight="1">
      <c r="B7" s="252"/>
      <c r="C7" s="252" t="s">
        <v>436</v>
      </c>
      <c r="D7" s="252" t="s">
        <v>337</v>
      </c>
      <c r="E7" s="252" t="s">
        <v>74</v>
      </c>
      <c r="F7" s="251" t="s">
        <v>238</v>
      </c>
    </row>
    <row r="8" spans="1:6" ht="15.75" customHeight="1">
      <c r="A8" s="39"/>
      <c r="B8" s="254" t="s">
        <v>244</v>
      </c>
      <c r="C8" s="254" t="s">
        <v>244</v>
      </c>
      <c r="D8" s="254" t="s">
        <v>437</v>
      </c>
      <c r="E8" s="254" t="s">
        <v>145</v>
      </c>
      <c r="F8" s="253" t="s">
        <v>239</v>
      </c>
    </row>
    <row r="9" spans="1:6" ht="15.75" customHeight="1">
      <c r="A9" s="92" t="s">
        <v>108</v>
      </c>
      <c r="B9" s="93" t="s">
        <v>438</v>
      </c>
      <c r="C9" s="93" t="s">
        <v>439</v>
      </c>
      <c r="D9" s="93" t="s">
        <v>440</v>
      </c>
      <c r="E9" s="93" t="s">
        <v>441</v>
      </c>
      <c r="F9" s="87" t="s">
        <v>446</v>
      </c>
    </row>
    <row r="10" spans="1:6" ht="4.5" customHeight="1">
      <c r="A10" s="4"/>
      <c r="B10" s="5"/>
      <c r="C10" s="5"/>
      <c r="D10" s="5"/>
      <c r="E10" s="5"/>
      <c r="F10" s="5"/>
    </row>
    <row r="11" spans="1:6" ht="13.5" customHeight="1">
      <c r="A11" s="414" t="s">
        <v>245</v>
      </c>
      <c r="B11" s="412">
        <v>427359</v>
      </c>
      <c r="C11" s="412">
        <v>0</v>
      </c>
      <c r="D11" s="412">
        <v>0</v>
      </c>
      <c r="E11" s="412">
        <v>83002</v>
      </c>
      <c r="F11" s="412">
        <v>6783629</v>
      </c>
    </row>
    <row r="12" spans="1:6" ht="13.5" customHeight="1">
      <c r="A12" s="274" t="s">
        <v>246</v>
      </c>
      <c r="B12" s="172">
        <v>1270289</v>
      </c>
      <c r="C12" s="172">
        <v>0</v>
      </c>
      <c r="D12" s="172">
        <v>36388</v>
      </c>
      <c r="E12" s="172">
        <v>135523</v>
      </c>
      <c r="F12" s="172">
        <v>11971252</v>
      </c>
    </row>
    <row r="13" spans="1:6" ht="13.5" customHeight="1">
      <c r="A13" s="414" t="s">
        <v>247</v>
      </c>
      <c r="B13" s="412">
        <v>2424169</v>
      </c>
      <c r="C13" s="412">
        <v>0</v>
      </c>
      <c r="D13" s="412">
        <v>0</v>
      </c>
      <c r="E13" s="412">
        <v>365960</v>
      </c>
      <c r="F13" s="412">
        <v>28991707</v>
      </c>
    </row>
    <row r="14" spans="1:6" ht="13.5" customHeight="1">
      <c r="A14" s="274" t="s">
        <v>283</v>
      </c>
      <c r="B14" s="172">
        <v>3701835</v>
      </c>
      <c r="C14" s="172">
        <v>94552</v>
      </c>
      <c r="D14" s="172">
        <v>0</v>
      </c>
      <c r="E14" s="172">
        <v>231708</v>
      </c>
      <c r="F14" s="172">
        <v>24637346</v>
      </c>
    </row>
    <row r="15" spans="1:6" ht="13.5" customHeight="1">
      <c r="A15" s="414" t="s">
        <v>248</v>
      </c>
      <c r="B15" s="412">
        <v>0</v>
      </c>
      <c r="C15" s="412">
        <v>0</v>
      </c>
      <c r="D15" s="412">
        <v>0</v>
      </c>
      <c r="E15" s="412">
        <v>78570</v>
      </c>
      <c r="F15" s="412">
        <v>7061103</v>
      </c>
    </row>
    <row r="16" spans="1:6" ht="13.5" customHeight="1">
      <c r="A16" s="274" t="s">
        <v>249</v>
      </c>
      <c r="B16" s="172">
        <v>1302893</v>
      </c>
      <c r="C16" s="172">
        <v>0</v>
      </c>
      <c r="D16" s="172">
        <v>0</v>
      </c>
      <c r="E16" s="172">
        <v>55480</v>
      </c>
      <c r="F16" s="172">
        <v>6403485</v>
      </c>
    </row>
    <row r="17" spans="1:6" ht="13.5" customHeight="1">
      <c r="A17" s="414" t="s">
        <v>250</v>
      </c>
      <c r="B17" s="412">
        <v>227532</v>
      </c>
      <c r="C17" s="412">
        <v>0</v>
      </c>
      <c r="D17" s="412">
        <v>0</v>
      </c>
      <c r="E17" s="412">
        <v>132206</v>
      </c>
      <c r="F17" s="412">
        <v>6840627</v>
      </c>
    </row>
    <row r="18" spans="1:6" ht="13.5" customHeight="1">
      <c r="A18" s="274" t="s">
        <v>251</v>
      </c>
      <c r="B18" s="172">
        <v>6500976</v>
      </c>
      <c r="C18" s="172">
        <v>4012187</v>
      </c>
      <c r="D18" s="172">
        <v>62684</v>
      </c>
      <c r="E18" s="172">
        <v>354828</v>
      </c>
      <c r="F18" s="172">
        <v>29245187</v>
      </c>
    </row>
    <row r="19" spans="1:6" ht="13.5" customHeight="1">
      <c r="A19" s="414" t="s">
        <v>252</v>
      </c>
      <c r="B19" s="412">
        <v>1814581</v>
      </c>
      <c r="C19" s="412">
        <v>0</v>
      </c>
      <c r="D19" s="412">
        <v>0</v>
      </c>
      <c r="E19" s="412">
        <v>128711</v>
      </c>
      <c r="F19" s="412">
        <v>15263449</v>
      </c>
    </row>
    <row r="20" spans="1:6" ht="13.5" customHeight="1">
      <c r="A20" s="274" t="s">
        <v>253</v>
      </c>
      <c r="B20" s="172">
        <v>4223786</v>
      </c>
      <c r="C20" s="172">
        <v>0</v>
      </c>
      <c r="D20" s="172">
        <v>0</v>
      </c>
      <c r="E20" s="172">
        <v>230326</v>
      </c>
      <c r="F20" s="172">
        <v>30274362</v>
      </c>
    </row>
    <row r="21" spans="1:6" ht="13.5" customHeight="1">
      <c r="A21" s="414" t="s">
        <v>254</v>
      </c>
      <c r="B21" s="412">
        <v>1839210</v>
      </c>
      <c r="C21" s="412">
        <v>0</v>
      </c>
      <c r="D21" s="412">
        <v>0</v>
      </c>
      <c r="E21" s="412">
        <v>148833</v>
      </c>
      <c r="F21" s="412">
        <v>15507473</v>
      </c>
    </row>
    <row r="22" spans="1:6" ht="13.5" customHeight="1">
      <c r="A22" s="274" t="s">
        <v>255</v>
      </c>
      <c r="B22" s="172">
        <v>1531796</v>
      </c>
      <c r="C22" s="172">
        <v>331138</v>
      </c>
      <c r="D22" s="172">
        <v>0</v>
      </c>
      <c r="E22" s="172">
        <v>73879</v>
      </c>
      <c r="F22" s="172">
        <v>9981864</v>
      </c>
    </row>
    <row r="23" spans="1:6" ht="13.5" customHeight="1">
      <c r="A23" s="414" t="s">
        <v>256</v>
      </c>
      <c r="B23" s="412">
        <v>910554</v>
      </c>
      <c r="C23" s="412">
        <v>0</v>
      </c>
      <c r="D23" s="412">
        <v>0</v>
      </c>
      <c r="E23" s="412">
        <v>91181</v>
      </c>
      <c r="F23" s="412">
        <v>7500670</v>
      </c>
    </row>
    <row r="24" spans="1:6" ht="13.5" customHeight="1">
      <c r="A24" s="274" t="s">
        <v>257</v>
      </c>
      <c r="B24" s="172">
        <v>1677971</v>
      </c>
      <c r="C24" s="172">
        <v>0</v>
      </c>
      <c r="D24" s="172">
        <v>0</v>
      </c>
      <c r="E24" s="172">
        <v>230171</v>
      </c>
      <c r="F24" s="172">
        <v>21270511</v>
      </c>
    </row>
    <row r="25" spans="1:6" ht="13.5" customHeight="1">
      <c r="A25" s="414" t="s">
        <v>258</v>
      </c>
      <c r="B25" s="412">
        <v>9195169</v>
      </c>
      <c r="C25" s="412">
        <v>49461</v>
      </c>
      <c r="D25" s="412">
        <v>431885</v>
      </c>
      <c r="E25" s="412">
        <v>611004</v>
      </c>
      <c r="F25" s="412">
        <v>65038524</v>
      </c>
    </row>
    <row r="26" spans="1:6" ht="13.5" customHeight="1">
      <c r="A26" s="274" t="s">
        <v>259</v>
      </c>
      <c r="B26" s="172">
        <v>2235967</v>
      </c>
      <c r="C26" s="172">
        <v>41259</v>
      </c>
      <c r="D26" s="172">
        <v>229103</v>
      </c>
      <c r="E26" s="172">
        <v>308991</v>
      </c>
      <c r="F26" s="172">
        <v>17614548</v>
      </c>
    </row>
    <row r="27" spans="1:6" ht="13.5" customHeight="1">
      <c r="A27" s="414" t="s">
        <v>260</v>
      </c>
      <c r="B27" s="412">
        <v>4859014</v>
      </c>
      <c r="C27" s="412">
        <v>2845965</v>
      </c>
      <c r="D27" s="412">
        <v>0</v>
      </c>
      <c r="E27" s="412">
        <v>185427</v>
      </c>
      <c r="F27" s="412">
        <v>21839460</v>
      </c>
    </row>
    <row r="28" spans="1:6" ht="13.5" customHeight="1">
      <c r="A28" s="274" t="s">
        <v>261</v>
      </c>
      <c r="B28" s="172">
        <v>750003</v>
      </c>
      <c r="C28" s="172">
        <v>0</v>
      </c>
      <c r="D28" s="172">
        <v>0</v>
      </c>
      <c r="E28" s="172">
        <v>123794</v>
      </c>
      <c r="F28" s="172">
        <v>9760620</v>
      </c>
    </row>
    <row r="29" spans="1:6" ht="13.5" customHeight="1">
      <c r="A29" s="414" t="s">
        <v>262</v>
      </c>
      <c r="B29" s="412">
        <v>2462088</v>
      </c>
      <c r="C29" s="412">
        <v>0</v>
      </c>
      <c r="D29" s="412">
        <v>0</v>
      </c>
      <c r="E29" s="412">
        <v>443844</v>
      </c>
      <c r="F29" s="412">
        <v>48573514</v>
      </c>
    </row>
    <row r="30" spans="1:6" ht="13.5" customHeight="1">
      <c r="A30" s="274" t="s">
        <v>263</v>
      </c>
      <c r="B30" s="172">
        <v>679686</v>
      </c>
      <c r="C30" s="172">
        <v>0</v>
      </c>
      <c r="D30" s="172">
        <v>0</v>
      </c>
      <c r="E30" s="172">
        <v>95176</v>
      </c>
      <c r="F30" s="172">
        <v>6712531</v>
      </c>
    </row>
    <row r="31" spans="1:6" ht="13.5" customHeight="1">
      <c r="A31" s="414" t="s">
        <v>264</v>
      </c>
      <c r="B31" s="412">
        <v>1566457</v>
      </c>
      <c r="C31" s="412">
        <v>0</v>
      </c>
      <c r="D31" s="412">
        <v>0</v>
      </c>
      <c r="E31" s="412">
        <v>168919</v>
      </c>
      <c r="F31" s="412">
        <v>15552334</v>
      </c>
    </row>
    <row r="32" spans="1:6" ht="13.5" customHeight="1">
      <c r="A32" s="274" t="s">
        <v>265</v>
      </c>
      <c r="B32" s="172">
        <v>435517</v>
      </c>
      <c r="C32" s="172">
        <v>0</v>
      </c>
      <c r="D32" s="172">
        <v>0</v>
      </c>
      <c r="E32" s="172">
        <v>141524</v>
      </c>
      <c r="F32" s="172">
        <v>10684252</v>
      </c>
    </row>
    <row r="33" spans="1:6" ht="13.5" customHeight="1">
      <c r="A33" s="414" t="s">
        <v>266</v>
      </c>
      <c r="B33" s="412">
        <v>1164961</v>
      </c>
      <c r="C33" s="412">
        <v>0</v>
      </c>
      <c r="D33" s="412">
        <v>98140</v>
      </c>
      <c r="E33" s="412">
        <v>190620</v>
      </c>
      <c r="F33" s="412">
        <v>12997309</v>
      </c>
    </row>
    <row r="34" spans="1:6" ht="13.5" customHeight="1">
      <c r="A34" s="274" t="s">
        <v>267</v>
      </c>
      <c r="B34" s="172">
        <v>716611</v>
      </c>
      <c r="C34" s="172">
        <v>0</v>
      </c>
      <c r="D34" s="172">
        <v>57651</v>
      </c>
      <c r="E34" s="172">
        <v>182505</v>
      </c>
      <c r="F34" s="172">
        <v>10628713</v>
      </c>
    </row>
    <row r="35" spans="1:6" ht="13.5" customHeight="1">
      <c r="A35" s="414" t="s">
        <v>268</v>
      </c>
      <c r="B35" s="412">
        <v>12788819</v>
      </c>
      <c r="C35" s="412">
        <v>3164190</v>
      </c>
      <c r="D35" s="412">
        <v>0</v>
      </c>
      <c r="E35" s="412">
        <v>748873</v>
      </c>
      <c r="F35" s="412">
        <v>79182846</v>
      </c>
    </row>
    <row r="36" spans="1:6" ht="13.5" customHeight="1">
      <c r="A36" s="274" t="s">
        <v>269</v>
      </c>
      <c r="B36" s="172">
        <v>730552</v>
      </c>
      <c r="C36" s="172">
        <v>0</v>
      </c>
      <c r="D36" s="172">
        <v>0</v>
      </c>
      <c r="E36" s="172">
        <v>127123</v>
      </c>
      <c r="F36" s="172">
        <v>9354047</v>
      </c>
    </row>
    <row r="37" spans="1:6" ht="13.5" customHeight="1">
      <c r="A37" s="414" t="s">
        <v>270</v>
      </c>
      <c r="B37" s="412">
        <v>2976550</v>
      </c>
      <c r="C37" s="412">
        <v>0</v>
      </c>
      <c r="D37" s="412">
        <v>0</v>
      </c>
      <c r="E37" s="412">
        <v>164887</v>
      </c>
      <c r="F37" s="412">
        <v>18302057</v>
      </c>
    </row>
    <row r="38" spans="1:6" ht="13.5" customHeight="1">
      <c r="A38" s="274" t="s">
        <v>271</v>
      </c>
      <c r="B38" s="172">
        <v>7683181</v>
      </c>
      <c r="C38" s="172">
        <v>2617722</v>
      </c>
      <c r="D38" s="172">
        <v>0</v>
      </c>
      <c r="E38" s="172">
        <v>346792</v>
      </c>
      <c r="F38" s="172">
        <v>42103707</v>
      </c>
    </row>
    <row r="39" spans="1:6" ht="13.5" customHeight="1">
      <c r="A39" s="414" t="s">
        <v>272</v>
      </c>
      <c r="B39" s="412">
        <v>262362</v>
      </c>
      <c r="C39" s="412">
        <v>0</v>
      </c>
      <c r="D39" s="412">
        <v>48256</v>
      </c>
      <c r="E39" s="412">
        <v>107975</v>
      </c>
      <c r="F39" s="412">
        <v>8496716</v>
      </c>
    </row>
    <row r="40" spans="1:6" ht="13.5" customHeight="1">
      <c r="A40" s="274" t="s">
        <v>273</v>
      </c>
      <c r="B40" s="172">
        <v>1276163</v>
      </c>
      <c r="C40" s="172">
        <v>0</v>
      </c>
      <c r="D40" s="172">
        <v>0</v>
      </c>
      <c r="E40" s="172">
        <v>452109</v>
      </c>
      <c r="F40" s="172">
        <v>34762820</v>
      </c>
    </row>
    <row r="41" spans="1:6" ht="13.5" customHeight="1">
      <c r="A41" s="414" t="s">
        <v>274</v>
      </c>
      <c r="B41" s="412">
        <v>1733839</v>
      </c>
      <c r="C41" s="412">
        <v>0</v>
      </c>
      <c r="D41" s="412">
        <v>0</v>
      </c>
      <c r="E41" s="412">
        <v>214671</v>
      </c>
      <c r="F41" s="412">
        <v>22695352</v>
      </c>
    </row>
    <row r="42" spans="1:6" ht="13.5" customHeight="1">
      <c r="A42" s="274" t="s">
        <v>275</v>
      </c>
      <c r="B42" s="172">
        <v>1263057</v>
      </c>
      <c r="C42" s="172">
        <v>358161</v>
      </c>
      <c r="D42" s="172">
        <v>0</v>
      </c>
      <c r="E42" s="172">
        <v>188764</v>
      </c>
      <c r="F42" s="172">
        <v>10026522</v>
      </c>
    </row>
    <row r="43" spans="1:6" ht="13.5" customHeight="1">
      <c r="A43" s="414" t="s">
        <v>276</v>
      </c>
      <c r="B43" s="412">
        <v>356045</v>
      </c>
      <c r="C43" s="412">
        <v>0</v>
      </c>
      <c r="D43" s="412">
        <v>0</v>
      </c>
      <c r="E43" s="412">
        <v>67447</v>
      </c>
      <c r="F43" s="412">
        <v>5358448</v>
      </c>
    </row>
    <row r="44" spans="1:6" ht="13.5" customHeight="1">
      <c r="A44" s="274" t="s">
        <v>277</v>
      </c>
      <c r="B44" s="172">
        <v>619243</v>
      </c>
      <c r="C44" s="172">
        <v>59016</v>
      </c>
      <c r="D44" s="172">
        <v>0</v>
      </c>
      <c r="E44" s="172">
        <v>92643</v>
      </c>
      <c r="F44" s="172">
        <v>5151065</v>
      </c>
    </row>
    <row r="45" spans="1:6" ht="13.5" customHeight="1">
      <c r="A45" s="414" t="s">
        <v>278</v>
      </c>
      <c r="B45" s="412">
        <v>948323</v>
      </c>
      <c r="C45" s="412">
        <v>0</v>
      </c>
      <c r="D45" s="412">
        <v>0</v>
      </c>
      <c r="E45" s="412">
        <v>42870</v>
      </c>
      <c r="F45" s="412">
        <v>6536516</v>
      </c>
    </row>
    <row r="46" spans="1:6" ht="13.5" customHeight="1">
      <c r="A46" s="274" t="s">
        <v>279</v>
      </c>
      <c r="B46" s="172">
        <v>22005577</v>
      </c>
      <c r="C46" s="172">
        <v>1197140</v>
      </c>
      <c r="D46" s="172">
        <v>0</v>
      </c>
      <c r="E46" s="172">
        <v>1316102</v>
      </c>
      <c r="F46" s="172">
        <v>143735543</v>
      </c>
    </row>
    <row r="47" spans="1:6" ht="4.5" customHeight="1">
      <c r="A47" s="151"/>
      <c r="B47" s="173"/>
      <c r="C47" s="173"/>
      <c r="D47" s="173"/>
      <c r="E47" s="173"/>
      <c r="F47" s="173"/>
    </row>
    <row r="48" spans="1:6" ht="13.5" customHeight="1">
      <c r="A48" s="415" t="s">
        <v>280</v>
      </c>
      <c r="B48" s="416">
        <f>SUM(B11:B46)</f>
        <v>104562135</v>
      </c>
      <c r="C48" s="416">
        <f>SUM(C11:C46)</f>
        <v>14770791</v>
      </c>
      <c r="D48" s="416">
        <f>SUM(D11:D46)</f>
        <v>964107</v>
      </c>
      <c r="E48" s="416">
        <f>SUM(E11:E46)</f>
        <v>8662438</v>
      </c>
      <c r="F48" s="416">
        <f>SUM(F11:F46)</f>
        <v>826840109</v>
      </c>
    </row>
    <row r="49" spans="1:6" ht="4.5" customHeight="1">
      <c r="A49" s="151" t="s">
        <v>32</v>
      </c>
      <c r="B49" s="173"/>
      <c r="C49" s="173"/>
      <c r="D49" s="173"/>
      <c r="E49" s="173"/>
      <c r="F49" s="173"/>
    </row>
    <row r="50" spans="1:6" ht="13.5" customHeight="1">
      <c r="A50" s="274" t="s">
        <v>281</v>
      </c>
      <c r="B50" s="172">
        <v>0</v>
      </c>
      <c r="C50" s="172">
        <v>0</v>
      </c>
      <c r="D50" s="172">
        <v>0</v>
      </c>
      <c r="E50" s="172">
        <v>9293</v>
      </c>
      <c r="F50" s="172">
        <v>860069</v>
      </c>
    </row>
    <row r="51" spans="1:6" ht="13.5" customHeight="1">
      <c r="A51" s="414" t="s">
        <v>282</v>
      </c>
      <c r="B51" s="412">
        <v>0</v>
      </c>
      <c r="C51" s="412">
        <v>0</v>
      </c>
      <c r="D51" s="412">
        <v>0</v>
      </c>
      <c r="E51" s="412">
        <v>36974</v>
      </c>
      <c r="F51" s="412">
        <v>36974</v>
      </c>
    </row>
    <row r="52" spans="1:6" ht="49.5" customHeight="1">
      <c r="A52" s="29"/>
      <c r="B52" s="29"/>
      <c r="C52" s="29"/>
      <c r="D52" s="29"/>
      <c r="E52" s="29"/>
      <c r="F52" s="29"/>
    </row>
    <row r="53" spans="1:6" ht="15" customHeight="1">
      <c r="A53" s="271" t="s">
        <v>19</v>
      </c>
      <c r="B53" s="44"/>
      <c r="C53" s="44"/>
      <c r="D53" s="44"/>
      <c r="E53" s="44"/>
      <c r="F53" s="44"/>
    </row>
    <row r="54" spans="1:6" ht="12" customHeight="1">
      <c r="A54" s="151" t="s">
        <v>20</v>
      </c>
      <c r="B54" s="44"/>
      <c r="C54" s="44"/>
      <c r="D54" s="44"/>
      <c r="E54" s="44"/>
      <c r="F54" s="44"/>
    </row>
    <row r="55" ht="12">
      <c r="A55" s="271" t="s">
        <v>442</v>
      </c>
    </row>
    <row r="56" ht="12">
      <c r="A56" s="151" t="s">
        <v>443</v>
      </c>
    </row>
    <row r="57" ht="12">
      <c r="A57" s="2" t="s">
        <v>444</v>
      </c>
    </row>
    <row r="58" ht="12">
      <c r="A58" s="126" t="s">
        <v>445</v>
      </c>
    </row>
    <row r="59" ht="12">
      <c r="A59" s="2" t="s">
        <v>447</v>
      </c>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sheetPr codeName="Sheet611">
    <pageSetUpPr fitToPage="1"/>
  </sheetPr>
  <dimension ref="A1:G64"/>
  <sheetViews>
    <sheetView showGridLines="0" showZeros="0" workbookViewId="0" topLeftCell="A1">
      <selection activeCell="A1" sqref="A1"/>
    </sheetView>
  </sheetViews>
  <sheetFormatPr defaultColWidth="14.83203125" defaultRowHeight="12"/>
  <cols>
    <col min="1" max="1" width="27.83203125" style="1" customWidth="1"/>
    <col min="2" max="2" width="15.83203125" style="1" customWidth="1"/>
    <col min="3" max="3" width="17.83203125" style="1" customWidth="1"/>
    <col min="4" max="4" width="19.83203125" style="1" customWidth="1"/>
    <col min="5" max="7" width="17.83203125" style="1" customWidth="1"/>
    <col min="8" max="16384" width="14.83203125" style="1" customWidth="1"/>
  </cols>
  <sheetData>
    <row r="1" spans="1:4" ht="6.75" customHeight="1">
      <c r="A1" s="5"/>
      <c r="B1" s="6"/>
      <c r="C1" s="6"/>
      <c r="D1" s="6"/>
    </row>
    <row r="2" spans="1:7" ht="18" customHeight="1">
      <c r="A2" s="290"/>
      <c r="B2" s="290" t="s">
        <v>505</v>
      </c>
      <c r="C2" s="195"/>
      <c r="D2" s="195"/>
      <c r="E2" s="195"/>
      <c r="F2" s="195"/>
      <c r="G2" s="475" t="s">
        <v>339</v>
      </c>
    </row>
    <row r="3" spans="1:7" ht="3.75" customHeight="1">
      <c r="A3" s="291"/>
      <c r="B3" s="292"/>
      <c r="C3" s="292"/>
      <c r="D3" s="292"/>
      <c r="E3" s="292"/>
      <c r="F3" s="292"/>
      <c r="G3" s="301"/>
    </row>
    <row r="4" spans="1:7" ht="13.5" customHeight="1">
      <c r="A4" s="302"/>
      <c r="B4" s="446" t="s">
        <v>504</v>
      </c>
      <c r="C4" s="447"/>
      <c r="D4" s="447"/>
      <c r="E4" s="447"/>
      <c r="F4" s="447"/>
      <c r="G4" s="448"/>
    </row>
    <row r="5" spans="1:7" ht="12.75" customHeight="1">
      <c r="A5" s="303"/>
      <c r="B5" s="296"/>
      <c r="C5" s="296"/>
      <c r="D5" s="296"/>
      <c r="E5" s="296"/>
      <c r="F5" s="296" t="s">
        <v>340</v>
      </c>
      <c r="G5" s="296"/>
    </row>
    <row r="6" spans="1:7" ht="12.75" customHeight="1">
      <c r="A6" s="294"/>
      <c r="B6" s="296"/>
      <c r="C6" s="296"/>
      <c r="D6" s="296"/>
      <c r="E6" s="296"/>
      <c r="F6" s="296" t="s">
        <v>341</v>
      </c>
      <c r="G6" s="296"/>
    </row>
    <row r="7" spans="1:7" ht="12.75" customHeight="1">
      <c r="A7" s="294"/>
      <c r="B7" s="296"/>
      <c r="C7" s="296" t="s">
        <v>342</v>
      </c>
      <c r="D7" s="296"/>
      <c r="E7" s="296" t="s">
        <v>344</v>
      </c>
      <c r="F7" s="296" t="s">
        <v>198</v>
      </c>
      <c r="G7" s="296"/>
    </row>
    <row r="8" spans="1:7" ht="12.75" customHeight="1">
      <c r="A8" s="294"/>
      <c r="B8" s="296"/>
      <c r="C8" s="296" t="s">
        <v>343</v>
      </c>
      <c r="D8" s="296"/>
      <c r="E8" s="296" t="s">
        <v>81</v>
      </c>
      <c r="F8" s="296" t="s">
        <v>345</v>
      </c>
      <c r="G8" s="296"/>
    </row>
    <row r="9" spans="1:7" ht="12.75" customHeight="1">
      <c r="A9" s="294"/>
      <c r="B9" s="296" t="s">
        <v>200</v>
      </c>
      <c r="C9" s="296" t="s">
        <v>166</v>
      </c>
      <c r="D9" s="296" t="s">
        <v>52</v>
      </c>
      <c r="E9" s="296" t="s">
        <v>350</v>
      </c>
      <c r="F9" s="296" t="s">
        <v>346</v>
      </c>
      <c r="G9" s="296" t="s">
        <v>83</v>
      </c>
    </row>
    <row r="10" spans="1:7" ht="12.75" customHeight="1">
      <c r="A10" s="19"/>
      <c r="B10" s="296" t="s">
        <v>347</v>
      </c>
      <c r="C10" s="296" t="s">
        <v>348</v>
      </c>
      <c r="D10" s="296" t="s">
        <v>349</v>
      </c>
      <c r="E10" s="296" t="s">
        <v>25</v>
      </c>
      <c r="F10" s="296" t="s">
        <v>351</v>
      </c>
      <c r="G10" s="296" t="s">
        <v>352</v>
      </c>
    </row>
    <row r="11" spans="1:7" ht="12.75" customHeight="1">
      <c r="A11" s="21" t="s">
        <v>108</v>
      </c>
      <c r="B11" s="319" t="s">
        <v>326</v>
      </c>
      <c r="C11" s="319" t="s">
        <v>353</v>
      </c>
      <c r="D11" s="319" t="s">
        <v>354</v>
      </c>
      <c r="E11" s="319" t="s">
        <v>24</v>
      </c>
      <c r="F11" s="505" t="s">
        <v>286</v>
      </c>
      <c r="G11" s="505" t="s">
        <v>286</v>
      </c>
    </row>
    <row r="12" spans="1:5" ht="4.5" customHeight="1">
      <c r="A12" s="24"/>
      <c r="C12" s="289"/>
      <c r="D12" s="237"/>
      <c r="E12" s="5"/>
    </row>
    <row r="13" spans="1:7" ht="13.5" customHeight="1">
      <c r="A13" s="414" t="s">
        <v>245</v>
      </c>
      <c r="B13" s="412">
        <v>470949</v>
      </c>
      <c r="C13" s="412">
        <v>0</v>
      </c>
      <c r="D13" s="412">
        <v>48289</v>
      </c>
      <c r="E13" s="412">
        <f>'- 32 -'!B11</f>
        <v>51048</v>
      </c>
      <c r="F13" s="412">
        <v>-20111</v>
      </c>
      <c r="G13" s="412">
        <f>SUM(B13:F13)</f>
        <v>550175</v>
      </c>
    </row>
    <row r="14" spans="1:7" ht="13.5" customHeight="1">
      <c r="A14" s="274" t="s">
        <v>246</v>
      </c>
      <c r="B14" s="172">
        <v>701250</v>
      </c>
      <c r="C14" s="172">
        <v>0</v>
      </c>
      <c r="D14" s="172">
        <v>73923</v>
      </c>
      <c r="E14" s="172">
        <f>'- 32 -'!B12</f>
        <v>58663</v>
      </c>
      <c r="F14" s="172">
        <v>-32770</v>
      </c>
      <c r="G14" s="172">
        <f>SUM(B14:F14)</f>
        <v>801066</v>
      </c>
    </row>
    <row r="15" spans="1:7" ht="13.5" customHeight="1">
      <c r="A15" s="414" t="s">
        <v>247</v>
      </c>
      <c r="B15" s="412">
        <v>1783309</v>
      </c>
      <c r="C15" s="412">
        <v>0</v>
      </c>
      <c r="D15" s="412">
        <v>104904</v>
      </c>
      <c r="E15" s="412">
        <f>'- 32 -'!B13</f>
        <v>189033</v>
      </c>
      <c r="F15" s="412">
        <v>-39072</v>
      </c>
      <c r="G15" s="412">
        <f>SUM(B15:F15)</f>
        <v>2038174</v>
      </c>
    </row>
    <row r="16" spans="1:7" ht="13.5" customHeight="1">
      <c r="A16" s="274" t="s">
        <v>283</v>
      </c>
      <c r="B16" s="172"/>
      <c r="C16" s="172"/>
      <c r="D16" s="172"/>
      <c r="E16" s="172"/>
      <c r="F16" s="172"/>
      <c r="G16" s="172"/>
    </row>
    <row r="17" spans="1:7" ht="13.5" customHeight="1">
      <c r="A17" s="414" t="s">
        <v>248</v>
      </c>
      <c r="B17" s="412">
        <v>548036</v>
      </c>
      <c r="C17" s="412">
        <v>0</v>
      </c>
      <c r="D17" s="412">
        <v>54805</v>
      </c>
      <c r="E17" s="412">
        <f>'- 32 -'!B15</f>
        <v>55734</v>
      </c>
      <c r="F17" s="412">
        <v>-22650</v>
      </c>
      <c r="G17" s="412">
        <f>SUM(B17:F17)</f>
        <v>635925</v>
      </c>
    </row>
    <row r="18" spans="1:7" ht="13.5" customHeight="1">
      <c r="A18" s="274" t="s">
        <v>249</v>
      </c>
      <c r="B18" s="172">
        <v>550663</v>
      </c>
      <c r="C18" s="172">
        <v>0</v>
      </c>
      <c r="D18" s="172">
        <v>0</v>
      </c>
      <c r="E18" s="172">
        <f>'- 32 -'!B16</f>
        <v>62089</v>
      </c>
      <c r="F18" s="172">
        <v>-20682</v>
      </c>
      <c r="G18" s="172">
        <f>SUM(B18:F18)</f>
        <v>592070</v>
      </c>
    </row>
    <row r="19" spans="1:7" ht="13.5" customHeight="1">
      <c r="A19" s="414" t="s">
        <v>250</v>
      </c>
      <c r="B19" s="412">
        <v>501999</v>
      </c>
      <c r="C19" s="412">
        <v>0</v>
      </c>
      <c r="D19" s="412">
        <v>44020</v>
      </c>
      <c r="E19" s="412">
        <f>'- 32 -'!B17</f>
        <v>61976</v>
      </c>
      <c r="F19" s="412">
        <v>-22912</v>
      </c>
      <c r="G19" s="412">
        <f>SUM(B19:F19)</f>
        <v>585083</v>
      </c>
    </row>
    <row r="20" spans="1:7" ht="13.5" customHeight="1">
      <c r="A20" s="274" t="s">
        <v>251</v>
      </c>
      <c r="B20" s="172"/>
      <c r="C20" s="172"/>
      <c r="D20" s="172"/>
      <c r="E20" s="172"/>
      <c r="F20" s="172"/>
      <c r="G20" s="172"/>
    </row>
    <row r="21" spans="1:7" ht="13.5" customHeight="1">
      <c r="A21" s="414" t="s">
        <v>252</v>
      </c>
      <c r="B21" s="412">
        <v>836183</v>
      </c>
      <c r="C21" s="412">
        <v>0</v>
      </c>
      <c r="D21" s="412">
        <v>31102</v>
      </c>
      <c r="E21" s="412">
        <f>'- 32 -'!B19</f>
        <v>90449</v>
      </c>
      <c r="F21" s="412">
        <v>-26505</v>
      </c>
      <c r="G21" s="412">
        <f aca="true" t="shared" si="0" ref="G21:G48">SUM(B21:F21)</f>
        <v>931229</v>
      </c>
    </row>
    <row r="22" spans="1:7" ht="13.5" customHeight="1">
      <c r="A22" s="274" t="s">
        <v>253</v>
      </c>
      <c r="B22" s="172">
        <v>1282669</v>
      </c>
      <c r="C22" s="172">
        <v>13065</v>
      </c>
      <c r="D22" s="172">
        <v>143982</v>
      </c>
      <c r="E22" s="172">
        <f>'- 32 -'!B20</f>
        <v>108017</v>
      </c>
      <c r="F22" s="172">
        <v>-51732</v>
      </c>
      <c r="G22" s="172">
        <f t="shared" si="0"/>
        <v>1496001</v>
      </c>
    </row>
    <row r="23" spans="1:7" ht="13.5" customHeight="1">
      <c r="A23" s="414" t="s">
        <v>254</v>
      </c>
      <c r="B23" s="412">
        <v>990383</v>
      </c>
      <c r="C23" s="412">
        <v>0</v>
      </c>
      <c r="D23" s="412">
        <v>126053</v>
      </c>
      <c r="E23" s="412">
        <f>'- 32 -'!B21</f>
        <v>152621</v>
      </c>
      <c r="F23" s="412">
        <v>-34105</v>
      </c>
      <c r="G23" s="412">
        <f t="shared" si="0"/>
        <v>1234952</v>
      </c>
    </row>
    <row r="24" spans="1:7" ht="13.5" customHeight="1">
      <c r="A24" s="274" t="s">
        <v>255</v>
      </c>
      <c r="B24" s="172">
        <v>557741</v>
      </c>
      <c r="C24" s="172">
        <v>15640</v>
      </c>
      <c r="D24" s="172">
        <v>58058</v>
      </c>
      <c r="E24" s="172">
        <f>'- 32 -'!B22</f>
        <v>61766</v>
      </c>
      <c r="F24" s="172">
        <v>-29219</v>
      </c>
      <c r="G24" s="172">
        <f t="shared" si="0"/>
        <v>663986</v>
      </c>
    </row>
    <row r="25" spans="1:7" ht="13.5" customHeight="1">
      <c r="A25" s="414" t="s">
        <v>256</v>
      </c>
      <c r="B25" s="412">
        <v>434448</v>
      </c>
      <c r="C25" s="412">
        <v>0</v>
      </c>
      <c r="D25" s="412">
        <v>52027</v>
      </c>
      <c r="E25" s="412">
        <f>'- 32 -'!B23</f>
        <v>45954</v>
      </c>
      <c r="F25" s="412">
        <v>-21730</v>
      </c>
      <c r="G25" s="412">
        <f t="shared" si="0"/>
        <v>510699</v>
      </c>
    </row>
    <row r="26" spans="1:7" ht="13.5" customHeight="1">
      <c r="A26" s="274" t="s">
        <v>257</v>
      </c>
      <c r="B26" s="172">
        <v>1212096</v>
      </c>
      <c r="C26" s="172">
        <v>0</v>
      </c>
      <c r="D26" s="172">
        <v>127104</v>
      </c>
      <c r="E26" s="172">
        <f>'- 32 -'!B24</f>
        <v>147696</v>
      </c>
      <c r="F26" s="172">
        <v>-38782</v>
      </c>
      <c r="G26" s="172">
        <f t="shared" si="0"/>
        <v>1448114</v>
      </c>
    </row>
    <row r="27" spans="1:7" ht="13.5" customHeight="1">
      <c r="A27" s="414" t="s">
        <v>258</v>
      </c>
      <c r="B27" s="412">
        <v>4292200</v>
      </c>
      <c r="C27" s="412">
        <v>0</v>
      </c>
      <c r="D27" s="412">
        <v>217175</v>
      </c>
      <c r="E27" s="412">
        <f>'- 32 -'!B25</f>
        <v>523605</v>
      </c>
      <c r="F27" s="412">
        <v>-160314</v>
      </c>
      <c r="G27" s="412">
        <f t="shared" si="0"/>
        <v>4872666</v>
      </c>
    </row>
    <row r="28" spans="1:7" ht="13.5" customHeight="1">
      <c r="A28" s="274" t="s">
        <v>259</v>
      </c>
      <c r="B28" s="172">
        <v>911447</v>
      </c>
      <c r="C28" s="172">
        <v>7962</v>
      </c>
      <c r="D28" s="172">
        <v>111630</v>
      </c>
      <c r="E28" s="172">
        <f>'- 32 -'!B26</f>
        <v>118112</v>
      </c>
      <c r="F28" s="172">
        <v>-38634</v>
      </c>
      <c r="G28" s="172">
        <f t="shared" si="0"/>
        <v>1110517</v>
      </c>
    </row>
    <row r="29" spans="1:7" ht="13.5" customHeight="1">
      <c r="A29" s="414" t="s">
        <v>260</v>
      </c>
      <c r="B29" s="412">
        <v>1511860</v>
      </c>
      <c r="C29" s="412">
        <v>50792</v>
      </c>
      <c r="D29" s="412">
        <v>0</v>
      </c>
      <c r="E29" s="412">
        <f>'- 32 -'!B27</f>
        <v>168989</v>
      </c>
      <c r="F29" s="412">
        <v>-51210</v>
      </c>
      <c r="G29" s="412">
        <f t="shared" si="0"/>
        <v>1680431</v>
      </c>
    </row>
    <row r="30" spans="1:7" ht="13.5" customHeight="1">
      <c r="A30" s="274" t="s">
        <v>261</v>
      </c>
      <c r="B30" s="172">
        <v>667368</v>
      </c>
      <c r="C30" s="172">
        <v>0</v>
      </c>
      <c r="D30" s="172">
        <v>47327</v>
      </c>
      <c r="E30" s="172">
        <f>'- 32 -'!B28</f>
        <v>48324</v>
      </c>
      <c r="F30" s="172">
        <v>-9787</v>
      </c>
      <c r="G30" s="172">
        <f t="shared" si="0"/>
        <v>753232</v>
      </c>
    </row>
    <row r="31" spans="1:7" ht="13.5" customHeight="1">
      <c r="A31" s="414" t="s">
        <v>262</v>
      </c>
      <c r="B31" s="412">
        <v>3834296</v>
      </c>
      <c r="C31" s="412">
        <v>275548</v>
      </c>
      <c r="D31" s="412">
        <v>158617</v>
      </c>
      <c r="E31" s="412">
        <f>'- 32 -'!B29</f>
        <v>703604</v>
      </c>
      <c r="F31" s="412">
        <v>-588845</v>
      </c>
      <c r="G31" s="412">
        <f t="shared" si="0"/>
        <v>4383220</v>
      </c>
    </row>
    <row r="32" spans="1:7" ht="13.5" customHeight="1">
      <c r="A32" s="274" t="s">
        <v>263</v>
      </c>
      <c r="B32" s="172">
        <v>443969</v>
      </c>
      <c r="C32" s="172">
        <v>0</v>
      </c>
      <c r="D32" s="172">
        <v>44042</v>
      </c>
      <c r="E32" s="172">
        <f>'- 32 -'!B30</f>
        <v>41754</v>
      </c>
      <c r="F32" s="172">
        <v>-20147</v>
      </c>
      <c r="G32" s="172">
        <f t="shared" si="0"/>
        <v>509618</v>
      </c>
    </row>
    <row r="33" spans="1:7" ht="13.5" customHeight="1">
      <c r="A33" s="414" t="s">
        <v>264</v>
      </c>
      <c r="B33" s="412">
        <v>870440</v>
      </c>
      <c r="C33" s="412">
        <v>0</v>
      </c>
      <c r="D33" s="412">
        <v>59722</v>
      </c>
      <c r="E33" s="412">
        <f>'- 32 -'!B31</f>
        <v>161088</v>
      </c>
      <c r="F33" s="412">
        <v>-40594</v>
      </c>
      <c r="G33" s="412">
        <f t="shared" si="0"/>
        <v>1050656</v>
      </c>
    </row>
    <row r="34" spans="1:7" ht="13.5" customHeight="1">
      <c r="A34" s="274" t="s">
        <v>265</v>
      </c>
      <c r="B34" s="172">
        <v>797240</v>
      </c>
      <c r="C34" s="172">
        <v>0</v>
      </c>
      <c r="D34" s="172">
        <v>41448</v>
      </c>
      <c r="E34" s="172">
        <f>'- 32 -'!B32</f>
        <v>39356</v>
      </c>
      <c r="F34" s="172">
        <v>-26984</v>
      </c>
      <c r="G34" s="172">
        <f t="shared" si="0"/>
        <v>851060</v>
      </c>
    </row>
    <row r="35" spans="1:7" ht="13.5" customHeight="1">
      <c r="A35" s="414" t="s">
        <v>266</v>
      </c>
      <c r="B35" s="412">
        <v>933388</v>
      </c>
      <c r="C35" s="412">
        <v>28285</v>
      </c>
      <c r="D35" s="412">
        <v>56816</v>
      </c>
      <c r="E35" s="412">
        <f>'- 32 -'!B33</f>
        <v>71956</v>
      </c>
      <c r="F35" s="412">
        <v>-63581</v>
      </c>
      <c r="G35" s="412">
        <f t="shared" si="0"/>
        <v>1026864</v>
      </c>
    </row>
    <row r="36" spans="1:7" ht="13.5" customHeight="1">
      <c r="A36" s="274" t="s">
        <v>267</v>
      </c>
      <c r="B36" s="172">
        <v>783211</v>
      </c>
      <c r="C36" s="172">
        <v>5537</v>
      </c>
      <c r="D36" s="172">
        <v>38888</v>
      </c>
      <c r="E36" s="172">
        <f>'- 32 -'!B34</f>
        <v>51108</v>
      </c>
      <c r="F36" s="172">
        <v>-37789</v>
      </c>
      <c r="G36" s="172">
        <f t="shared" si="0"/>
        <v>840955</v>
      </c>
    </row>
    <row r="37" spans="1:7" ht="13.5" customHeight="1">
      <c r="A37" s="414" t="s">
        <v>268</v>
      </c>
      <c r="B37" s="412">
        <v>4136873</v>
      </c>
      <c r="C37" s="412">
        <v>262806</v>
      </c>
      <c r="D37" s="412">
        <v>290498</v>
      </c>
      <c r="E37" s="412">
        <f>'- 32 -'!B35</f>
        <v>681247</v>
      </c>
      <c r="F37" s="412">
        <v>-308940</v>
      </c>
      <c r="G37" s="412">
        <f t="shared" si="0"/>
        <v>5062484</v>
      </c>
    </row>
    <row r="38" spans="1:7" ht="13.5" customHeight="1">
      <c r="A38" s="274" t="s">
        <v>269</v>
      </c>
      <c r="B38" s="172">
        <v>695850</v>
      </c>
      <c r="C38" s="172">
        <v>34362</v>
      </c>
      <c r="D38" s="172">
        <v>47065</v>
      </c>
      <c r="E38" s="172">
        <f>'- 32 -'!B36</f>
        <v>49796</v>
      </c>
      <c r="F38" s="172">
        <v>-27232</v>
      </c>
      <c r="G38" s="172">
        <f t="shared" si="0"/>
        <v>799841</v>
      </c>
    </row>
    <row r="39" spans="1:7" ht="13.5" customHeight="1">
      <c r="A39" s="414" t="s">
        <v>270</v>
      </c>
      <c r="B39" s="412">
        <v>1218143</v>
      </c>
      <c r="C39" s="412">
        <v>0</v>
      </c>
      <c r="D39" s="412">
        <v>131440</v>
      </c>
      <c r="E39" s="412">
        <f>'- 32 -'!B37</f>
        <v>82786</v>
      </c>
      <c r="F39" s="412">
        <v>-33146</v>
      </c>
      <c r="G39" s="412">
        <f t="shared" si="0"/>
        <v>1399223</v>
      </c>
    </row>
    <row r="40" spans="1:7" ht="13.5" customHeight="1">
      <c r="A40" s="274" t="s">
        <v>271</v>
      </c>
      <c r="B40" s="172">
        <v>2526995</v>
      </c>
      <c r="C40" s="172">
        <v>62558</v>
      </c>
      <c r="D40" s="172">
        <v>173057</v>
      </c>
      <c r="E40" s="172">
        <f>'- 32 -'!B38</f>
        <v>335768</v>
      </c>
      <c r="F40" s="172">
        <v>-34765</v>
      </c>
      <c r="G40" s="172">
        <f t="shared" si="0"/>
        <v>3063613</v>
      </c>
    </row>
    <row r="41" spans="1:7" ht="13.5" customHeight="1">
      <c r="A41" s="414" t="s">
        <v>272</v>
      </c>
      <c r="B41" s="412">
        <v>616557</v>
      </c>
      <c r="C41" s="412">
        <v>0</v>
      </c>
      <c r="D41" s="412">
        <v>53489</v>
      </c>
      <c r="E41" s="412">
        <f>'- 32 -'!B39</f>
        <v>50554</v>
      </c>
      <c r="F41" s="412">
        <v>-13545</v>
      </c>
      <c r="G41" s="412">
        <f t="shared" si="0"/>
        <v>707055</v>
      </c>
    </row>
    <row r="42" spans="1:7" ht="13.5" customHeight="1">
      <c r="A42" s="274" t="s">
        <v>273</v>
      </c>
      <c r="B42" s="172">
        <v>2808837</v>
      </c>
      <c r="C42" s="172">
        <v>0</v>
      </c>
      <c r="D42" s="172">
        <v>87965</v>
      </c>
      <c r="E42" s="172">
        <f>'- 32 -'!B40</f>
        <v>277956</v>
      </c>
      <c r="F42" s="172">
        <v>-201967</v>
      </c>
      <c r="G42" s="172">
        <f t="shared" si="0"/>
        <v>2972791</v>
      </c>
    </row>
    <row r="43" spans="1:7" ht="13.5" customHeight="1">
      <c r="A43" s="414" t="s">
        <v>274</v>
      </c>
      <c r="B43" s="412">
        <v>1755571</v>
      </c>
      <c r="C43" s="412">
        <v>30637</v>
      </c>
      <c r="D43" s="412">
        <v>260436</v>
      </c>
      <c r="E43" s="412">
        <f>'- 32 -'!B41</f>
        <v>202969</v>
      </c>
      <c r="F43" s="412">
        <v>-202516</v>
      </c>
      <c r="G43" s="412">
        <f t="shared" si="0"/>
        <v>2047097</v>
      </c>
    </row>
    <row r="44" spans="1:7" ht="13.5" customHeight="1">
      <c r="A44" s="274" t="s">
        <v>275</v>
      </c>
      <c r="B44" s="172">
        <v>645465</v>
      </c>
      <c r="C44" s="172">
        <v>10809</v>
      </c>
      <c r="D44" s="172">
        <v>66446</v>
      </c>
      <c r="E44" s="172">
        <f>'- 32 -'!B42</f>
        <v>56792</v>
      </c>
      <c r="F44" s="172">
        <v>-21780</v>
      </c>
      <c r="G44" s="172">
        <f t="shared" si="0"/>
        <v>757732</v>
      </c>
    </row>
    <row r="45" spans="1:7" ht="13.5" customHeight="1">
      <c r="A45" s="414" t="s">
        <v>276</v>
      </c>
      <c r="B45" s="412">
        <v>516185</v>
      </c>
      <c r="C45" s="412">
        <v>0</v>
      </c>
      <c r="D45" s="412">
        <v>11311</v>
      </c>
      <c r="E45" s="412">
        <f>'- 32 -'!B43</f>
        <v>41717</v>
      </c>
      <c r="F45" s="412">
        <v>-18046</v>
      </c>
      <c r="G45" s="412">
        <f t="shared" si="0"/>
        <v>551167</v>
      </c>
    </row>
    <row r="46" spans="1:7" ht="13.5" customHeight="1">
      <c r="A46" s="274" t="s">
        <v>277</v>
      </c>
      <c r="B46" s="172">
        <v>314618</v>
      </c>
      <c r="C46" s="172">
        <v>0</v>
      </c>
      <c r="D46" s="172">
        <v>21164</v>
      </c>
      <c r="E46" s="172">
        <f>'- 32 -'!B44</f>
        <v>19663</v>
      </c>
      <c r="F46" s="172">
        <v>-12655</v>
      </c>
      <c r="G46" s="172">
        <f t="shared" si="0"/>
        <v>342790</v>
      </c>
    </row>
    <row r="47" spans="1:7" ht="13.5" customHeight="1">
      <c r="A47" s="414" t="s">
        <v>278</v>
      </c>
      <c r="B47" s="412">
        <v>429379</v>
      </c>
      <c r="C47" s="412">
        <v>20193</v>
      </c>
      <c r="D47" s="412">
        <v>22575</v>
      </c>
      <c r="E47" s="412">
        <f>'- 32 -'!B45</f>
        <v>69003</v>
      </c>
      <c r="F47" s="412">
        <v>-18893</v>
      </c>
      <c r="G47" s="412">
        <f t="shared" si="0"/>
        <v>522257</v>
      </c>
    </row>
    <row r="48" spans="1:7" ht="13.5" customHeight="1">
      <c r="A48" s="274" t="s">
        <v>279</v>
      </c>
      <c r="B48" s="172">
        <v>7866218</v>
      </c>
      <c r="C48" s="172">
        <v>156998</v>
      </c>
      <c r="D48" s="172">
        <v>238931</v>
      </c>
      <c r="E48" s="172">
        <f>'- 32 -'!B46</f>
        <v>1060738</v>
      </c>
      <c r="F48" s="172">
        <v>-162000</v>
      </c>
      <c r="G48" s="172">
        <f t="shared" si="0"/>
        <v>9160885</v>
      </c>
    </row>
    <row r="49" spans="1:7" ht="4.5" customHeight="1">
      <c r="A49" s="151"/>
      <c r="B49" s="173"/>
      <c r="C49" s="173"/>
      <c r="D49" s="173"/>
      <c r="E49" s="173"/>
      <c r="F49" s="173"/>
      <c r="G49" s="173"/>
    </row>
    <row r="50" spans="1:7" ht="13.5" customHeight="1">
      <c r="A50" s="415" t="s">
        <v>280</v>
      </c>
      <c r="B50" s="416">
        <f aca="true" t="shared" si="1" ref="B50:G50">SUM(B13:B48)</f>
        <v>48445836</v>
      </c>
      <c r="C50" s="416">
        <f t="shared" si="1"/>
        <v>975192</v>
      </c>
      <c r="D50" s="416">
        <f t="shared" si="1"/>
        <v>3044309</v>
      </c>
      <c r="E50" s="416">
        <f t="shared" si="1"/>
        <v>5941931</v>
      </c>
      <c r="F50" s="416">
        <f t="shared" si="1"/>
        <v>-2453640</v>
      </c>
      <c r="G50" s="416">
        <f t="shared" si="1"/>
        <v>55953628</v>
      </c>
    </row>
    <row r="51" spans="1:7" ht="4.5" customHeight="1">
      <c r="A51" s="151" t="s">
        <v>32</v>
      </c>
      <c r="B51" s="173"/>
      <c r="C51" s="173"/>
      <c r="D51" s="173"/>
      <c r="E51" s="173"/>
      <c r="F51" s="173"/>
      <c r="G51" s="173"/>
    </row>
    <row r="52" spans="1:7" ht="13.5" customHeight="1">
      <c r="A52" s="274" t="s">
        <v>281</v>
      </c>
      <c r="B52" s="172">
        <v>107050</v>
      </c>
      <c r="C52" s="172">
        <v>0</v>
      </c>
      <c r="D52" s="172">
        <v>0</v>
      </c>
      <c r="E52" s="172">
        <f>'- 32 -'!B50</f>
        <v>5054</v>
      </c>
      <c r="F52" s="172">
        <v>-1687</v>
      </c>
      <c r="G52" s="172">
        <f>SUM(B52:F52)</f>
        <v>110417</v>
      </c>
    </row>
    <row r="53" spans="1:7" ht="14.25" customHeight="1">
      <c r="A53" s="29"/>
      <c r="B53" s="29"/>
      <c r="C53" s="29"/>
      <c r="D53" s="29"/>
      <c r="E53" s="29"/>
      <c r="F53" s="29"/>
      <c r="G53" s="29"/>
    </row>
    <row r="54" spans="1:7" ht="14.25" customHeight="1">
      <c r="A54" s="320" t="s">
        <v>591</v>
      </c>
      <c r="B54" s="304"/>
      <c r="C54" s="304"/>
      <c r="D54" s="304"/>
      <c r="E54" s="304"/>
      <c r="F54" s="304"/>
      <c r="G54" s="304"/>
    </row>
    <row r="55" spans="1:7" ht="12" customHeight="1">
      <c r="A55" s="299" t="s">
        <v>592</v>
      </c>
      <c r="B55" s="304"/>
      <c r="C55" s="304"/>
      <c r="D55" s="304"/>
      <c r="E55" s="304"/>
      <c r="F55" s="304"/>
      <c r="G55" s="304"/>
    </row>
    <row r="56" spans="1:4" ht="12" customHeight="1">
      <c r="A56" s="31" t="s">
        <v>593</v>
      </c>
      <c r="B56" s="44"/>
      <c r="C56" s="44"/>
      <c r="D56" s="44"/>
    </row>
    <row r="57" spans="1:4" ht="12" customHeight="1">
      <c r="A57" s="31" t="s">
        <v>594</v>
      </c>
      <c r="B57" s="44"/>
      <c r="C57" s="44"/>
      <c r="D57" s="44"/>
    </row>
    <row r="58" spans="1:4" ht="12" customHeight="1">
      <c r="A58" s="31" t="s">
        <v>595</v>
      </c>
      <c r="B58" s="44"/>
      <c r="C58" s="44"/>
      <c r="D58" s="44"/>
    </row>
    <row r="59" spans="1:4" ht="12" customHeight="1">
      <c r="A59" s="1" t="s">
        <v>596</v>
      </c>
      <c r="B59" s="44"/>
      <c r="C59" s="44"/>
      <c r="D59" s="44"/>
    </row>
    <row r="60" spans="1:4" ht="12" customHeight="1">
      <c r="A60" s="1" t="s">
        <v>597</v>
      </c>
      <c r="B60" s="44"/>
      <c r="C60" s="44"/>
      <c r="D60" s="44"/>
    </row>
    <row r="61" ht="12" customHeight="1">
      <c r="A61" s="320" t="s">
        <v>21</v>
      </c>
    </row>
    <row r="62" ht="12" customHeight="1">
      <c r="A62" s="320" t="s">
        <v>612</v>
      </c>
    </row>
    <row r="63" ht="12" customHeight="1">
      <c r="A63" s="320" t="s">
        <v>22</v>
      </c>
    </row>
    <row r="64" ht="12" customHeight="1">
      <c r="A64" s="320" t="s">
        <v>23</v>
      </c>
    </row>
  </sheetData>
  <printOptions horizontalCentered="1"/>
  <pageMargins left="0.4724409448818898" right="0.4724409448818898" top="0.5905511811023623" bottom="0" header="0.31496062992125984" footer="0"/>
  <pageSetup fitToHeight="1" fitToWidth="1" horizontalDpi="600" verticalDpi="600" orientation="portrait" scale="88"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sheetPr codeName="Sheet6111">
    <pageSetUpPr fitToPage="1"/>
  </sheetPr>
  <dimension ref="A1:G59"/>
  <sheetViews>
    <sheetView showGridLines="0" showZeros="0" workbookViewId="0" topLeftCell="A1">
      <selection activeCell="A1" sqref="A1"/>
    </sheetView>
  </sheetViews>
  <sheetFormatPr defaultColWidth="14.83203125" defaultRowHeight="12"/>
  <cols>
    <col min="1" max="1" width="27.83203125" style="1" customWidth="1"/>
    <col min="2" max="3" width="16.83203125" style="1" customWidth="1"/>
    <col min="4" max="4" width="18.83203125" style="1" customWidth="1"/>
    <col min="5" max="5" width="16.83203125" style="1" customWidth="1"/>
    <col min="6" max="6" width="18.83203125" style="1" customWidth="1"/>
    <col min="7" max="7" width="17.83203125" style="1" customWidth="1"/>
    <col min="8" max="16384" width="14.83203125" style="1" customWidth="1"/>
  </cols>
  <sheetData>
    <row r="1" spans="1:4" ht="6.75" customHeight="1">
      <c r="A1" s="5"/>
      <c r="B1" s="6"/>
      <c r="C1" s="6"/>
      <c r="D1" s="6"/>
    </row>
    <row r="2" spans="1:7" ht="19.5" customHeight="1">
      <c r="A2" s="290"/>
      <c r="B2" s="290" t="s">
        <v>633</v>
      </c>
      <c r="C2" s="195"/>
      <c r="D2" s="195"/>
      <c r="E2" s="195"/>
      <c r="F2" s="195"/>
      <c r="G2" s="474" t="s">
        <v>355</v>
      </c>
    </row>
    <row r="3" spans="1:7" ht="19.5" customHeight="1">
      <c r="A3" s="7"/>
      <c r="B3" s="291"/>
      <c r="C3" s="292"/>
      <c r="D3" s="292"/>
      <c r="E3" s="292"/>
      <c r="F3" s="292"/>
      <c r="G3" s="293"/>
    </row>
    <row r="4" spans="1:7" ht="13.5" customHeight="1">
      <c r="A4" s="269"/>
      <c r="B4" s="449" t="s">
        <v>356</v>
      </c>
      <c r="C4" s="450"/>
      <c r="D4" s="450"/>
      <c r="E4" s="450"/>
      <c r="F4" s="450"/>
      <c r="G4" s="451"/>
    </row>
    <row r="5" spans="1:7" ht="12.75" customHeight="1">
      <c r="A5" s="294"/>
      <c r="B5" s="295"/>
      <c r="C5" s="295"/>
      <c r="D5" s="295"/>
      <c r="E5" s="295"/>
      <c r="F5" s="295"/>
      <c r="G5" s="295"/>
    </row>
    <row r="6" spans="1:7" ht="12.75" customHeight="1">
      <c r="A6" s="294"/>
      <c r="B6" s="279"/>
      <c r="C6" s="279"/>
      <c r="D6" s="279"/>
      <c r="E6" s="279"/>
      <c r="F6" s="279"/>
      <c r="G6" s="279" t="s">
        <v>83</v>
      </c>
    </row>
    <row r="7" spans="1:7" ht="12.75" customHeight="1">
      <c r="A7" s="294"/>
      <c r="B7" s="296"/>
      <c r="C7" s="142"/>
      <c r="D7" s="296"/>
      <c r="E7" s="296"/>
      <c r="F7" s="296"/>
      <c r="G7" s="296" t="s">
        <v>352</v>
      </c>
    </row>
    <row r="8" spans="1:7" ht="12.75" customHeight="1">
      <c r="A8" s="294"/>
      <c r="B8" s="296" t="s">
        <v>83</v>
      </c>
      <c r="C8" s="296" t="s">
        <v>357</v>
      </c>
      <c r="D8" s="296" t="s">
        <v>358</v>
      </c>
      <c r="E8" s="296"/>
      <c r="F8" s="296" t="s">
        <v>83</v>
      </c>
      <c r="G8" s="297" t="s">
        <v>88</v>
      </c>
    </row>
    <row r="9" spans="1:7" ht="12.75" customHeight="1">
      <c r="A9" s="294"/>
      <c r="B9" s="296" t="s">
        <v>134</v>
      </c>
      <c r="C9" s="296" t="s">
        <v>121</v>
      </c>
      <c r="D9" s="296" t="s">
        <v>360</v>
      </c>
      <c r="E9" s="296" t="s">
        <v>361</v>
      </c>
      <c r="F9" s="296" t="s">
        <v>352</v>
      </c>
      <c r="G9" s="296" t="s">
        <v>362</v>
      </c>
    </row>
    <row r="10" spans="1:7" ht="12.75" customHeight="1">
      <c r="A10" s="19"/>
      <c r="B10" s="297" t="s">
        <v>286</v>
      </c>
      <c r="C10" s="296" t="s">
        <v>359</v>
      </c>
      <c r="D10" s="297" t="s">
        <v>287</v>
      </c>
      <c r="E10" s="297" t="s">
        <v>206</v>
      </c>
      <c r="F10" s="506" t="s">
        <v>286</v>
      </c>
      <c r="G10" s="297" t="s">
        <v>206</v>
      </c>
    </row>
    <row r="11" spans="1:7" ht="15.75" customHeight="1">
      <c r="A11" s="21" t="s">
        <v>108</v>
      </c>
      <c r="B11" s="298" t="s">
        <v>363</v>
      </c>
      <c r="C11" s="298" t="s">
        <v>157</v>
      </c>
      <c r="D11" s="298" t="s">
        <v>26</v>
      </c>
      <c r="E11" s="298" t="s">
        <v>143</v>
      </c>
      <c r="F11" s="298" t="s">
        <v>615</v>
      </c>
      <c r="G11" s="298" t="s">
        <v>143</v>
      </c>
    </row>
    <row r="12" spans="1:5" ht="4.5" customHeight="1">
      <c r="A12" s="24"/>
      <c r="C12" s="289"/>
      <c r="D12" s="237"/>
      <c r="E12" s="5"/>
    </row>
    <row r="13" spans="1:7" ht="13.5" customHeight="1">
      <c r="A13" s="414" t="s">
        <v>245</v>
      </c>
      <c r="B13" s="412">
        <f>'- 3 -'!B11</f>
        <v>12123571.02</v>
      </c>
      <c r="C13" s="412">
        <v>766525</v>
      </c>
      <c r="D13" s="412">
        <v>0</v>
      </c>
      <c r="E13" s="412">
        <f>SUM(B13:D13)</f>
        <v>12890096.02</v>
      </c>
      <c r="F13" s="412">
        <f>'- 61 -'!G13</f>
        <v>550175</v>
      </c>
      <c r="G13" s="338">
        <f>F13/E13*100</f>
        <v>4.268199392357979</v>
      </c>
    </row>
    <row r="14" spans="1:7" ht="13.5" customHeight="1">
      <c r="A14" s="274" t="s">
        <v>246</v>
      </c>
      <c r="B14" s="172">
        <f>'- 3 -'!B12</f>
        <v>22209271.36</v>
      </c>
      <c r="C14" s="172">
        <v>690645</v>
      </c>
      <c r="D14" s="172">
        <v>-451278</v>
      </c>
      <c r="E14" s="172">
        <f>SUM(B14:D14)</f>
        <v>22448638.36</v>
      </c>
      <c r="F14" s="172">
        <f>'- 61 -'!G14</f>
        <v>801066</v>
      </c>
      <c r="G14" s="78">
        <f aca="true" t="shared" si="0" ref="G14:G52">F14/E14*100</f>
        <v>3.5684391505338504</v>
      </c>
    </row>
    <row r="15" spans="1:7" ht="13.5" customHeight="1">
      <c r="A15" s="414" t="s">
        <v>247</v>
      </c>
      <c r="B15" s="412">
        <f>'- 3 -'!B13</f>
        <v>53829558</v>
      </c>
      <c r="C15" s="412">
        <v>780244</v>
      </c>
      <c r="D15" s="412">
        <v>0</v>
      </c>
      <c r="E15" s="412">
        <f>SUM(B15:D15)</f>
        <v>54609802</v>
      </c>
      <c r="F15" s="412">
        <f>'- 61 -'!G15</f>
        <v>2038174</v>
      </c>
      <c r="G15" s="338">
        <f t="shared" si="0"/>
        <v>3.732249386291494</v>
      </c>
    </row>
    <row r="16" spans="1:7" ht="13.5" customHeight="1">
      <c r="A16" s="274" t="s">
        <v>283</v>
      </c>
      <c r="B16" s="172"/>
      <c r="C16" s="172">
        <v>897923.77</v>
      </c>
      <c r="D16" s="172"/>
      <c r="E16" s="172"/>
      <c r="F16" s="172"/>
      <c r="G16" s="452" t="s">
        <v>204</v>
      </c>
    </row>
    <row r="17" spans="1:7" ht="13.5" customHeight="1">
      <c r="A17" s="414" t="s">
        <v>248</v>
      </c>
      <c r="B17" s="412">
        <f>'- 3 -'!B15</f>
        <v>14193364</v>
      </c>
      <c r="C17" s="412">
        <v>622280</v>
      </c>
      <c r="D17" s="412">
        <v>0</v>
      </c>
      <c r="E17" s="412">
        <f>SUM(B17:D17)</f>
        <v>14815644</v>
      </c>
      <c r="F17" s="412">
        <f>'- 61 -'!G17</f>
        <v>635925</v>
      </c>
      <c r="G17" s="338">
        <f t="shared" si="0"/>
        <v>4.292253512570902</v>
      </c>
    </row>
    <row r="18" spans="1:7" ht="13.5" customHeight="1">
      <c r="A18" s="274" t="s">
        <v>249</v>
      </c>
      <c r="B18" s="172">
        <f>'- 3 -'!B16</f>
        <v>11117433.769688739</v>
      </c>
      <c r="C18" s="172">
        <v>30843</v>
      </c>
      <c r="D18" s="172">
        <v>-82799.7696887384</v>
      </c>
      <c r="E18" s="172">
        <f>SUM(B18:D18)</f>
        <v>11065477</v>
      </c>
      <c r="F18" s="172">
        <f>'- 61 -'!G18</f>
        <v>592070</v>
      </c>
      <c r="G18" s="78">
        <f t="shared" si="0"/>
        <v>5.350605310552812</v>
      </c>
    </row>
    <row r="19" spans="1:7" ht="13.5" customHeight="1">
      <c r="A19" s="414" t="s">
        <v>250</v>
      </c>
      <c r="B19" s="412">
        <f>'- 3 -'!B17</f>
        <v>13495331</v>
      </c>
      <c r="C19" s="412">
        <v>387762</v>
      </c>
      <c r="D19" s="412">
        <v>0</v>
      </c>
      <c r="E19" s="412">
        <f>SUM(B19:D19)</f>
        <v>13883093</v>
      </c>
      <c r="F19" s="412">
        <f>'- 61 -'!G19</f>
        <v>585083</v>
      </c>
      <c r="G19" s="338">
        <f t="shared" si="0"/>
        <v>4.214356267727948</v>
      </c>
    </row>
    <row r="20" spans="1:7" ht="13.5" customHeight="1">
      <c r="A20" s="274" t="s">
        <v>251</v>
      </c>
      <c r="B20" s="172"/>
      <c r="C20" s="172">
        <v>400000</v>
      </c>
      <c r="D20" s="172"/>
      <c r="E20" s="172"/>
      <c r="F20" s="172"/>
      <c r="G20" s="452" t="s">
        <v>204</v>
      </c>
    </row>
    <row r="21" spans="1:7" ht="13.5" customHeight="1">
      <c r="A21" s="414" t="s">
        <v>252</v>
      </c>
      <c r="B21" s="412">
        <f>'- 3 -'!B19</f>
        <v>24962171</v>
      </c>
      <c r="C21" s="412">
        <v>649698</v>
      </c>
      <c r="D21" s="412">
        <v>0</v>
      </c>
      <c r="E21" s="412">
        <f aca="true" t="shared" si="1" ref="E21:E48">SUM(B21:D21)</f>
        <v>25611869</v>
      </c>
      <c r="F21" s="412">
        <f>'- 61 -'!G21</f>
        <v>931229</v>
      </c>
      <c r="G21" s="338">
        <f t="shared" si="0"/>
        <v>3.635927545935832</v>
      </c>
    </row>
    <row r="22" spans="1:7" ht="13.5" customHeight="1">
      <c r="A22" s="274" t="s">
        <v>253</v>
      </c>
      <c r="B22" s="172">
        <f>'- 3 -'!B20</f>
        <v>46474125</v>
      </c>
      <c r="C22" s="172">
        <v>1047399</v>
      </c>
      <c r="D22" s="172">
        <v>0</v>
      </c>
      <c r="E22" s="172">
        <f t="shared" si="1"/>
        <v>47521524</v>
      </c>
      <c r="F22" s="172">
        <f>'- 61 -'!G22</f>
        <v>1496001</v>
      </c>
      <c r="G22" s="78">
        <f t="shared" si="0"/>
        <v>3.1480492923585532</v>
      </c>
    </row>
    <row r="23" spans="1:7" ht="13.5" customHeight="1">
      <c r="A23" s="414" t="s">
        <v>254</v>
      </c>
      <c r="B23" s="412">
        <f>'- 3 -'!B21</f>
        <v>26906972</v>
      </c>
      <c r="C23" s="412">
        <v>775029</v>
      </c>
      <c r="D23" s="412">
        <v>0</v>
      </c>
      <c r="E23" s="412">
        <f t="shared" si="1"/>
        <v>27682001</v>
      </c>
      <c r="F23" s="412">
        <f>'- 61 -'!G23</f>
        <v>1234952</v>
      </c>
      <c r="G23" s="338">
        <f t="shared" si="0"/>
        <v>4.461209289025024</v>
      </c>
    </row>
    <row r="24" spans="1:7" ht="13.5" customHeight="1">
      <c r="A24" s="274" t="s">
        <v>255</v>
      </c>
      <c r="B24" s="172">
        <f>'- 3 -'!B22</f>
        <v>14998274</v>
      </c>
      <c r="C24" s="172">
        <v>187392</v>
      </c>
      <c r="D24" s="172">
        <v>-478327</v>
      </c>
      <c r="E24" s="172">
        <f t="shared" si="1"/>
        <v>14707339</v>
      </c>
      <c r="F24" s="172">
        <f>'- 61 -'!G24</f>
        <v>663986</v>
      </c>
      <c r="G24" s="78">
        <f t="shared" si="0"/>
        <v>4.514657614134005</v>
      </c>
    </row>
    <row r="25" spans="1:7" ht="13.5" customHeight="1">
      <c r="A25" s="414" t="s">
        <v>256</v>
      </c>
      <c r="B25" s="412">
        <f>'- 3 -'!B23</f>
        <v>12559543</v>
      </c>
      <c r="C25" s="412">
        <v>420747</v>
      </c>
      <c r="D25" s="412">
        <v>-207851</v>
      </c>
      <c r="E25" s="412">
        <f t="shared" si="1"/>
        <v>12772439</v>
      </c>
      <c r="F25" s="412">
        <f>'- 61 -'!G25</f>
        <v>510699</v>
      </c>
      <c r="G25" s="338">
        <f t="shared" si="0"/>
        <v>3.998445402636098</v>
      </c>
    </row>
    <row r="26" spans="1:7" ht="13.5" customHeight="1">
      <c r="A26" s="274" t="s">
        <v>257</v>
      </c>
      <c r="B26" s="172">
        <f>'- 3 -'!B24</f>
        <v>40173347</v>
      </c>
      <c r="C26" s="172">
        <v>1850460</v>
      </c>
      <c r="D26" s="172">
        <v>-300880</v>
      </c>
      <c r="E26" s="172">
        <f t="shared" si="1"/>
        <v>41722927</v>
      </c>
      <c r="F26" s="172">
        <f>'- 61 -'!G26</f>
        <v>1448114</v>
      </c>
      <c r="G26" s="78">
        <f t="shared" si="0"/>
        <v>3.4707871765564295</v>
      </c>
    </row>
    <row r="27" spans="1:7" ht="13.5" customHeight="1">
      <c r="A27" s="414" t="s">
        <v>258</v>
      </c>
      <c r="B27" s="412">
        <f>'- 3 -'!B25</f>
        <v>125960401</v>
      </c>
      <c r="C27" s="412">
        <v>14898</v>
      </c>
      <c r="D27" s="412">
        <v>0</v>
      </c>
      <c r="E27" s="412">
        <f t="shared" si="1"/>
        <v>125975299</v>
      </c>
      <c r="F27" s="412">
        <f>'- 61 -'!G27</f>
        <v>4872666</v>
      </c>
      <c r="G27" s="338">
        <f t="shared" si="0"/>
        <v>3.8679535104735097</v>
      </c>
    </row>
    <row r="28" spans="1:7" ht="13.5" customHeight="1">
      <c r="A28" s="274" t="s">
        <v>259</v>
      </c>
      <c r="B28" s="172">
        <f>'- 3 -'!B26</f>
        <v>30230123</v>
      </c>
      <c r="C28" s="172">
        <v>558252</v>
      </c>
      <c r="D28" s="172">
        <v>-111169</v>
      </c>
      <c r="E28" s="172">
        <f t="shared" si="1"/>
        <v>30677206</v>
      </c>
      <c r="F28" s="172">
        <f>'- 61 -'!G28</f>
        <v>1110517</v>
      </c>
      <c r="G28" s="78">
        <f t="shared" si="0"/>
        <v>3.620006984990745</v>
      </c>
    </row>
    <row r="29" spans="1:7" ht="13.5" customHeight="1">
      <c r="A29" s="414" t="s">
        <v>260</v>
      </c>
      <c r="B29" s="412">
        <f>'- 3 -'!B27</f>
        <v>31688866</v>
      </c>
      <c r="C29" s="412">
        <v>302952</v>
      </c>
      <c r="D29" s="412">
        <v>0</v>
      </c>
      <c r="E29" s="412">
        <f t="shared" si="1"/>
        <v>31991818</v>
      </c>
      <c r="F29" s="412">
        <f>'- 61 -'!G29</f>
        <v>1680431</v>
      </c>
      <c r="G29" s="338">
        <f t="shared" si="0"/>
        <v>5.252689922154471</v>
      </c>
    </row>
    <row r="30" spans="1:7" ht="13.5" customHeight="1">
      <c r="A30" s="274" t="s">
        <v>261</v>
      </c>
      <c r="B30" s="172">
        <f>'- 3 -'!B28</f>
        <v>17536858</v>
      </c>
      <c r="C30" s="172">
        <v>219445</v>
      </c>
      <c r="D30" s="172">
        <v>0</v>
      </c>
      <c r="E30" s="172">
        <f t="shared" si="1"/>
        <v>17756303</v>
      </c>
      <c r="F30" s="172">
        <f>'- 61 -'!G30</f>
        <v>753232</v>
      </c>
      <c r="G30" s="78">
        <f t="shared" si="0"/>
        <v>4.242054215902939</v>
      </c>
    </row>
    <row r="31" spans="1:7" ht="13.5" customHeight="1">
      <c r="A31" s="414" t="s">
        <v>262</v>
      </c>
      <c r="B31" s="412">
        <f>'- 3 -'!B29</f>
        <v>115812923</v>
      </c>
      <c r="C31" s="412">
        <v>4684661</v>
      </c>
      <c r="D31" s="412">
        <v>0</v>
      </c>
      <c r="E31" s="412">
        <f t="shared" si="1"/>
        <v>120497584</v>
      </c>
      <c r="F31" s="412">
        <f>'- 61 -'!G31</f>
        <v>4383220</v>
      </c>
      <c r="G31" s="338">
        <f t="shared" si="0"/>
        <v>3.637599904077745</v>
      </c>
    </row>
    <row r="32" spans="1:7" ht="13.5" customHeight="1">
      <c r="A32" s="274" t="s">
        <v>263</v>
      </c>
      <c r="B32" s="172">
        <f>'- 3 -'!B30</f>
        <v>11261272</v>
      </c>
      <c r="C32" s="172">
        <v>201855</v>
      </c>
      <c r="D32" s="172">
        <v>0</v>
      </c>
      <c r="E32" s="172">
        <f t="shared" si="1"/>
        <v>11463127</v>
      </c>
      <c r="F32" s="172">
        <f>'- 61 -'!G32</f>
        <v>509618</v>
      </c>
      <c r="G32" s="78">
        <f t="shared" si="0"/>
        <v>4.445715379407381</v>
      </c>
    </row>
    <row r="33" spans="1:7" ht="13.5" customHeight="1">
      <c r="A33" s="414" t="s">
        <v>264</v>
      </c>
      <c r="B33" s="412">
        <f>'- 3 -'!B31</f>
        <v>28135215.07</v>
      </c>
      <c r="C33" s="412">
        <v>140920</v>
      </c>
      <c r="D33" s="412">
        <v>-526725</v>
      </c>
      <c r="E33" s="412">
        <f t="shared" si="1"/>
        <v>27749410.07</v>
      </c>
      <c r="F33" s="412">
        <f>'- 61 -'!G33</f>
        <v>1050656</v>
      </c>
      <c r="G33" s="338">
        <f t="shared" si="0"/>
        <v>3.7862282381846684</v>
      </c>
    </row>
    <row r="34" spans="1:7" ht="13.5" customHeight="1">
      <c r="A34" s="274" t="s">
        <v>265</v>
      </c>
      <c r="B34" s="172">
        <f>'- 3 -'!B32</f>
        <v>20415604</v>
      </c>
      <c r="C34" s="172">
        <v>964771</v>
      </c>
      <c r="D34" s="172">
        <v>-230975</v>
      </c>
      <c r="E34" s="172">
        <f t="shared" si="1"/>
        <v>21149400</v>
      </c>
      <c r="F34" s="172">
        <f>'- 61 -'!G34</f>
        <v>851060</v>
      </c>
      <c r="G34" s="78">
        <f t="shared" si="0"/>
        <v>4.024038507002563</v>
      </c>
    </row>
    <row r="35" spans="1:7" ht="13.5" customHeight="1">
      <c r="A35" s="414" t="s">
        <v>266</v>
      </c>
      <c r="B35" s="412">
        <f>'- 3 -'!B33</f>
        <v>22893601</v>
      </c>
      <c r="C35" s="412">
        <v>414054</v>
      </c>
      <c r="D35" s="412">
        <v>0</v>
      </c>
      <c r="E35" s="412">
        <f t="shared" si="1"/>
        <v>23307655</v>
      </c>
      <c r="F35" s="412">
        <f>'- 61 -'!G35</f>
        <v>1026864</v>
      </c>
      <c r="G35" s="338">
        <f t="shared" si="0"/>
        <v>4.405694180731609</v>
      </c>
    </row>
    <row r="36" spans="1:7" ht="13.5" customHeight="1">
      <c r="A36" s="274" t="s">
        <v>267</v>
      </c>
      <c r="B36" s="172">
        <f>'- 3 -'!B34</f>
        <v>19528772</v>
      </c>
      <c r="C36" s="172">
        <v>727284.83</v>
      </c>
      <c r="D36" s="172">
        <v>0</v>
      </c>
      <c r="E36" s="172">
        <f t="shared" si="1"/>
        <v>20256056.83</v>
      </c>
      <c r="F36" s="172">
        <f>'- 61 -'!G36</f>
        <v>840955</v>
      </c>
      <c r="G36" s="78">
        <f t="shared" si="0"/>
        <v>4.15162243598425</v>
      </c>
    </row>
    <row r="37" spans="1:7" ht="13.5" customHeight="1">
      <c r="A37" s="414" t="s">
        <v>268</v>
      </c>
      <c r="B37" s="412">
        <f>'- 3 -'!B35</f>
        <v>143313795.54000002</v>
      </c>
      <c r="C37" s="412">
        <v>7524303</v>
      </c>
      <c r="D37" s="412">
        <v>-875303</v>
      </c>
      <c r="E37" s="412">
        <f t="shared" si="1"/>
        <v>149962795.54000002</v>
      </c>
      <c r="F37" s="412">
        <f>'- 61 -'!G37</f>
        <v>5062484</v>
      </c>
      <c r="G37" s="338">
        <f t="shared" si="0"/>
        <v>3.3758266387143125</v>
      </c>
    </row>
    <row r="38" spans="1:7" ht="13.5" customHeight="1">
      <c r="A38" s="274" t="s">
        <v>269</v>
      </c>
      <c r="B38" s="172">
        <f>'- 3 -'!B36</f>
        <v>18090210</v>
      </c>
      <c r="C38" s="172">
        <v>283765</v>
      </c>
      <c r="D38" s="172">
        <v>-128670</v>
      </c>
      <c r="E38" s="172">
        <f t="shared" si="1"/>
        <v>18245305</v>
      </c>
      <c r="F38" s="172">
        <f>'- 61 -'!G38</f>
        <v>799841</v>
      </c>
      <c r="G38" s="78">
        <f t="shared" si="0"/>
        <v>4.38381819322834</v>
      </c>
    </row>
    <row r="39" spans="1:7" ht="13.5" customHeight="1">
      <c r="A39" s="414" t="s">
        <v>270</v>
      </c>
      <c r="B39" s="412">
        <f>'- 3 -'!B37</f>
        <v>30459097</v>
      </c>
      <c r="C39" s="412">
        <v>943062</v>
      </c>
      <c r="D39" s="412">
        <v>-260079</v>
      </c>
      <c r="E39" s="412">
        <f t="shared" si="1"/>
        <v>31142080</v>
      </c>
      <c r="F39" s="412">
        <f>'- 61 -'!G39</f>
        <v>1399223</v>
      </c>
      <c r="G39" s="338">
        <f t="shared" si="0"/>
        <v>4.493030009556201</v>
      </c>
    </row>
    <row r="40" spans="1:7" ht="13.5" customHeight="1">
      <c r="A40" s="274" t="s">
        <v>271</v>
      </c>
      <c r="B40" s="172">
        <f>'- 3 -'!B38</f>
        <v>75227995</v>
      </c>
      <c r="C40" s="172">
        <v>2869421</v>
      </c>
      <c r="D40" s="172">
        <v>-283429</v>
      </c>
      <c r="E40" s="172">
        <f t="shared" si="1"/>
        <v>77813987</v>
      </c>
      <c r="F40" s="172">
        <f>'- 61 -'!G40</f>
        <v>3063613</v>
      </c>
      <c r="G40" s="78">
        <f t="shared" si="0"/>
        <v>3.937098095230617</v>
      </c>
    </row>
    <row r="41" spans="1:7" ht="13.5" customHeight="1">
      <c r="A41" s="414" t="s">
        <v>272</v>
      </c>
      <c r="B41" s="412">
        <f>'- 3 -'!B39</f>
        <v>16430487</v>
      </c>
      <c r="C41" s="412">
        <v>357353</v>
      </c>
      <c r="D41" s="412">
        <v>0</v>
      </c>
      <c r="E41" s="412">
        <f t="shared" si="1"/>
        <v>16787840</v>
      </c>
      <c r="F41" s="412">
        <f>'- 61 -'!G41</f>
        <v>707055</v>
      </c>
      <c r="G41" s="338">
        <f t="shared" si="0"/>
        <v>4.211709189508596</v>
      </c>
    </row>
    <row r="42" spans="1:7" ht="13.5" customHeight="1">
      <c r="A42" s="274" t="s">
        <v>273</v>
      </c>
      <c r="B42" s="172">
        <f>'- 3 -'!B40</f>
        <v>76996983</v>
      </c>
      <c r="C42" s="172">
        <v>6040869</v>
      </c>
      <c r="D42" s="172">
        <v>0</v>
      </c>
      <c r="E42" s="172">
        <f t="shared" si="1"/>
        <v>83037852</v>
      </c>
      <c r="F42" s="172">
        <f>'- 61 -'!G42</f>
        <v>2972791</v>
      </c>
      <c r="G42" s="78">
        <f t="shared" si="0"/>
        <v>3.58004323136875</v>
      </c>
    </row>
    <row r="43" spans="1:7" ht="13.5" customHeight="1">
      <c r="A43" s="414" t="s">
        <v>274</v>
      </c>
      <c r="B43" s="412">
        <f>'- 3 -'!B41</f>
        <v>47159212</v>
      </c>
      <c r="C43" s="412">
        <v>1271322</v>
      </c>
      <c r="D43" s="412">
        <v>-939591</v>
      </c>
      <c r="E43" s="412">
        <f t="shared" si="1"/>
        <v>47490943</v>
      </c>
      <c r="F43" s="412">
        <f>'- 61 -'!G43</f>
        <v>2047097</v>
      </c>
      <c r="G43" s="338">
        <f t="shared" si="0"/>
        <v>4.310499793613279</v>
      </c>
    </row>
    <row r="44" spans="1:7" ht="13.5" customHeight="1">
      <c r="A44" s="274" t="s">
        <v>275</v>
      </c>
      <c r="B44" s="172">
        <f>'- 3 -'!B42</f>
        <v>16516943</v>
      </c>
      <c r="C44" s="172">
        <v>443881</v>
      </c>
      <c r="D44" s="172">
        <v>0</v>
      </c>
      <c r="E44" s="172">
        <f t="shared" si="1"/>
        <v>16960824</v>
      </c>
      <c r="F44" s="172">
        <f>'- 61 -'!G44</f>
        <v>757732</v>
      </c>
      <c r="G44" s="78">
        <f t="shared" si="0"/>
        <v>4.467542378837255</v>
      </c>
    </row>
    <row r="45" spans="1:7" ht="13.5" customHeight="1">
      <c r="A45" s="414" t="s">
        <v>276</v>
      </c>
      <c r="B45" s="412">
        <f>'- 3 -'!B43</f>
        <v>10214847</v>
      </c>
      <c r="C45" s="412">
        <v>267985</v>
      </c>
      <c r="D45" s="412">
        <v>-167605</v>
      </c>
      <c r="E45" s="412">
        <f t="shared" si="1"/>
        <v>10315227</v>
      </c>
      <c r="F45" s="412">
        <f>'- 61 -'!G45</f>
        <v>551167</v>
      </c>
      <c r="G45" s="338">
        <f t="shared" si="0"/>
        <v>5.343236750873248</v>
      </c>
    </row>
    <row r="46" spans="1:7" ht="13.5" customHeight="1">
      <c r="A46" s="274" t="s">
        <v>277</v>
      </c>
      <c r="B46" s="172">
        <f>'- 3 -'!B44</f>
        <v>7893304</v>
      </c>
      <c r="C46" s="172">
        <v>286323</v>
      </c>
      <c r="D46" s="172">
        <v>0</v>
      </c>
      <c r="E46" s="172">
        <f t="shared" si="1"/>
        <v>8179627</v>
      </c>
      <c r="F46" s="172">
        <f>'- 61 -'!G46</f>
        <v>342790</v>
      </c>
      <c r="G46" s="78">
        <f t="shared" si="0"/>
        <v>4.19077789243935</v>
      </c>
    </row>
    <row r="47" spans="1:7" ht="13.5" customHeight="1">
      <c r="A47" s="414" t="s">
        <v>278</v>
      </c>
      <c r="B47" s="412">
        <f>'- 3 -'!B45</f>
        <v>11781385.309999999</v>
      </c>
      <c r="C47" s="412">
        <v>169388.13</v>
      </c>
      <c r="D47" s="412">
        <v>-325241.63</v>
      </c>
      <c r="E47" s="412">
        <f t="shared" si="1"/>
        <v>11625531.809999999</v>
      </c>
      <c r="F47" s="412">
        <f>'- 61 -'!G47</f>
        <v>522257</v>
      </c>
      <c r="G47" s="338">
        <f t="shared" si="0"/>
        <v>4.492327822377702</v>
      </c>
    </row>
    <row r="48" spans="1:7" ht="13.5" customHeight="1">
      <c r="A48" s="274" t="s">
        <v>279</v>
      </c>
      <c r="B48" s="172">
        <f>'- 3 -'!B46</f>
        <v>292420846</v>
      </c>
      <c r="C48" s="172">
        <v>2824724</v>
      </c>
      <c r="D48" s="172">
        <v>-266203</v>
      </c>
      <c r="E48" s="172">
        <f t="shared" si="1"/>
        <v>294979367</v>
      </c>
      <c r="F48" s="172">
        <f>'- 61 -'!G48</f>
        <v>9160885</v>
      </c>
      <c r="G48" s="78">
        <f t="shared" si="0"/>
        <v>3.1056019589329447</v>
      </c>
    </row>
    <row r="49" spans="1:7" ht="4.5" customHeight="1">
      <c r="A49" s="151"/>
      <c r="B49" s="173"/>
      <c r="C49" s="173"/>
      <c r="D49" s="173"/>
      <c r="E49" s="173"/>
      <c r="F49" s="173"/>
      <c r="G49"/>
    </row>
    <row r="50" spans="1:7" ht="14.25" customHeight="1">
      <c r="A50" s="415" t="s">
        <v>280</v>
      </c>
      <c r="B50" s="416">
        <f>SUM(B13:B48)</f>
        <v>1463011701.0696888</v>
      </c>
      <c r="C50" s="416">
        <f>SUM(C13:C48)</f>
        <v>41018436.73</v>
      </c>
      <c r="D50" s="416">
        <f>SUM(D13:D48)</f>
        <v>-5636126.399688738</v>
      </c>
      <c r="E50" s="416">
        <f>SUM(E13:E48)</f>
        <v>1497096087.63</v>
      </c>
      <c r="F50" s="416">
        <f>SUM(F13:F48)</f>
        <v>55953628</v>
      </c>
      <c r="G50" s="341">
        <f t="shared" si="0"/>
        <v>3.7374774045785006</v>
      </c>
    </row>
    <row r="51" spans="1:7" ht="4.5" customHeight="1">
      <c r="A51" s="151" t="s">
        <v>32</v>
      </c>
      <c r="B51" s="173"/>
      <c r="C51" s="173"/>
      <c r="D51" s="173"/>
      <c r="E51" s="173"/>
      <c r="F51" s="173"/>
      <c r="G51"/>
    </row>
    <row r="52" spans="1:7" ht="14.25" customHeight="1">
      <c r="A52" s="274" t="s">
        <v>281</v>
      </c>
      <c r="B52" s="172">
        <f>'- 3 -'!B50</f>
        <v>2639668</v>
      </c>
      <c r="C52" s="172">
        <v>106730</v>
      </c>
      <c r="D52" s="172">
        <v>0</v>
      </c>
      <c r="E52" s="172">
        <f>SUM(B52:D52)</f>
        <v>2746398</v>
      </c>
      <c r="F52" s="172">
        <f>'- 61 -'!G52</f>
        <v>110417</v>
      </c>
      <c r="G52" s="78">
        <f t="shared" si="0"/>
        <v>4.020429668241821</v>
      </c>
    </row>
    <row r="53" spans="1:7" ht="14.25" customHeight="1">
      <c r="A53" s="29"/>
      <c r="B53" s="29"/>
      <c r="C53" s="29">
        <v>149087</v>
      </c>
      <c r="D53" s="29"/>
      <c r="E53" s="29"/>
      <c r="F53" s="29"/>
      <c r="G53" s="29"/>
    </row>
    <row r="54" spans="1:7" ht="14.25" customHeight="1">
      <c r="A54" s="504" t="s">
        <v>503</v>
      </c>
      <c r="B54" s="300"/>
      <c r="C54" s="300"/>
      <c r="D54" s="300"/>
      <c r="E54" s="207"/>
      <c r="F54" s="207"/>
      <c r="G54" s="207"/>
    </row>
    <row r="55" spans="1:4" ht="12" customHeight="1">
      <c r="A55" s="44" t="s">
        <v>27</v>
      </c>
      <c r="B55" s="44"/>
      <c r="C55" s="44"/>
      <c r="D55" s="44"/>
    </row>
    <row r="56" spans="1:4" ht="14.25" customHeight="1">
      <c r="A56" s="44"/>
      <c r="B56" s="44"/>
      <c r="C56" s="44"/>
      <c r="D56" s="44"/>
    </row>
    <row r="57" spans="1:4" ht="14.25" customHeight="1">
      <c r="A57" s="44"/>
      <c r="B57" s="44"/>
      <c r="C57" s="44"/>
      <c r="D57" s="44"/>
    </row>
    <row r="58" spans="1:4" ht="14.25" customHeight="1">
      <c r="A58" s="44"/>
      <c r="B58" s="44"/>
      <c r="C58" s="44"/>
      <c r="D58" s="44"/>
    </row>
    <row r="59" ht="12">
      <c r="A59" s="44"/>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sheetPr codeName="Sheet61">
    <pageSetUpPr fitToPage="1"/>
  </sheetPr>
  <dimension ref="A1:I58"/>
  <sheetViews>
    <sheetView showGridLines="0" showZeros="0" workbookViewId="0" topLeftCell="A1">
      <selection activeCell="A1" sqref="A1"/>
    </sheetView>
  </sheetViews>
  <sheetFormatPr defaultColWidth="12.83203125" defaultRowHeight="12"/>
  <cols>
    <col min="1" max="1" width="30.83203125" style="1" customWidth="1"/>
    <col min="2" max="8" width="12.83203125" style="1" customWidth="1"/>
    <col min="9" max="16384" width="12.83203125" style="1" customWidth="1"/>
  </cols>
  <sheetData>
    <row r="1" spans="1:3" ht="6.75" customHeight="1">
      <c r="A1" s="5"/>
      <c r="B1" s="6"/>
      <c r="C1" s="6"/>
    </row>
    <row r="2" spans="1:9" ht="15.75" customHeight="1">
      <c r="A2" s="282" t="s">
        <v>336</v>
      </c>
      <c r="B2" s="283"/>
      <c r="C2" s="283"/>
      <c r="D2" s="283"/>
      <c r="E2" s="283"/>
      <c r="F2" s="161"/>
      <c r="G2" s="161"/>
      <c r="H2" s="161"/>
      <c r="I2" s="161"/>
    </row>
    <row r="3" spans="1:9" ht="15.75" customHeight="1">
      <c r="A3" s="284" t="s">
        <v>463</v>
      </c>
      <c r="B3" s="285"/>
      <c r="C3" s="286"/>
      <c r="D3" s="286"/>
      <c r="E3" s="286"/>
      <c r="F3" s="287"/>
      <c r="G3" s="287"/>
      <c r="H3" s="287"/>
      <c r="I3" s="287"/>
    </row>
    <row r="4" spans="2:3" ht="15.75" customHeight="1">
      <c r="B4" s="37"/>
      <c r="C4" s="6"/>
    </row>
    <row r="5" spans="2:3" ht="15.75" customHeight="1">
      <c r="B5" s="263"/>
      <c r="C5" s="6"/>
    </row>
    <row r="6" spans="2:9" ht="15.75" customHeight="1">
      <c r="B6" s="453" t="s">
        <v>134</v>
      </c>
      <c r="C6" s="454"/>
      <c r="D6" s="455"/>
      <c r="E6" s="456"/>
      <c r="F6" s="453" t="s">
        <v>139</v>
      </c>
      <c r="G6" s="454"/>
      <c r="H6" s="463"/>
      <c r="I6" s="464"/>
    </row>
    <row r="7" spans="2:9" ht="15.75" customHeight="1">
      <c r="B7" s="457" t="s">
        <v>102</v>
      </c>
      <c r="C7" s="458"/>
      <c r="D7" s="457" t="s">
        <v>28</v>
      </c>
      <c r="E7" s="458"/>
      <c r="F7" s="457" t="s">
        <v>335</v>
      </c>
      <c r="G7" s="458"/>
      <c r="H7" s="457" t="s">
        <v>173</v>
      </c>
      <c r="I7" s="458"/>
    </row>
    <row r="8" spans="1:9" ht="15.75" customHeight="1">
      <c r="A8" s="74"/>
      <c r="B8" s="459" t="s">
        <v>406</v>
      </c>
      <c r="C8" s="460"/>
      <c r="D8" s="459" t="s">
        <v>29</v>
      </c>
      <c r="E8" s="460"/>
      <c r="F8" s="459" t="s">
        <v>111</v>
      </c>
      <c r="G8" s="460"/>
      <c r="H8" s="459" t="s">
        <v>334</v>
      </c>
      <c r="I8" s="460"/>
    </row>
    <row r="9" spans="1:9" ht="15.75" customHeight="1">
      <c r="A9" s="41" t="s">
        <v>108</v>
      </c>
      <c r="B9" s="288" t="s">
        <v>435</v>
      </c>
      <c r="C9" s="483" t="s">
        <v>458</v>
      </c>
      <c r="D9" s="288" t="s">
        <v>435</v>
      </c>
      <c r="E9" s="483" t="s">
        <v>459</v>
      </c>
      <c r="F9" s="483" t="s">
        <v>460</v>
      </c>
      <c r="G9" s="483" t="s">
        <v>461</v>
      </c>
      <c r="H9" s="483" t="s">
        <v>460</v>
      </c>
      <c r="I9" s="483" t="s">
        <v>462</v>
      </c>
    </row>
    <row r="10" spans="1:3" ht="4.5" customHeight="1">
      <c r="A10" s="4"/>
      <c r="C10" s="289"/>
    </row>
    <row r="11" spans="1:9" ht="13.5" customHeight="1">
      <c r="A11" s="412" t="s">
        <v>245</v>
      </c>
      <c r="B11" s="412">
        <f>'- 4 -'!C11</f>
        <v>8044</v>
      </c>
      <c r="C11" s="412">
        <f>'- 4 -'!E11</f>
        <v>8291</v>
      </c>
      <c r="D11" s="413">
        <v>14.52627504113036</v>
      </c>
      <c r="E11" s="413">
        <f>'- 9 -'!C11</f>
        <v>14.386745796241346</v>
      </c>
      <c r="F11" s="412">
        <v>162462</v>
      </c>
      <c r="G11" s="412">
        <f>'- 55 -'!F11</f>
        <v>190884</v>
      </c>
      <c r="H11" s="413">
        <v>19.57059289382287</v>
      </c>
      <c r="I11" s="413">
        <f>'- 53 -'!G11</f>
        <v>18.15100067975197</v>
      </c>
    </row>
    <row r="12" spans="1:9" ht="13.5" customHeight="1">
      <c r="A12" s="172" t="s">
        <v>246</v>
      </c>
      <c r="B12" s="172">
        <f>'- 4 -'!C12</f>
        <v>8750</v>
      </c>
      <c r="C12" s="172">
        <f>'- 4 -'!E12</f>
        <v>8986</v>
      </c>
      <c r="D12" s="275">
        <v>13.886553377938302</v>
      </c>
      <c r="E12" s="275">
        <f>'- 9 -'!C12</f>
        <v>13.950669772859639</v>
      </c>
      <c r="F12" s="172">
        <v>139324</v>
      </c>
      <c r="G12" s="172">
        <f>'- 55 -'!F12</f>
        <v>163063</v>
      </c>
      <c r="H12" s="275">
        <v>25.543556359275307</v>
      </c>
      <c r="I12" s="275">
        <f>'- 53 -'!G12</f>
        <v>24.18000164475423</v>
      </c>
    </row>
    <row r="13" spans="1:9" ht="13.5" customHeight="1">
      <c r="A13" s="412" t="s">
        <v>247</v>
      </c>
      <c r="B13" s="412">
        <f>'- 4 -'!C13</f>
        <v>7468</v>
      </c>
      <c r="C13" s="412">
        <f>'- 4 -'!E13</f>
        <v>7940</v>
      </c>
      <c r="D13" s="413">
        <v>14.313770078349492</v>
      </c>
      <c r="E13" s="413">
        <f>'- 9 -'!C13</f>
        <v>14.864656350570911</v>
      </c>
      <c r="F13" s="412">
        <v>152055</v>
      </c>
      <c r="G13" s="412">
        <f>'- 55 -'!F13</f>
        <v>180181</v>
      </c>
      <c r="H13" s="413">
        <v>19.510750951606102</v>
      </c>
      <c r="I13" s="413">
        <f>'- 53 -'!G13</f>
        <v>17.68555554172136</v>
      </c>
    </row>
    <row r="14" spans="1:9" ht="13.5" customHeight="1">
      <c r="A14" s="172" t="s">
        <v>283</v>
      </c>
      <c r="B14" s="172">
        <f>'- 4 -'!C14</f>
        <v>10088</v>
      </c>
      <c r="C14" s="172">
        <f>'- 4 -'!E14</f>
        <v>10363</v>
      </c>
      <c r="D14" s="275">
        <v>12.92150998758605</v>
      </c>
      <c r="E14" s="275">
        <f>'- 9 -'!C14</f>
        <v>13.251613633790058</v>
      </c>
      <c r="F14" s="172">
        <v>130069</v>
      </c>
      <c r="G14" s="172">
        <f>'- 55 -'!F14</f>
        <v>158217</v>
      </c>
      <c r="H14" s="275"/>
      <c r="I14" s="275"/>
    </row>
    <row r="15" spans="1:9" ht="13.5" customHeight="1">
      <c r="A15" s="412" t="s">
        <v>248</v>
      </c>
      <c r="B15" s="412">
        <f>'- 4 -'!C15</f>
        <v>8478</v>
      </c>
      <c r="C15" s="412">
        <f>'- 4 -'!E15</f>
        <v>8583</v>
      </c>
      <c r="D15" s="413">
        <v>15.586808923375365</v>
      </c>
      <c r="E15" s="413">
        <f>'- 9 -'!C15</f>
        <v>15.496852946786191</v>
      </c>
      <c r="F15" s="412">
        <v>217370</v>
      </c>
      <c r="G15" s="412">
        <f>'- 55 -'!F15</f>
        <v>268699</v>
      </c>
      <c r="H15" s="413">
        <v>18.056861999640137</v>
      </c>
      <c r="I15" s="413">
        <f>'- 53 -'!G15</f>
        <v>15.288932213309366</v>
      </c>
    </row>
    <row r="16" spans="1:9" ht="13.5" customHeight="1">
      <c r="A16" s="172" t="s">
        <v>249</v>
      </c>
      <c r="B16" s="172">
        <f>'- 4 -'!C16</f>
        <v>8998</v>
      </c>
      <c r="C16" s="172">
        <f>'- 4 -'!E16</f>
        <v>9900</v>
      </c>
      <c r="D16" s="275">
        <v>14.026105547428829</v>
      </c>
      <c r="E16" s="275">
        <f>'- 9 -'!C16</f>
        <v>13.439951719975861</v>
      </c>
      <c r="F16" s="172">
        <v>93212</v>
      </c>
      <c r="G16" s="172">
        <f>'- 55 -'!F16</f>
        <v>96707</v>
      </c>
      <c r="H16" s="275">
        <v>22.605613563526006</v>
      </c>
      <c r="I16" s="275">
        <f>'- 53 -'!G16</f>
        <v>22.168944565072326</v>
      </c>
    </row>
    <row r="17" spans="1:9" ht="13.5" customHeight="1">
      <c r="A17" s="412" t="s">
        <v>250</v>
      </c>
      <c r="B17" s="412">
        <f>'- 4 -'!C17</f>
        <v>8720</v>
      </c>
      <c r="C17" s="412">
        <f>'- 4 -'!E17</f>
        <v>9061</v>
      </c>
      <c r="D17" s="413">
        <v>12.833675740455403</v>
      </c>
      <c r="E17" s="413">
        <f>'- 9 -'!C17</f>
        <v>13.049006216730278</v>
      </c>
      <c r="F17" s="412">
        <v>183699</v>
      </c>
      <c r="G17" s="412">
        <f>'- 55 -'!F17</f>
        <v>207930</v>
      </c>
      <c r="H17" s="413">
        <v>20.60732482605206</v>
      </c>
      <c r="I17" s="413">
        <f>'- 53 -'!G17</f>
        <v>18.73365826488822</v>
      </c>
    </row>
    <row r="18" spans="1:9" ht="13.5" customHeight="1">
      <c r="A18" s="172" t="s">
        <v>251</v>
      </c>
      <c r="B18" s="172">
        <f>'- 4 -'!C18</f>
        <v>13836</v>
      </c>
      <c r="C18" s="172">
        <f>'- 4 -'!E18</f>
        <v>14644</v>
      </c>
      <c r="D18" s="275">
        <v>11.817231283981597</v>
      </c>
      <c r="E18" s="275">
        <f>'- 9 -'!C18</f>
        <v>12.206616862326575</v>
      </c>
      <c r="F18" s="172">
        <v>38577</v>
      </c>
      <c r="G18" s="172">
        <f>'- 55 -'!F18</f>
        <v>42780</v>
      </c>
      <c r="H18" s="275">
        <v>24.49999731031181</v>
      </c>
      <c r="I18" s="275">
        <f>'- 53 -'!G18</f>
        <v>25.500000882847857</v>
      </c>
    </row>
    <row r="19" spans="1:9" ht="13.5" customHeight="1">
      <c r="A19" s="412" t="s">
        <v>252</v>
      </c>
      <c r="B19" s="412">
        <f>'- 4 -'!C19</f>
        <v>6537</v>
      </c>
      <c r="C19" s="412">
        <f>'- 4 -'!E19</f>
        <v>7190</v>
      </c>
      <c r="D19" s="413">
        <v>16.29746990911324</v>
      </c>
      <c r="E19" s="413">
        <f>'- 9 -'!C19</f>
        <v>15.856115771038807</v>
      </c>
      <c r="F19" s="412">
        <v>111927</v>
      </c>
      <c r="G19" s="412">
        <f>'- 55 -'!F19</f>
        <v>133189</v>
      </c>
      <c r="H19" s="413">
        <v>20.432234581269377</v>
      </c>
      <c r="I19" s="413">
        <f>'- 53 -'!G19</f>
        <v>19.61018264220182</v>
      </c>
    </row>
    <row r="20" spans="1:9" ht="13.5" customHeight="1">
      <c r="A20" s="172" t="s">
        <v>253</v>
      </c>
      <c r="B20" s="172">
        <f>'- 4 -'!C20</f>
        <v>6336</v>
      </c>
      <c r="C20" s="172">
        <f>'- 4 -'!E20</f>
        <v>6772</v>
      </c>
      <c r="D20" s="275">
        <v>17.381814379631685</v>
      </c>
      <c r="E20" s="275">
        <f>'- 9 -'!C20</f>
        <v>16.92359458145882</v>
      </c>
      <c r="F20" s="172">
        <v>93750</v>
      </c>
      <c r="G20" s="172">
        <f>'- 55 -'!F20</f>
        <v>113156</v>
      </c>
      <c r="H20" s="275">
        <v>20.250759560159324</v>
      </c>
      <c r="I20" s="275">
        <f>'- 53 -'!G20</f>
        <v>19.600760356597984</v>
      </c>
    </row>
    <row r="21" spans="1:9" ht="13.5" customHeight="1">
      <c r="A21" s="412" t="s">
        <v>254</v>
      </c>
      <c r="B21" s="412">
        <f>'- 4 -'!C21</f>
        <v>7955</v>
      </c>
      <c r="C21" s="412">
        <f>'- 4 -'!E21</f>
        <v>8451</v>
      </c>
      <c r="D21" s="413">
        <v>14.689201451905628</v>
      </c>
      <c r="E21" s="413">
        <f>'- 9 -'!C21</f>
        <v>14.490431066518022</v>
      </c>
      <c r="F21" s="412">
        <v>130896</v>
      </c>
      <c r="G21" s="412">
        <f>'- 55 -'!F21</f>
        <v>156258</v>
      </c>
      <c r="H21" s="413">
        <v>22.774131383251113</v>
      </c>
      <c r="I21" s="413">
        <f>'- 53 -'!G21</f>
        <v>20.720684984005203</v>
      </c>
    </row>
    <row r="22" spans="1:9" ht="13.5" customHeight="1">
      <c r="A22" s="172" t="s">
        <v>255</v>
      </c>
      <c r="B22" s="172">
        <f>'- 4 -'!C22</f>
        <v>8274</v>
      </c>
      <c r="C22" s="172">
        <f>'- 4 -'!E22</f>
        <v>8881</v>
      </c>
      <c r="D22" s="275">
        <v>14.158457880434781</v>
      </c>
      <c r="E22" s="275">
        <f>'- 9 -'!C22</f>
        <v>14.277938723553682</v>
      </c>
      <c r="F22" s="172">
        <v>87934</v>
      </c>
      <c r="G22" s="172">
        <f>'- 55 -'!F22</f>
        <v>91267</v>
      </c>
      <c r="H22" s="275">
        <v>26.933861545702072</v>
      </c>
      <c r="I22" s="275">
        <f>'- 53 -'!G22</f>
        <v>25.386888979037234</v>
      </c>
    </row>
    <row r="23" spans="1:9" ht="13.5" customHeight="1">
      <c r="A23" s="412" t="s">
        <v>256</v>
      </c>
      <c r="B23" s="412">
        <f>'- 4 -'!C23</f>
        <v>8440</v>
      </c>
      <c r="C23" s="412">
        <f>'- 4 -'!E23</f>
        <v>9273</v>
      </c>
      <c r="D23" s="413">
        <v>14.949324324324325</v>
      </c>
      <c r="E23" s="413">
        <f>'- 9 -'!C23</f>
        <v>14.252873563218392</v>
      </c>
      <c r="F23" s="412">
        <v>104837</v>
      </c>
      <c r="G23" s="412">
        <f>'- 55 -'!F23</f>
        <v>123387</v>
      </c>
      <c r="H23" s="413">
        <v>24.59224743249921</v>
      </c>
      <c r="I23" s="413">
        <f>'- 53 -'!G23</f>
        <v>23.437472936707454</v>
      </c>
    </row>
    <row r="24" spans="1:9" ht="13.5" customHeight="1">
      <c r="A24" s="172" t="s">
        <v>257</v>
      </c>
      <c r="B24" s="172">
        <f>'- 4 -'!C24</f>
        <v>8189</v>
      </c>
      <c r="C24" s="172">
        <f>'- 4 -'!E24</f>
        <v>8637</v>
      </c>
      <c r="D24" s="275">
        <v>14.584454646192814</v>
      </c>
      <c r="E24" s="275">
        <f>'- 9 -'!C24</f>
        <v>14.118102913825169</v>
      </c>
      <c r="F24" s="172">
        <v>149955</v>
      </c>
      <c r="G24" s="172">
        <f>'- 55 -'!F24</f>
        <v>182372</v>
      </c>
      <c r="H24" s="275">
        <v>22.800725331812572</v>
      </c>
      <c r="I24" s="275">
        <f>'- 53 -'!G24</f>
        <v>20.872470531866462</v>
      </c>
    </row>
    <row r="25" spans="1:9" ht="13.5" customHeight="1">
      <c r="A25" s="412" t="s">
        <v>258</v>
      </c>
      <c r="B25" s="412">
        <f>'- 4 -'!C25</f>
        <v>8161</v>
      </c>
      <c r="C25" s="412">
        <f>'- 4 -'!E25</f>
        <v>8575</v>
      </c>
      <c r="D25" s="413">
        <v>14.418565683646111</v>
      </c>
      <c r="E25" s="413">
        <f>'- 9 -'!C25</f>
        <v>14.538485559730436</v>
      </c>
      <c r="F25" s="412">
        <v>131137</v>
      </c>
      <c r="G25" s="412">
        <f>'- 55 -'!F25</f>
        <v>159567</v>
      </c>
      <c r="H25" s="413">
        <v>26.62057881599722</v>
      </c>
      <c r="I25" s="413">
        <f>'- 53 -'!G25</f>
        <v>22.90362394258607</v>
      </c>
    </row>
    <row r="26" spans="1:9" ht="13.5" customHeight="1">
      <c r="A26" s="172" t="s">
        <v>259</v>
      </c>
      <c r="B26" s="172">
        <f>'- 4 -'!C26</f>
        <v>8870</v>
      </c>
      <c r="C26" s="172">
        <f>'- 4 -'!E26</f>
        <v>9377</v>
      </c>
      <c r="D26" s="275">
        <v>13.87707358570821</v>
      </c>
      <c r="E26" s="275">
        <f>'- 9 -'!C26</f>
        <v>13.243019648397105</v>
      </c>
      <c r="F26" s="172">
        <v>127517</v>
      </c>
      <c r="G26" s="172">
        <f>'- 55 -'!F26</f>
        <v>145276</v>
      </c>
      <c r="H26" s="275">
        <v>24.91744144485502</v>
      </c>
      <c r="I26" s="275">
        <f>'- 53 -'!G26</f>
        <v>23.461828023304975</v>
      </c>
    </row>
    <row r="27" spans="1:9" ht="13.5" customHeight="1">
      <c r="A27" s="412" t="s">
        <v>260</v>
      </c>
      <c r="B27" s="412">
        <f>'- 4 -'!C27</f>
        <v>8655</v>
      </c>
      <c r="C27" s="412">
        <f>'- 4 -'!E27</f>
        <v>9552</v>
      </c>
      <c r="D27" s="413">
        <v>13.820770109316365</v>
      </c>
      <c r="E27" s="413">
        <f>'- 9 -'!C27</f>
        <v>12.980964367183198</v>
      </c>
      <c r="F27" s="412">
        <v>69837</v>
      </c>
      <c r="G27" s="412">
        <f>'- 55 -'!F27</f>
        <v>72917</v>
      </c>
      <c r="H27" s="413">
        <v>35.65138118544486</v>
      </c>
      <c r="I27" s="413">
        <f>'- 53 -'!G27</f>
        <v>33.78163976960861</v>
      </c>
    </row>
    <row r="28" spans="1:9" ht="13.5" customHeight="1">
      <c r="A28" s="172" t="s">
        <v>261</v>
      </c>
      <c r="B28" s="172">
        <f>'- 4 -'!C28</f>
        <v>8776</v>
      </c>
      <c r="C28" s="172">
        <f>'- 4 -'!E28</f>
        <v>9151</v>
      </c>
      <c r="D28" s="275">
        <v>13.98293515358362</v>
      </c>
      <c r="E28" s="275">
        <f>'- 9 -'!C28</f>
        <v>13.886255924170616</v>
      </c>
      <c r="F28" s="172">
        <v>162371</v>
      </c>
      <c r="G28" s="172">
        <f>'- 55 -'!F28</f>
        <v>179195</v>
      </c>
      <c r="H28" s="275">
        <v>20.041144986572494</v>
      </c>
      <c r="I28" s="275">
        <f>'- 53 -'!G28</f>
        <v>19.101134932594114</v>
      </c>
    </row>
    <row r="29" spans="1:9" ht="13.5" customHeight="1">
      <c r="A29" s="412" t="s">
        <v>262</v>
      </c>
      <c r="B29" s="412">
        <f>'- 4 -'!C29</f>
        <v>8541</v>
      </c>
      <c r="C29" s="412">
        <f>'- 4 -'!E29</f>
        <v>9017</v>
      </c>
      <c r="D29" s="413">
        <v>14.067303379391078</v>
      </c>
      <c r="E29" s="413">
        <f>'- 9 -'!C29</f>
        <v>13.78050250375289</v>
      </c>
      <c r="F29" s="412">
        <v>172859</v>
      </c>
      <c r="G29" s="412">
        <f>'- 55 -'!F29</f>
        <v>208243</v>
      </c>
      <c r="H29" s="413">
        <v>26.800856701411274</v>
      </c>
      <c r="I29" s="413">
        <f>'- 53 -'!G29</f>
        <v>23.14586349182359</v>
      </c>
    </row>
    <row r="30" spans="1:9" ht="13.5" customHeight="1">
      <c r="A30" s="172" t="s">
        <v>263</v>
      </c>
      <c r="B30" s="172">
        <f>'- 4 -'!C30</f>
        <v>8413</v>
      </c>
      <c r="C30" s="172">
        <f>'- 4 -'!E30</f>
        <v>9353</v>
      </c>
      <c r="D30" s="275">
        <v>16.19078947368421</v>
      </c>
      <c r="E30" s="275">
        <f>'- 9 -'!C30</f>
        <v>13.841269841269842</v>
      </c>
      <c r="F30" s="172">
        <v>133195</v>
      </c>
      <c r="G30" s="172">
        <f>'- 55 -'!F30</f>
        <v>153812</v>
      </c>
      <c r="H30" s="275">
        <v>21.557272935991847</v>
      </c>
      <c r="I30" s="275">
        <f>'- 53 -'!G30</f>
        <v>19.003981279983893</v>
      </c>
    </row>
    <row r="31" spans="1:9" ht="13.5" customHeight="1">
      <c r="A31" s="412" t="s">
        <v>264</v>
      </c>
      <c r="B31" s="412">
        <f>'- 4 -'!C31</f>
        <v>7952</v>
      </c>
      <c r="C31" s="412">
        <f>'- 4 -'!E31</f>
        <v>8249</v>
      </c>
      <c r="D31" s="413">
        <v>14.643813142215699</v>
      </c>
      <c r="E31" s="413">
        <f>'- 9 -'!C31</f>
        <v>14.540104620749782</v>
      </c>
      <c r="F31" s="412">
        <v>149592</v>
      </c>
      <c r="G31" s="412">
        <f>'- 55 -'!F31</f>
        <v>168044</v>
      </c>
      <c r="H31" s="413">
        <v>20.920090026872803</v>
      </c>
      <c r="I31" s="413">
        <f>'- 53 -'!G31</f>
        <v>19.728176421178144</v>
      </c>
    </row>
    <row r="32" spans="1:9" ht="13.5" customHeight="1">
      <c r="A32" s="172" t="s">
        <v>265</v>
      </c>
      <c r="B32" s="172">
        <f>'- 4 -'!C32</f>
        <v>8713</v>
      </c>
      <c r="C32" s="172">
        <f>'- 4 -'!E32</f>
        <v>9211</v>
      </c>
      <c r="D32" s="275">
        <v>13.998161473357213</v>
      </c>
      <c r="E32" s="275">
        <f>'- 9 -'!C32</f>
        <v>13.827002872646025</v>
      </c>
      <c r="F32" s="172">
        <v>173106</v>
      </c>
      <c r="G32" s="172">
        <f>'- 55 -'!F32</f>
        <v>203565</v>
      </c>
      <c r="H32" s="275"/>
      <c r="I32" s="275"/>
    </row>
    <row r="33" spans="1:9" ht="13.5" customHeight="1">
      <c r="A33" s="412" t="s">
        <v>266</v>
      </c>
      <c r="B33" s="412">
        <f>'- 4 -'!C33</f>
        <v>9419</v>
      </c>
      <c r="C33" s="412">
        <f>'- 4 -'!E33</f>
        <v>9873</v>
      </c>
      <c r="D33" s="413">
        <v>13.843035041992472</v>
      </c>
      <c r="E33" s="413">
        <f>'- 9 -'!C33</f>
        <v>13.55351465913105</v>
      </c>
      <c r="F33" s="412">
        <v>142002</v>
      </c>
      <c r="G33" s="412">
        <f>'- 55 -'!F33</f>
        <v>173365</v>
      </c>
      <c r="H33" s="413">
        <v>24.668712264497287</v>
      </c>
      <c r="I33" s="413">
        <f>'- 53 -'!G33</f>
        <v>21.34774745704497</v>
      </c>
    </row>
    <row r="34" spans="1:9" ht="13.5" customHeight="1">
      <c r="A34" s="172" t="s">
        <v>267</v>
      </c>
      <c r="B34" s="172">
        <f>'- 4 -'!C34</f>
        <v>8908</v>
      </c>
      <c r="C34" s="172">
        <f>'- 4 -'!E34</f>
        <v>9393</v>
      </c>
      <c r="D34" s="275">
        <v>14.553719849374087</v>
      </c>
      <c r="E34" s="275">
        <f>'- 9 -'!C34</f>
        <v>13.885302711150368</v>
      </c>
      <c r="F34" s="172">
        <v>166231</v>
      </c>
      <c r="G34" s="172">
        <f>'- 55 -'!F34</f>
        <v>187283</v>
      </c>
      <c r="H34" s="275"/>
      <c r="I34" s="275"/>
    </row>
    <row r="35" spans="1:9" ht="13.5" customHeight="1">
      <c r="A35" s="412" t="s">
        <v>268</v>
      </c>
      <c r="B35" s="412">
        <f>'- 4 -'!C35</f>
        <v>7906</v>
      </c>
      <c r="C35" s="412">
        <f>'- 4 -'!E35</f>
        <v>8380</v>
      </c>
      <c r="D35" s="413">
        <v>14.655120855084972</v>
      </c>
      <c r="E35" s="413">
        <f>'- 9 -'!C35</f>
        <v>14.346085219366017</v>
      </c>
      <c r="F35" s="412">
        <v>119751</v>
      </c>
      <c r="G35" s="412">
        <f>'- 55 -'!F35</f>
        <v>143001</v>
      </c>
      <c r="H35" s="413">
        <v>27.166651094932128</v>
      </c>
      <c r="I35" s="413">
        <f>'- 53 -'!G35</f>
        <v>23.945663198038275</v>
      </c>
    </row>
    <row r="36" spans="1:9" ht="13.5" customHeight="1">
      <c r="A36" s="172" t="s">
        <v>269</v>
      </c>
      <c r="B36" s="172">
        <f>'- 4 -'!C36</f>
        <v>8723</v>
      </c>
      <c r="C36" s="172">
        <f>'- 4 -'!E36</f>
        <v>9180</v>
      </c>
      <c r="D36" s="275">
        <v>13.996740824713047</v>
      </c>
      <c r="E36" s="275">
        <f>'- 9 -'!C36</f>
        <v>14.147604976104484</v>
      </c>
      <c r="F36" s="172">
        <v>159336</v>
      </c>
      <c r="G36" s="172">
        <f>'- 55 -'!F36</f>
        <v>181218</v>
      </c>
      <c r="H36" s="275">
        <v>22.182320241123666</v>
      </c>
      <c r="I36" s="275">
        <f>'- 53 -'!G36</f>
        <v>20.940191862269952</v>
      </c>
    </row>
    <row r="37" spans="1:9" ht="13.5" customHeight="1">
      <c r="A37" s="412" t="s">
        <v>270</v>
      </c>
      <c r="B37" s="412">
        <f>'- 4 -'!C37</f>
        <v>8152</v>
      </c>
      <c r="C37" s="412">
        <f>'- 4 -'!E37</f>
        <v>8801</v>
      </c>
      <c r="D37" s="413">
        <v>15.327887451781255</v>
      </c>
      <c r="E37" s="413">
        <f>'- 9 -'!C37</f>
        <v>14.53114186851211</v>
      </c>
      <c r="F37" s="412">
        <v>101323</v>
      </c>
      <c r="G37" s="412">
        <f>'- 55 -'!F37</f>
        <v>121573</v>
      </c>
      <c r="H37" s="413">
        <v>24.649630564824808</v>
      </c>
      <c r="I37" s="413">
        <f>'- 53 -'!G37</f>
        <v>23.06525175305754</v>
      </c>
    </row>
    <row r="38" spans="1:9" ht="13.5" customHeight="1">
      <c r="A38" s="172" t="s">
        <v>271</v>
      </c>
      <c r="B38" s="172">
        <f>'- 4 -'!C38</f>
        <v>7973</v>
      </c>
      <c r="C38" s="172">
        <f>'- 4 -'!E38</f>
        <v>8345</v>
      </c>
      <c r="D38" s="275">
        <v>15.553919896594438</v>
      </c>
      <c r="E38" s="275">
        <f>'- 9 -'!C38</f>
        <v>15.304018036597515</v>
      </c>
      <c r="F38" s="172">
        <v>109517</v>
      </c>
      <c r="G38" s="172">
        <f>'- 55 -'!F38</f>
        <v>132626</v>
      </c>
      <c r="H38" s="275">
        <v>30.28741616366717</v>
      </c>
      <c r="I38" s="275">
        <f>'- 53 -'!G38</f>
        <v>26.31301073336925</v>
      </c>
    </row>
    <row r="39" spans="1:9" ht="13.5" customHeight="1">
      <c r="A39" s="412" t="s">
        <v>272</v>
      </c>
      <c r="B39" s="412">
        <f>'- 4 -'!C39</f>
        <v>9234</v>
      </c>
      <c r="C39" s="412">
        <f>'- 4 -'!E39</f>
        <v>9846</v>
      </c>
      <c r="D39" s="413">
        <v>13.789473684210526</v>
      </c>
      <c r="E39" s="413">
        <f>'- 9 -'!C39</f>
        <v>12.984465714734036</v>
      </c>
      <c r="F39" s="412">
        <v>182103</v>
      </c>
      <c r="G39" s="412">
        <f>'- 55 -'!F39</f>
        <v>210302</v>
      </c>
      <c r="H39" s="413">
        <v>21.707460581257834</v>
      </c>
      <c r="I39" s="413">
        <f>'- 53 -'!G39</f>
        <v>20.030075404320602</v>
      </c>
    </row>
    <row r="40" spans="1:9" ht="13.5" customHeight="1">
      <c r="A40" s="172" t="s">
        <v>273</v>
      </c>
      <c r="B40" s="172">
        <f>'- 4 -'!C40</f>
        <v>8157</v>
      </c>
      <c r="C40" s="172">
        <f>'- 4 -'!E40</f>
        <v>8723</v>
      </c>
      <c r="D40" s="275">
        <v>14.771791969101685</v>
      </c>
      <c r="E40" s="275">
        <f>'- 9 -'!C40</f>
        <v>14.233151452588116</v>
      </c>
      <c r="F40" s="172">
        <v>180421</v>
      </c>
      <c r="G40" s="172">
        <f>'- 55 -'!F40</f>
        <v>210788</v>
      </c>
      <c r="H40" s="275">
        <v>22.428183265463772</v>
      </c>
      <c r="I40" s="275">
        <f>'- 53 -'!G40</f>
        <v>20.980322490957775</v>
      </c>
    </row>
    <row r="41" spans="1:9" ht="13.5" customHeight="1">
      <c r="A41" s="412" t="s">
        <v>274</v>
      </c>
      <c r="B41" s="412">
        <f>'- 4 -'!C41</f>
        <v>9011</v>
      </c>
      <c r="C41" s="412">
        <f>'- 4 -'!E41</f>
        <v>9737</v>
      </c>
      <c r="D41" s="413">
        <v>13.78638518130798</v>
      </c>
      <c r="E41" s="413">
        <f>'- 9 -'!C41</f>
        <v>13.561508799396943</v>
      </c>
      <c r="F41" s="412">
        <v>151009</v>
      </c>
      <c r="G41" s="412">
        <f>'- 55 -'!F41</f>
        <v>189525</v>
      </c>
      <c r="H41" s="413">
        <v>25.607025439034484</v>
      </c>
      <c r="I41" s="413">
        <f>'- 53 -'!G41</f>
        <v>22.69143466570642</v>
      </c>
    </row>
    <row r="42" spans="1:9" ht="13.5" customHeight="1">
      <c r="A42" s="172" t="s">
        <v>275</v>
      </c>
      <c r="B42" s="172">
        <f>'- 4 -'!C42</f>
        <v>9156</v>
      </c>
      <c r="C42" s="172">
        <f>'- 4 -'!E42</f>
        <v>9520</v>
      </c>
      <c r="D42" s="275">
        <v>14.56053478583808</v>
      </c>
      <c r="E42" s="275">
        <f>'- 9 -'!C42</f>
        <v>14.197683017007641</v>
      </c>
      <c r="F42" s="172">
        <v>122753</v>
      </c>
      <c r="G42" s="172">
        <f>'- 55 -'!F42</f>
        <v>140939</v>
      </c>
      <c r="H42" s="275">
        <v>25.216998624130856</v>
      </c>
      <c r="I42" s="275">
        <f>'- 53 -'!G42</f>
        <v>23.05438591238173</v>
      </c>
    </row>
    <row r="43" spans="1:9" ht="13.5" customHeight="1">
      <c r="A43" s="412" t="s">
        <v>276</v>
      </c>
      <c r="B43" s="412">
        <f>'- 4 -'!C43</f>
        <v>8374</v>
      </c>
      <c r="C43" s="412">
        <f>'- 4 -'!E43</f>
        <v>9187</v>
      </c>
      <c r="D43" s="413">
        <v>12.700226244343892</v>
      </c>
      <c r="E43" s="413">
        <f>'- 9 -'!C43</f>
        <v>13.129669799951795</v>
      </c>
      <c r="F43" s="412">
        <v>158975</v>
      </c>
      <c r="G43" s="412">
        <f>'- 55 -'!F43</f>
        <v>187334</v>
      </c>
      <c r="H43" s="413">
        <v>21.324233361766638</v>
      </c>
      <c r="I43" s="413">
        <f>'- 53 -'!G43</f>
        <v>18.820081313771805</v>
      </c>
    </row>
    <row r="44" spans="1:9" ht="13.5" customHeight="1">
      <c r="A44" s="172" t="s">
        <v>277</v>
      </c>
      <c r="B44" s="172">
        <f>'- 4 -'!C44</f>
        <v>8889</v>
      </c>
      <c r="C44" s="172">
        <f>'- 4 -'!E44</f>
        <v>9448</v>
      </c>
      <c r="D44" s="275">
        <v>13.619696176008382</v>
      </c>
      <c r="E44" s="275">
        <f>'- 9 -'!C44</f>
        <v>13.55721393034826</v>
      </c>
      <c r="F44" s="172">
        <v>106061</v>
      </c>
      <c r="G44" s="172">
        <f>'- 55 -'!F44</f>
        <v>122332</v>
      </c>
      <c r="H44" s="275">
        <v>23.719063026291135</v>
      </c>
      <c r="I44" s="275">
        <f>'- 53 -'!G44</f>
        <v>22.631006307672337</v>
      </c>
    </row>
    <row r="45" spans="1:9" ht="13.5" customHeight="1">
      <c r="A45" s="412" t="s">
        <v>278</v>
      </c>
      <c r="B45" s="412">
        <f>'- 4 -'!C45</f>
        <v>7232</v>
      </c>
      <c r="C45" s="412">
        <f>'- 4 -'!E45</f>
        <v>7576</v>
      </c>
      <c r="D45" s="413">
        <v>13.95066342739675</v>
      </c>
      <c r="E45" s="413">
        <f>'- 9 -'!C45</f>
        <v>16.615072887938314</v>
      </c>
      <c r="F45" s="412">
        <v>118955</v>
      </c>
      <c r="G45" s="412">
        <f>'- 55 -'!F45</f>
        <v>142199</v>
      </c>
      <c r="H45" s="413">
        <v>21.551428092639238</v>
      </c>
      <c r="I45" s="413">
        <f>'- 53 -'!G45</f>
        <v>20.446082631930217</v>
      </c>
    </row>
    <row r="46" spans="1:9" ht="13.5" customHeight="1">
      <c r="A46" s="172" t="s">
        <v>279</v>
      </c>
      <c r="B46" s="172">
        <f>'- 4 -'!C46</f>
        <v>8968</v>
      </c>
      <c r="C46" s="172">
        <f>'- 4 -'!E46</f>
        <v>9379</v>
      </c>
      <c r="D46" s="275">
        <v>14.022222222222222</v>
      </c>
      <c r="E46" s="275">
        <f>'- 9 -'!C46</f>
        <v>13.878965976399282</v>
      </c>
      <c r="F46" s="172">
        <v>132244</v>
      </c>
      <c r="G46" s="172">
        <f>'- 55 -'!F46</f>
        <v>156367</v>
      </c>
      <c r="H46" s="275">
        <v>31.01009313892218</v>
      </c>
      <c r="I46" s="275">
        <f>'- 53 -'!G46</f>
        <v>27.07738473655733</v>
      </c>
    </row>
    <row r="47" spans="1:9" ht="4.5" customHeight="1">
      <c r="A47"/>
      <c r="B47"/>
      <c r="C47"/>
      <c r="D47" s="461"/>
      <c r="E47" s="461"/>
      <c r="F47"/>
      <c r="G47"/>
      <c r="H47" s="461"/>
      <c r="I47" s="461"/>
    </row>
    <row r="48" spans="1:9" ht="13.5" customHeight="1">
      <c r="A48" s="415" t="s">
        <v>280</v>
      </c>
      <c r="B48" s="416">
        <f>'- 4 -'!C48</f>
        <v>8528</v>
      </c>
      <c r="C48" s="416">
        <f>'- 4 -'!E48</f>
        <v>9010</v>
      </c>
      <c r="D48" s="462">
        <v>14.328617382461971</v>
      </c>
      <c r="E48" s="462">
        <f>'- 9 -'!C48</f>
        <v>14.164185940858186</v>
      </c>
      <c r="F48" s="416">
        <v>134635</v>
      </c>
      <c r="G48" s="416">
        <f>'- 55 -'!F48</f>
        <v>159713.89473917495</v>
      </c>
      <c r="H48" s="462">
        <v>25.53877297662118</v>
      </c>
      <c r="I48" s="462">
        <f>'- 53 -'!G48</f>
        <v>22.835469434638554</v>
      </c>
    </row>
    <row r="49" spans="1:9" ht="4.5" customHeight="1">
      <c r="A49" s="151"/>
      <c r="B49" s="173"/>
      <c r="C49" s="173"/>
      <c r="D49" s="277"/>
      <c r="E49" s="277"/>
      <c r="F49" s="173"/>
      <c r="G49" s="173"/>
      <c r="H49" s="277"/>
      <c r="I49" s="277"/>
    </row>
    <row r="50" spans="1:9" ht="13.5" customHeight="1">
      <c r="A50" s="172" t="s">
        <v>281</v>
      </c>
      <c r="B50" s="172">
        <f>'- 4 -'!C50</f>
        <v>11139</v>
      </c>
      <c r="C50" s="172">
        <f>'- 4 -'!E50</f>
        <v>11524</v>
      </c>
      <c r="D50" s="275">
        <v>9.461251554082056</v>
      </c>
      <c r="E50" s="275">
        <f>'- 9 -'!C50</f>
        <v>10.219337511190687</v>
      </c>
      <c r="F50" s="172"/>
      <c r="G50" s="172"/>
      <c r="H50" s="275"/>
      <c r="I50" s="275"/>
    </row>
    <row r="51" spans="1:9" ht="13.5" customHeight="1">
      <c r="A51" s="412" t="s">
        <v>282</v>
      </c>
      <c r="B51" s="412">
        <f>'- 4 -'!C51</f>
        <v>9955</v>
      </c>
      <c r="C51" s="412">
        <f>'- 4 -'!E51</f>
        <v>10707</v>
      </c>
      <c r="D51" s="413">
        <v>18.769230769230774</v>
      </c>
      <c r="E51" s="413">
        <f>'- 9 -'!C51</f>
        <v>18.31361760660248</v>
      </c>
      <c r="F51" s="412"/>
      <c r="G51" s="412"/>
      <c r="H51" s="413"/>
      <c r="I51" s="413"/>
    </row>
    <row r="52" spans="1:9" ht="49.5" customHeight="1">
      <c r="A52" s="29"/>
      <c r="B52" s="29"/>
      <c r="C52" s="29"/>
      <c r="D52" s="29"/>
      <c r="E52" s="29"/>
      <c r="F52" s="29"/>
      <c r="G52" s="29"/>
      <c r="H52" s="29"/>
      <c r="I52" s="29"/>
    </row>
    <row r="53" spans="1:3" ht="15" customHeight="1">
      <c r="A53" s="129" t="s">
        <v>404</v>
      </c>
      <c r="B53" s="44"/>
      <c r="C53" s="44"/>
    </row>
    <row r="54" spans="1:3" ht="12" customHeight="1">
      <c r="A54" s="129" t="s">
        <v>405</v>
      </c>
      <c r="B54" s="44"/>
      <c r="C54" s="44"/>
    </row>
    <row r="55" spans="1:3" ht="12" customHeight="1">
      <c r="A55" s="489" t="s">
        <v>617</v>
      </c>
      <c r="B55" s="44"/>
      <c r="C55" s="44"/>
    </row>
    <row r="56" spans="1:3" ht="12" customHeight="1">
      <c r="A56" s="489" t="s">
        <v>618</v>
      </c>
      <c r="B56" s="44"/>
      <c r="C56" s="44"/>
    </row>
    <row r="57" spans="2:3" ht="12" customHeight="1">
      <c r="B57" s="44"/>
      <c r="C57" s="44"/>
    </row>
    <row r="58" spans="2:3" ht="12" customHeight="1">
      <c r="B58" s="44"/>
      <c r="C58" s="44"/>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57"/>
  <sheetViews>
    <sheetView showGridLines="0" showZeros="0" workbookViewId="0" topLeftCell="A1">
      <selection activeCell="A1" sqref="A1"/>
    </sheetView>
  </sheetViews>
  <sheetFormatPr defaultColWidth="16.83203125" defaultRowHeight="12"/>
  <cols>
    <col min="1" max="1" width="32.83203125" style="1" customWidth="1"/>
    <col min="2" max="6" width="16.83203125" style="1" customWidth="1"/>
    <col min="7" max="16384" width="16.83203125" style="1" customWidth="1"/>
  </cols>
  <sheetData>
    <row r="1" spans="1:7" ht="6.75" customHeight="1">
      <c r="A1" s="5"/>
      <c r="B1" s="6"/>
      <c r="C1" s="6"/>
      <c r="D1" s="6"/>
      <c r="E1" s="6"/>
      <c r="F1" s="6"/>
      <c r="G1" s="6"/>
    </row>
    <row r="2" spans="1:7" ht="15.75" customHeight="1">
      <c r="A2" s="70"/>
      <c r="B2" s="80" t="s">
        <v>193</v>
      </c>
      <c r="C2" s="8"/>
      <c r="D2" s="8"/>
      <c r="E2" s="8"/>
      <c r="F2" s="81"/>
      <c r="G2" s="81"/>
    </row>
    <row r="3" spans="1:7" ht="15.75" customHeight="1">
      <c r="A3" s="72"/>
      <c r="B3" s="82" t="s">
        <v>329</v>
      </c>
      <c r="C3" s="10"/>
      <c r="D3" s="10"/>
      <c r="E3" s="10"/>
      <c r="F3" s="83"/>
      <c r="G3" s="83"/>
    </row>
    <row r="4" spans="2:7" ht="15.75" customHeight="1">
      <c r="B4" s="6"/>
      <c r="C4" s="6"/>
      <c r="D4" s="6"/>
      <c r="E4" s="6"/>
      <c r="F4" s="6"/>
      <c r="G4" s="6"/>
    </row>
    <row r="5" spans="2:7" ht="15.75" customHeight="1">
      <c r="B5" s="6"/>
      <c r="C5" s="6"/>
      <c r="D5" s="6"/>
      <c r="E5" s="6"/>
      <c r="F5" s="6"/>
      <c r="G5" s="6"/>
    </row>
    <row r="6" spans="2:7" ht="15.75" customHeight="1">
      <c r="B6" s="578" t="s">
        <v>464</v>
      </c>
      <c r="C6" s="579"/>
      <c r="D6" s="580"/>
      <c r="E6" s="485" t="s">
        <v>464</v>
      </c>
      <c r="F6" s="485" t="s">
        <v>431</v>
      </c>
      <c r="G6" s="327" t="s">
        <v>407</v>
      </c>
    </row>
    <row r="7" spans="2:7" ht="15.75" customHeight="1">
      <c r="B7" s="345" t="s">
        <v>376</v>
      </c>
      <c r="C7" s="346"/>
      <c r="D7" s="347"/>
      <c r="E7" s="348" t="s">
        <v>377</v>
      </c>
      <c r="F7" s="349" t="s">
        <v>378</v>
      </c>
      <c r="G7" s="349" t="s">
        <v>378</v>
      </c>
    </row>
    <row r="8" spans="1:7" ht="15.75" customHeight="1">
      <c r="A8" s="74"/>
      <c r="B8" s="484" t="s">
        <v>465</v>
      </c>
      <c r="C8" s="84" t="s">
        <v>99</v>
      </c>
      <c r="D8" s="85" t="s">
        <v>425</v>
      </c>
      <c r="E8" s="13" t="s">
        <v>426</v>
      </c>
      <c r="F8" s="13" t="s">
        <v>425</v>
      </c>
      <c r="G8" s="13" t="s">
        <v>425</v>
      </c>
    </row>
    <row r="9" spans="1:7" ht="15.75" customHeight="1">
      <c r="A9" s="41" t="s">
        <v>108</v>
      </c>
      <c r="B9" s="86" t="s">
        <v>194</v>
      </c>
      <c r="C9" s="86" t="s">
        <v>194</v>
      </c>
      <c r="D9" s="86" t="s">
        <v>194</v>
      </c>
      <c r="E9" s="87" t="s">
        <v>194</v>
      </c>
      <c r="F9" s="87" t="s">
        <v>194</v>
      </c>
      <c r="G9" s="87" t="s">
        <v>194</v>
      </c>
    </row>
    <row r="10" ht="4.5" customHeight="1">
      <c r="A10" s="4"/>
    </row>
    <row r="11" spans="1:7" ht="13.5" customHeight="1">
      <c r="A11" s="331" t="s">
        <v>245</v>
      </c>
      <c r="B11" s="332">
        <v>1507</v>
      </c>
      <c r="C11" s="332">
        <v>0</v>
      </c>
      <c r="D11" s="332">
        <f>B11-C11</f>
        <v>1507</v>
      </c>
      <c r="E11" s="338">
        <f>'- 7 -'!F11</f>
        <v>1454.5</v>
      </c>
      <c r="F11" s="338">
        <v>1498.3</v>
      </c>
      <c r="G11" s="338">
        <v>1550.3</v>
      </c>
    </row>
    <row r="12" spans="1:7" ht="13.5" customHeight="1">
      <c r="A12" s="25" t="s">
        <v>246</v>
      </c>
      <c r="B12" s="26">
        <v>2472</v>
      </c>
      <c r="C12" s="26">
        <v>0</v>
      </c>
      <c r="D12" s="26">
        <f aca="true" t="shared" si="0" ref="D12:D46">B12-C12</f>
        <v>2472</v>
      </c>
      <c r="E12" s="78">
        <f>'- 7 -'!F12</f>
        <v>2395.33</v>
      </c>
      <c r="F12" s="78">
        <v>2246.4</v>
      </c>
      <c r="G12" s="78">
        <v>2259.9</v>
      </c>
    </row>
    <row r="13" spans="1:7" ht="13.5" customHeight="1">
      <c r="A13" s="331" t="s">
        <v>247</v>
      </c>
      <c r="B13" s="332">
        <v>6972</v>
      </c>
      <c r="C13" s="332">
        <v>0</v>
      </c>
      <c r="D13" s="332">
        <f t="shared" si="0"/>
        <v>6972</v>
      </c>
      <c r="E13" s="338">
        <f>'- 7 -'!F13</f>
        <v>6743.5</v>
      </c>
      <c r="F13" s="338">
        <v>6860.1</v>
      </c>
      <c r="G13" s="338">
        <v>7016.3</v>
      </c>
    </row>
    <row r="14" spans="1:7" ht="13.5" customHeight="1">
      <c r="A14" s="25" t="s">
        <v>283</v>
      </c>
      <c r="B14" s="26">
        <v>4681</v>
      </c>
      <c r="C14" s="26">
        <v>0</v>
      </c>
      <c r="D14" s="26">
        <f t="shared" si="0"/>
        <v>4681</v>
      </c>
      <c r="E14" s="78">
        <f>'- 7 -'!F14</f>
        <v>4681</v>
      </c>
      <c r="F14" s="78">
        <v>4379.6</v>
      </c>
      <c r="G14" s="78">
        <v>4305.1</v>
      </c>
    </row>
    <row r="15" spans="1:7" ht="13.5" customHeight="1">
      <c r="A15" s="331" t="s">
        <v>248</v>
      </c>
      <c r="B15" s="332">
        <v>1678</v>
      </c>
      <c r="C15" s="332">
        <v>0</v>
      </c>
      <c r="D15" s="332">
        <f t="shared" si="0"/>
        <v>1678</v>
      </c>
      <c r="E15" s="338">
        <f>'- 7 -'!F15</f>
        <v>1625</v>
      </c>
      <c r="F15" s="338">
        <v>1583.3</v>
      </c>
      <c r="G15" s="338">
        <v>1604.6</v>
      </c>
    </row>
    <row r="16" spans="1:7" ht="13.5" customHeight="1">
      <c r="A16" s="25" t="s">
        <v>249</v>
      </c>
      <c r="B16" s="26">
        <v>1148</v>
      </c>
      <c r="C16" s="26">
        <v>0</v>
      </c>
      <c r="D16" s="26">
        <f t="shared" si="0"/>
        <v>1148</v>
      </c>
      <c r="E16" s="78">
        <f>'- 7 -'!F16</f>
        <v>1113.5</v>
      </c>
      <c r="F16" s="78">
        <v>1133.9</v>
      </c>
      <c r="G16" s="78">
        <v>1216.2</v>
      </c>
    </row>
    <row r="17" spans="1:7" ht="13.5" customHeight="1">
      <c r="A17" s="331" t="s">
        <v>250</v>
      </c>
      <c r="B17" s="332">
        <v>1480</v>
      </c>
      <c r="C17" s="332">
        <v>0</v>
      </c>
      <c r="D17" s="332">
        <f t="shared" si="0"/>
        <v>1480</v>
      </c>
      <c r="E17" s="338">
        <f>'- 7 -'!F17</f>
        <v>1460.3142857142857</v>
      </c>
      <c r="F17" s="338">
        <v>1398.1</v>
      </c>
      <c r="G17" s="338">
        <v>1426.5</v>
      </c>
    </row>
    <row r="18" spans="1:7" ht="13.5" customHeight="1">
      <c r="A18" s="25" t="s">
        <v>251</v>
      </c>
      <c r="B18" s="26">
        <v>6330</v>
      </c>
      <c r="C18" s="26">
        <v>379</v>
      </c>
      <c r="D18" s="26">
        <f t="shared" si="0"/>
        <v>5951</v>
      </c>
      <c r="E18" s="78">
        <f>'- 7 -'!F18</f>
        <v>5718.8</v>
      </c>
      <c r="F18" s="78">
        <v>2673.6</v>
      </c>
      <c r="G18" s="78">
        <v>2995.6</v>
      </c>
    </row>
    <row r="19" spans="1:7" ht="13.5" customHeight="1">
      <c r="A19" s="331" t="s">
        <v>252</v>
      </c>
      <c r="B19" s="332">
        <v>3535</v>
      </c>
      <c r="C19" s="332">
        <v>0</v>
      </c>
      <c r="D19" s="332">
        <f t="shared" si="0"/>
        <v>3535</v>
      </c>
      <c r="E19" s="338">
        <f>'- 7 -'!F19</f>
        <v>3440.46</v>
      </c>
      <c r="F19" s="338">
        <v>3217.1</v>
      </c>
      <c r="G19" s="338">
        <v>3054.2</v>
      </c>
    </row>
    <row r="20" spans="1:7" ht="13.5" customHeight="1">
      <c r="A20" s="25" t="s">
        <v>253</v>
      </c>
      <c r="B20" s="26">
        <v>7059</v>
      </c>
      <c r="C20" s="26">
        <v>0</v>
      </c>
      <c r="D20" s="26">
        <f t="shared" si="0"/>
        <v>7059</v>
      </c>
      <c r="E20" s="78">
        <f>'- 7 -'!F20</f>
        <v>6790</v>
      </c>
      <c r="F20" s="78">
        <v>6643.4</v>
      </c>
      <c r="G20" s="78">
        <v>6562.9</v>
      </c>
    </row>
    <row r="21" spans="1:7" ht="13.5" customHeight="1">
      <c r="A21" s="331" t="s">
        <v>254</v>
      </c>
      <c r="B21" s="332">
        <v>3221</v>
      </c>
      <c r="C21" s="332">
        <v>0</v>
      </c>
      <c r="D21" s="332">
        <f t="shared" si="0"/>
        <v>3221</v>
      </c>
      <c r="E21" s="338">
        <f>'- 7 -'!F21</f>
        <v>3119.5</v>
      </c>
      <c r="F21" s="338">
        <v>3223.5</v>
      </c>
      <c r="G21" s="338">
        <v>3241.7</v>
      </c>
    </row>
    <row r="22" spans="1:7" ht="13.5" customHeight="1">
      <c r="A22" s="25" t="s">
        <v>255</v>
      </c>
      <c r="B22" s="26">
        <v>1698</v>
      </c>
      <c r="C22" s="26">
        <v>0</v>
      </c>
      <c r="D22" s="26">
        <f t="shared" si="0"/>
        <v>1698</v>
      </c>
      <c r="E22" s="78">
        <f>'- 7 -'!F22</f>
        <v>1626.4</v>
      </c>
      <c r="F22" s="78">
        <v>1653</v>
      </c>
      <c r="G22" s="78">
        <v>1644.3</v>
      </c>
    </row>
    <row r="23" spans="1:7" ht="13.5" customHeight="1">
      <c r="A23" s="331" t="s">
        <v>256</v>
      </c>
      <c r="B23" s="332">
        <v>1337</v>
      </c>
      <c r="C23" s="332">
        <v>0</v>
      </c>
      <c r="D23" s="332">
        <f t="shared" si="0"/>
        <v>1337</v>
      </c>
      <c r="E23" s="338">
        <f>'- 7 -'!F23</f>
        <v>1302</v>
      </c>
      <c r="F23" s="338">
        <v>1259.2</v>
      </c>
      <c r="G23" s="338">
        <v>1268.7</v>
      </c>
    </row>
    <row r="24" spans="1:7" ht="13.5" customHeight="1">
      <c r="A24" s="25" t="s">
        <v>257</v>
      </c>
      <c r="B24" s="26">
        <v>4686</v>
      </c>
      <c r="C24" s="26">
        <v>0</v>
      </c>
      <c r="D24" s="26">
        <f t="shared" si="0"/>
        <v>4686</v>
      </c>
      <c r="E24" s="78">
        <f>'- 7 -'!F24</f>
        <v>4554.5</v>
      </c>
      <c r="F24" s="78">
        <v>4522.2</v>
      </c>
      <c r="G24" s="78">
        <v>4552.9</v>
      </c>
    </row>
    <row r="25" spans="1:7" ht="13.5" customHeight="1">
      <c r="A25" s="331" t="s">
        <v>258</v>
      </c>
      <c r="B25" s="332">
        <v>14913</v>
      </c>
      <c r="C25" s="332">
        <v>0</v>
      </c>
      <c r="D25" s="332">
        <f t="shared" si="0"/>
        <v>14913</v>
      </c>
      <c r="E25" s="338">
        <f>'- 7 -'!F25</f>
        <v>14432.5</v>
      </c>
      <c r="F25" s="338">
        <v>14569.2</v>
      </c>
      <c r="G25" s="338">
        <v>14832.7</v>
      </c>
    </row>
    <row r="26" spans="1:7" ht="13.5" customHeight="1">
      <c r="A26" s="25" t="s">
        <v>259</v>
      </c>
      <c r="B26" s="26">
        <v>3296</v>
      </c>
      <c r="C26" s="26">
        <v>0</v>
      </c>
      <c r="D26" s="26">
        <f t="shared" si="0"/>
        <v>3296</v>
      </c>
      <c r="E26" s="78">
        <f>'- 7 -'!F26</f>
        <v>3201.5</v>
      </c>
      <c r="F26" s="78">
        <v>3162.7</v>
      </c>
      <c r="G26" s="78">
        <v>3164.6</v>
      </c>
    </row>
    <row r="27" spans="1:7" ht="13.5" customHeight="1">
      <c r="A27" s="331" t="s">
        <v>260</v>
      </c>
      <c r="B27" s="332">
        <v>3430</v>
      </c>
      <c r="C27" s="332">
        <v>0</v>
      </c>
      <c r="D27" s="332">
        <f t="shared" si="0"/>
        <v>3430</v>
      </c>
      <c r="E27" s="338">
        <f>'- 7 -'!F27</f>
        <v>3300.54</v>
      </c>
      <c r="F27" s="338">
        <v>3325.8</v>
      </c>
      <c r="G27" s="338">
        <v>3277.6</v>
      </c>
    </row>
    <row r="28" spans="1:7" ht="13.5" customHeight="1">
      <c r="A28" s="25" t="s">
        <v>261</v>
      </c>
      <c r="B28" s="26">
        <v>1950</v>
      </c>
      <c r="C28" s="26">
        <v>0</v>
      </c>
      <c r="D28" s="26">
        <f t="shared" si="0"/>
        <v>1950</v>
      </c>
      <c r="E28" s="78">
        <f>'- 7 -'!F28</f>
        <v>1904.5</v>
      </c>
      <c r="F28" s="78">
        <v>1810.6</v>
      </c>
      <c r="G28" s="78">
        <v>1866.2</v>
      </c>
    </row>
    <row r="29" spans="1:7" ht="13.5" customHeight="1">
      <c r="A29" s="331" t="s">
        <v>262</v>
      </c>
      <c r="B29" s="332">
        <v>13054</v>
      </c>
      <c r="C29" s="332">
        <v>0</v>
      </c>
      <c r="D29" s="332">
        <f t="shared" si="0"/>
        <v>13054</v>
      </c>
      <c r="E29" s="338">
        <f>'- 7 -'!F29</f>
        <v>12576.5</v>
      </c>
      <c r="F29" s="338">
        <v>12778.8</v>
      </c>
      <c r="G29" s="338">
        <v>12990.8</v>
      </c>
    </row>
    <row r="30" spans="1:7" ht="13.5" customHeight="1">
      <c r="A30" s="25" t="s">
        <v>263</v>
      </c>
      <c r="B30" s="26">
        <v>1232</v>
      </c>
      <c r="C30" s="26">
        <v>0</v>
      </c>
      <c r="D30" s="26">
        <f t="shared" si="0"/>
        <v>1232</v>
      </c>
      <c r="E30" s="78">
        <f>'- 7 -'!F30</f>
        <v>1199</v>
      </c>
      <c r="F30" s="78">
        <v>1230.5</v>
      </c>
      <c r="G30" s="78">
        <v>1260.5</v>
      </c>
    </row>
    <row r="31" spans="1:7" ht="13.5" customHeight="1">
      <c r="A31" s="331" t="s">
        <v>264</v>
      </c>
      <c r="B31" s="332">
        <v>3454</v>
      </c>
      <c r="C31" s="332">
        <v>0</v>
      </c>
      <c r="D31" s="332">
        <f t="shared" si="0"/>
        <v>3454</v>
      </c>
      <c r="E31" s="338">
        <f>'- 7 -'!F31</f>
        <v>3335.5</v>
      </c>
      <c r="F31" s="338">
        <v>3245</v>
      </c>
      <c r="G31" s="338">
        <v>3306.6</v>
      </c>
    </row>
    <row r="32" spans="1:7" ht="13.5" customHeight="1">
      <c r="A32" s="25" t="s">
        <v>265</v>
      </c>
      <c r="B32" s="26">
        <v>2256</v>
      </c>
      <c r="C32" s="26">
        <v>0</v>
      </c>
      <c r="D32" s="26">
        <f t="shared" si="0"/>
        <v>2256</v>
      </c>
      <c r="E32" s="78">
        <f>'- 7 -'!F32</f>
        <v>2166</v>
      </c>
      <c r="F32" s="78">
        <v>2196.6</v>
      </c>
      <c r="G32" s="78">
        <v>2247.3</v>
      </c>
    </row>
    <row r="33" spans="1:7" ht="13.5" customHeight="1">
      <c r="A33" s="331" t="s">
        <v>266</v>
      </c>
      <c r="B33" s="332">
        <v>2387</v>
      </c>
      <c r="C33" s="332">
        <v>0</v>
      </c>
      <c r="D33" s="332">
        <f t="shared" si="0"/>
        <v>2387</v>
      </c>
      <c r="E33" s="338">
        <f>'- 7 -'!F33</f>
        <v>2302.2</v>
      </c>
      <c r="F33" s="338">
        <v>2348.4</v>
      </c>
      <c r="G33" s="338">
        <v>2384.9</v>
      </c>
    </row>
    <row r="34" spans="1:7" ht="13.5" customHeight="1">
      <c r="A34" s="25" t="s">
        <v>267</v>
      </c>
      <c r="B34" s="26">
        <v>2095</v>
      </c>
      <c r="C34" s="26">
        <v>0</v>
      </c>
      <c r="D34" s="26">
        <f t="shared" si="0"/>
        <v>2095</v>
      </c>
      <c r="E34" s="78">
        <f>'- 7 -'!F34</f>
        <v>2043.5</v>
      </c>
      <c r="F34" s="78">
        <v>2121.8</v>
      </c>
      <c r="G34" s="78">
        <v>2168.3</v>
      </c>
    </row>
    <row r="35" spans="1:7" ht="13.5" customHeight="1">
      <c r="A35" s="331" t="s">
        <v>268</v>
      </c>
      <c r="B35" s="332">
        <v>17323</v>
      </c>
      <c r="C35" s="332">
        <v>0</v>
      </c>
      <c r="D35" s="332">
        <f t="shared" si="0"/>
        <v>17323</v>
      </c>
      <c r="E35" s="338">
        <f>'- 7 -'!F35</f>
        <v>16804</v>
      </c>
      <c r="F35" s="338">
        <v>16990</v>
      </c>
      <c r="G35" s="338">
        <v>17284.6</v>
      </c>
    </row>
    <row r="36" spans="1:7" ht="13.5" customHeight="1">
      <c r="A36" s="25" t="s">
        <v>269</v>
      </c>
      <c r="B36" s="26">
        <v>2000</v>
      </c>
      <c r="C36" s="26">
        <v>0</v>
      </c>
      <c r="D36" s="26">
        <f t="shared" si="0"/>
        <v>2000</v>
      </c>
      <c r="E36" s="78">
        <f>'- 7 -'!F36</f>
        <v>1939</v>
      </c>
      <c r="F36" s="78">
        <v>1857.6</v>
      </c>
      <c r="G36" s="78">
        <v>1916</v>
      </c>
    </row>
    <row r="37" spans="1:7" ht="13.5" customHeight="1">
      <c r="A37" s="331" t="s">
        <v>270</v>
      </c>
      <c r="B37" s="332">
        <v>3496</v>
      </c>
      <c r="C37" s="332">
        <v>0</v>
      </c>
      <c r="D37" s="332">
        <f t="shared" si="0"/>
        <v>3496</v>
      </c>
      <c r="E37" s="338">
        <f>'- 7 -'!F37</f>
        <v>3359.6</v>
      </c>
      <c r="F37" s="338">
        <v>3377.5</v>
      </c>
      <c r="G37" s="338">
        <v>3352.2</v>
      </c>
    </row>
    <row r="38" spans="1:7" ht="13.5" customHeight="1">
      <c r="A38" s="25" t="s">
        <v>271</v>
      </c>
      <c r="B38" s="26">
        <v>9049</v>
      </c>
      <c r="C38" s="26">
        <v>0</v>
      </c>
      <c r="D38" s="26">
        <f t="shared" si="0"/>
        <v>9049</v>
      </c>
      <c r="E38" s="78">
        <f>'- 7 -'!F38</f>
        <v>8756.5</v>
      </c>
      <c r="F38" s="78">
        <v>8592.7</v>
      </c>
      <c r="G38" s="78">
        <v>8471.1</v>
      </c>
    </row>
    <row r="39" spans="1:7" ht="13.5" customHeight="1">
      <c r="A39" s="331" t="s">
        <v>272</v>
      </c>
      <c r="B39" s="332">
        <v>1708</v>
      </c>
      <c r="C39" s="332">
        <v>0</v>
      </c>
      <c r="D39" s="332">
        <f t="shared" si="0"/>
        <v>1708</v>
      </c>
      <c r="E39" s="338">
        <f>'- 7 -'!F39</f>
        <v>1655</v>
      </c>
      <c r="F39" s="338">
        <v>1729.2</v>
      </c>
      <c r="G39" s="338">
        <v>1780.2</v>
      </c>
    </row>
    <row r="40" spans="1:7" ht="13.5" customHeight="1">
      <c r="A40" s="25" t="s">
        <v>273</v>
      </c>
      <c r="B40" s="26">
        <v>9036</v>
      </c>
      <c r="C40" s="26">
        <v>0</v>
      </c>
      <c r="D40" s="26">
        <f t="shared" si="0"/>
        <v>9036</v>
      </c>
      <c r="E40" s="78">
        <f>'- 7 -'!F40</f>
        <v>8686.35</v>
      </c>
      <c r="F40" s="78">
        <v>8790.9</v>
      </c>
      <c r="G40" s="78">
        <v>8893</v>
      </c>
    </row>
    <row r="41" spans="1:7" ht="13.5" customHeight="1">
      <c r="A41" s="331" t="s">
        <v>274</v>
      </c>
      <c r="B41" s="332">
        <v>4844</v>
      </c>
      <c r="C41" s="332">
        <v>0</v>
      </c>
      <c r="D41" s="332">
        <f t="shared" si="0"/>
        <v>4844</v>
      </c>
      <c r="E41" s="338">
        <f>'- 7 -'!F41</f>
        <v>4677.5</v>
      </c>
      <c r="F41" s="338">
        <v>4646.8</v>
      </c>
      <c r="G41" s="338">
        <v>4712.2</v>
      </c>
    </row>
    <row r="42" spans="1:7" ht="13.5" customHeight="1">
      <c r="A42" s="25" t="s">
        <v>275</v>
      </c>
      <c r="B42" s="26">
        <v>1788</v>
      </c>
      <c r="C42" s="26">
        <v>0</v>
      </c>
      <c r="D42" s="26">
        <f t="shared" si="0"/>
        <v>1788</v>
      </c>
      <c r="E42" s="78">
        <f>'- 7 -'!F42</f>
        <v>1728</v>
      </c>
      <c r="F42" s="78">
        <v>1690.3</v>
      </c>
      <c r="G42" s="78">
        <v>1727.7</v>
      </c>
    </row>
    <row r="43" spans="1:7" ht="13.5" customHeight="1">
      <c r="A43" s="331" t="s">
        <v>276</v>
      </c>
      <c r="B43" s="332">
        <v>1124</v>
      </c>
      <c r="C43" s="332">
        <v>0</v>
      </c>
      <c r="D43" s="332">
        <f t="shared" si="0"/>
        <v>1124</v>
      </c>
      <c r="E43" s="338">
        <f>'- 7 -'!F43</f>
        <v>1089.5</v>
      </c>
      <c r="F43" s="338">
        <v>1118.7</v>
      </c>
      <c r="G43" s="338">
        <v>1152.5</v>
      </c>
    </row>
    <row r="44" spans="1:7" ht="13.5" customHeight="1">
      <c r="A44" s="25" t="s">
        <v>277</v>
      </c>
      <c r="B44" s="26">
        <v>851</v>
      </c>
      <c r="C44" s="26">
        <v>0</v>
      </c>
      <c r="D44" s="26">
        <f t="shared" si="0"/>
        <v>851</v>
      </c>
      <c r="E44" s="78">
        <f>'- 7 -'!F44</f>
        <v>817.5</v>
      </c>
      <c r="F44" s="78">
        <v>768</v>
      </c>
      <c r="G44" s="78">
        <v>792.2</v>
      </c>
    </row>
    <row r="45" spans="1:7" ht="13.5" customHeight="1">
      <c r="A45" s="331" t="s">
        <v>278</v>
      </c>
      <c r="B45" s="332">
        <v>1545</v>
      </c>
      <c r="C45" s="332">
        <v>0</v>
      </c>
      <c r="D45" s="332">
        <f t="shared" si="0"/>
        <v>1545</v>
      </c>
      <c r="E45" s="338">
        <f>'- 7 -'!F45</f>
        <v>1476</v>
      </c>
      <c r="F45" s="338">
        <v>1463.6</v>
      </c>
      <c r="G45" s="338">
        <v>1487.6</v>
      </c>
    </row>
    <row r="46" spans="1:7" ht="13.5" customHeight="1">
      <c r="A46" s="25" t="s">
        <v>279</v>
      </c>
      <c r="B46" s="26">
        <v>33316</v>
      </c>
      <c r="C46" s="26">
        <v>1763</v>
      </c>
      <c r="D46" s="26">
        <f t="shared" si="0"/>
        <v>31553</v>
      </c>
      <c r="E46" s="78">
        <f>'- 7 -'!F46</f>
        <v>30227</v>
      </c>
      <c r="F46" s="78">
        <v>30113.4</v>
      </c>
      <c r="G46" s="78">
        <v>30344.5</v>
      </c>
    </row>
    <row r="47" spans="1:8" ht="4.5" customHeight="1">
      <c r="A47"/>
      <c r="B47"/>
      <c r="C47"/>
      <c r="D47"/>
      <c r="E47"/>
      <c r="F47"/>
      <c r="G47"/>
      <c r="H47"/>
    </row>
    <row r="48" spans="1:7" ht="13.5" customHeight="1">
      <c r="A48" s="333" t="s">
        <v>280</v>
      </c>
      <c r="B48" s="334">
        <f aca="true" t="shared" si="1" ref="B48:G48">SUM(B11:B46)</f>
        <v>181951</v>
      </c>
      <c r="C48" s="334">
        <f t="shared" si="1"/>
        <v>2142</v>
      </c>
      <c r="D48" s="334">
        <f t="shared" si="1"/>
        <v>179809</v>
      </c>
      <c r="E48" s="341">
        <f t="shared" si="1"/>
        <v>173702.4942857143</v>
      </c>
      <c r="F48" s="341">
        <f t="shared" si="1"/>
        <v>170219.8</v>
      </c>
      <c r="G48" s="341">
        <f t="shared" si="1"/>
        <v>172112.50000000003</v>
      </c>
    </row>
    <row r="49" spans="1:7" ht="4.5" customHeight="1">
      <c r="A49" s="27" t="s">
        <v>32</v>
      </c>
      <c r="B49" s="28"/>
      <c r="C49" s="28"/>
      <c r="D49" s="28"/>
      <c r="E49" s="79"/>
      <c r="F49" s="79"/>
      <c r="G49" s="79"/>
    </row>
    <row r="50" spans="1:7" ht="13.5" customHeight="1">
      <c r="A50" s="331" t="s">
        <v>281</v>
      </c>
      <c r="B50" s="332">
        <v>234</v>
      </c>
      <c r="C50" s="332">
        <v>0</v>
      </c>
      <c r="D50" s="332">
        <f>B50-C50</f>
        <v>234</v>
      </c>
      <c r="E50" s="338">
        <f>'- 7 -'!F50</f>
        <v>228.3</v>
      </c>
      <c r="F50" s="338">
        <v>228.3</v>
      </c>
      <c r="G50" s="338">
        <v>264.2</v>
      </c>
    </row>
    <row r="51" spans="1:7" ht="13.5" customHeight="1">
      <c r="A51" s="25" t="s">
        <v>282</v>
      </c>
      <c r="B51" s="26"/>
      <c r="C51" s="26"/>
      <c r="D51" s="26"/>
      <c r="E51" s="78">
        <f>'- 7 -'!F51</f>
        <v>665.7</v>
      </c>
      <c r="F51" s="78"/>
      <c r="G51" s="78"/>
    </row>
    <row r="52" spans="1:7" ht="49.5" customHeight="1">
      <c r="A52" s="29"/>
      <c r="B52" s="29"/>
      <c r="C52" s="29"/>
      <c r="D52" s="29"/>
      <c r="E52" s="29"/>
      <c r="F52" s="88"/>
      <c r="G52" s="88"/>
    </row>
    <row r="53" spans="1:6" ht="15" customHeight="1">
      <c r="A53" s="128" t="s">
        <v>379</v>
      </c>
      <c r="C53" s="89"/>
      <c r="D53" s="89"/>
      <c r="E53" s="89"/>
      <c r="F53" s="89"/>
    </row>
    <row r="54" spans="1:6" ht="12" customHeight="1">
      <c r="A54" s="128" t="s">
        <v>382</v>
      </c>
      <c r="C54" s="89"/>
      <c r="D54" s="89"/>
      <c r="E54" s="89"/>
      <c r="F54" s="89"/>
    </row>
    <row r="55" spans="1:6" ht="12" customHeight="1">
      <c r="A55" s="31" t="s">
        <v>383</v>
      </c>
      <c r="C55" s="89"/>
      <c r="D55" s="89"/>
      <c r="E55" s="89"/>
      <c r="F55" s="89"/>
    </row>
    <row r="56" spans="1:6" ht="12" customHeight="1">
      <c r="A56" s="489" t="s">
        <v>524</v>
      </c>
      <c r="C56" s="89"/>
      <c r="D56" s="89"/>
      <c r="E56" s="89"/>
      <c r="F56" s="90"/>
    </row>
    <row r="57" ht="12">
      <c r="A57" s="1" t="s">
        <v>432</v>
      </c>
    </row>
  </sheetData>
  <mergeCells count="1">
    <mergeCell ref="B6:D6"/>
  </mergeCells>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7"/>
  <sheetViews>
    <sheetView showGridLines="0" showZeros="0" workbookViewId="0" topLeftCell="A1">
      <selection activeCell="A1" sqref="A1"/>
    </sheetView>
  </sheetViews>
  <sheetFormatPr defaultColWidth="9.33203125" defaultRowHeight="12"/>
  <cols>
    <col min="1" max="1" width="39.83203125" style="1" customWidth="1"/>
    <col min="2" max="3" width="31.83203125" style="1" customWidth="1"/>
    <col min="4" max="4" width="29.83203125" style="1" customWidth="1"/>
    <col min="5" max="16384" width="9.33203125" style="1" customWidth="1"/>
  </cols>
  <sheetData>
    <row r="1" spans="1:4" ht="6.75" customHeight="1">
      <c r="A1" s="5"/>
      <c r="B1" s="6"/>
      <c r="C1" s="6"/>
      <c r="D1" s="6"/>
    </row>
    <row r="2" spans="1:4" ht="15.75" customHeight="1">
      <c r="A2" s="70"/>
      <c r="B2" s="7" t="s">
        <v>196</v>
      </c>
      <c r="C2" s="8"/>
      <c r="D2" s="71"/>
    </row>
    <row r="3" spans="1:4" ht="15.75" customHeight="1">
      <c r="A3" s="72"/>
      <c r="B3" s="9" t="str">
        <f>STATDATE</f>
        <v>ACTUAL SEPTEMBER 30, 2006</v>
      </c>
      <c r="C3" s="10"/>
      <c r="D3" s="73"/>
    </row>
    <row r="4" spans="2:4" ht="15.75" customHeight="1">
      <c r="B4" s="6"/>
      <c r="C4" s="6"/>
      <c r="D4" s="6"/>
    </row>
    <row r="5" spans="2:4" ht="15.75" customHeight="1">
      <c r="B5" s="6"/>
      <c r="C5" s="6"/>
      <c r="D5" s="6"/>
    </row>
    <row r="6" spans="2:4" ht="15.75" customHeight="1">
      <c r="B6" s="6"/>
      <c r="C6" s="6"/>
      <c r="D6" s="6"/>
    </row>
    <row r="7" spans="2:4" ht="15.75" customHeight="1">
      <c r="B7" s="350" t="s">
        <v>195</v>
      </c>
      <c r="C7" s="329"/>
      <c r="D7" s="6"/>
    </row>
    <row r="8" spans="1:4" ht="15.75" customHeight="1">
      <c r="A8" s="74"/>
      <c r="B8" s="75" t="s">
        <v>100</v>
      </c>
      <c r="C8" s="76"/>
      <c r="D8" s="77"/>
    </row>
    <row r="9" spans="1:3" ht="15.75" customHeight="1">
      <c r="A9" s="41" t="s">
        <v>108</v>
      </c>
      <c r="B9" s="42" t="s">
        <v>380</v>
      </c>
      <c r="C9" s="42" t="s">
        <v>381</v>
      </c>
    </row>
    <row r="10" ht="4.5" customHeight="1">
      <c r="A10" s="4"/>
    </row>
    <row r="11" spans="1:3" ht="13.5" customHeight="1">
      <c r="A11" s="331" t="s">
        <v>245</v>
      </c>
      <c r="B11" s="338">
        <v>16.915688367129135</v>
      </c>
      <c r="C11" s="338">
        <v>14.386745796241346</v>
      </c>
    </row>
    <row r="12" spans="1:3" ht="13.5" customHeight="1">
      <c r="A12" s="25" t="s">
        <v>246</v>
      </c>
      <c r="B12" s="78">
        <v>17.207830459770115</v>
      </c>
      <c r="C12" s="78">
        <v>13.950669772859639</v>
      </c>
    </row>
    <row r="13" spans="1:3" ht="13.5" customHeight="1">
      <c r="A13" s="331" t="s">
        <v>247</v>
      </c>
      <c r="B13" s="338">
        <v>18.789597972583802</v>
      </c>
      <c r="C13" s="338">
        <v>14.864656350570911</v>
      </c>
    </row>
    <row r="14" spans="1:3" ht="13.5" customHeight="1">
      <c r="A14" s="25" t="s">
        <v>283</v>
      </c>
      <c r="B14" s="78">
        <v>16.167643527999434</v>
      </c>
      <c r="C14" s="78">
        <v>13.251613633790058</v>
      </c>
    </row>
    <row r="15" spans="1:3" ht="13.5" customHeight="1">
      <c r="A15" s="331" t="s">
        <v>248</v>
      </c>
      <c r="B15" s="338">
        <v>19.063819802909432</v>
      </c>
      <c r="C15" s="338">
        <v>15.496852946786191</v>
      </c>
    </row>
    <row r="16" spans="1:3" ht="13.5" customHeight="1">
      <c r="A16" s="25" t="s">
        <v>249</v>
      </c>
      <c r="B16" s="78">
        <v>16.42222222222222</v>
      </c>
      <c r="C16" s="78">
        <v>13.439951719975861</v>
      </c>
    </row>
    <row r="17" spans="1:3" ht="13.5" customHeight="1">
      <c r="A17" s="331" t="s">
        <v>250</v>
      </c>
      <c r="B17" s="338">
        <v>15.115560353113402</v>
      </c>
      <c r="C17" s="338">
        <v>13.049006216730278</v>
      </c>
    </row>
    <row r="18" spans="1:3" ht="13.5" customHeight="1">
      <c r="A18" s="25" t="s">
        <v>251</v>
      </c>
      <c r="B18" s="78">
        <v>14.904352358613501</v>
      </c>
      <c r="C18" s="78">
        <v>12.206616862326575</v>
      </c>
    </row>
    <row r="19" spans="1:3" ht="13.5" customHeight="1">
      <c r="A19" s="331" t="s">
        <v>252</v>
      </c>
      <c r="B19" s="338">
        <v>18.907480643903526</v>
      </c>
      <c r="C19" s="338">
        <v>15.856115771038807</v>
      </c>
    </row>
    <row r="20" spans="1:3" ht="13.5" customHeight="1">
      <c r="A20" s="25" t="s">
        <v>253</v>
      </c>
      <c r="B20" s="78">
        <v>19.915951569295874</v>
      </c>
      <c r="C20" s="78">
        <v>16.92359458145882</v>
      </c>
    </row>
    <row r="21" spans="1:3" ht="13.5" customHeight="1">
      <c r="A21" s="331" t="s">
        <v>254</v>
      </c>
      <c r="B21" s="338">
        <v>18.653368095555688</v>
      </c>
      <c r="C21" s="338">
        <v>14.490431066518022</v>
      </c>
    </row>
    <row r="22" spans="1:3" ht="13.5" customHeight="1">
      <c r="A22" s="25" t="s">
        <v>255</v>
      </c>
      <c r="B22" s="78">
        <v>18.04388862671071</v>
      </c>
      <c r="C22" s="78">
        <v>14.277938723553682</v>
      </c>
    </row>
    <row r="23" spans="1:3" ht="13.5" customHeight="1">
      <c r="A23" s="331" t="s">
        <v>256</v>
      </c>
      <c r="B23" s="338">
        <v>18.146341463414632</v>
      </c>
      <c r="C23" s="338">
        <v>14.252873563218392</v>
      </c>
    </row>
    <row r="24" spans="1:3" ht="13.5" customHeight="1">
      <c r="A24" s="25" t="s">
        <v>257</v>
      </c>
      <c r="B24" s="78">
        <v>17.317399617590823</v>
      </c>
      <c r="C24" s="78">
        <v>14.118102913825169</v>
      </c>
    </row>
    <row r="25" spans="1:3" ht="13.5" customHeight="1">
      <c r="A25" s="331" t="s">
        <v>258</v>
      </c>
      <c r="B25" s="338">
        <v>19.183676215336178</v>
      </c>
      <c r="C25" s="338">
        <v>14.538485559730436</v>
      </c>
    </row>
    <row r="26" spans="1:3" ht="13.5" customHeight="1">
      <c r="A26" s="25" t="s">
        <v>259</v>
      </c>
      <c r="B26" s="78">
        <v>16.200875585420484</v>
      </c>
      <c r="C26" s="78">
        <v>13.243019648397105</v>
      </c>
    </row>
    <row r="27" spans="1:3" ht="13.5" customHeight="1">
      <c r="A27" s="331" t="s">
        <v>260</v>
      </c>
      <c r="B27" s="338">
        <v>16.388823499309144</v>
      </c>
      <c r="C27" s="338">
        <v>12.980964367183198</v>
      </c>
    </row>
    <row r="28" spans="1:3" ht="13.5" customHeight="1">
      <c r="A28" s="25" t="s">
        <v>261</v>
      </c>
      <c r="B28" s="78">
        <v>16.92888888888889</v>
      </c>
      <c r="C28" s="78">
        <v>13.886255924170616</v>
      </c>
    </row>
    <row r="29" spans="1:3" ht="13.5" customHeight="1">
      <c r="A29" s="331" t="s">
        <v>262</v>
      </c>
      <c r="B29" s="338">
        <v>17.288428324697755</v>
      </c>
      <c r="C29" s="338">
        <v>13.78050250375289</v>
      </c>
    </row>
    <row r="30" spans="1:3" ht="13.5" customHeight="1">
      <c r="A30" s="25" t="s">
        <v>263</v>
      </c>
      <c r="B30" s="78">
        <v>16.340715502555366</v>
      </c>
      <c r="C30" s="78">
        <v>13.841269841269842</v>
      </c>
    </row>
    <row r="31" spans="1:3" ht="13.5" customHeight="1">
      <c r="A31" s="331" t="s">
        <v>264</v>
      </c>
      <c r="B31" s="338">
        <v>17.39886307191346</v>
      </c>
      <c r="C31" s="338">
        <v>14.540104620749782</v>
      </c>
    </row>
    <row r="32" spans="1:3" ht="13.5" customHeight="1">
      <c r="A32" s="25" t="s">
        <v>265</v>
      </c>
      <c r="B32" s="78">
        <v>16.093320454714316</v>
      </c>
      <c r="C32" s="78">
        <v>13.827002872646025</v>
      </c>
    </row>
    <row r="33" spans="1:3" ht="13.5" customHeight="1">
      <c r="A33" s="331" t="s">
        <v>266</v>
      </c>
      <c r="B33" s="338">
        <v>16.082431016416344</v>
      </c>
      <c r="C33" s="338">
        <v>13.55351465913105</v>
      </c>
    </row>
    <row r="34" spans="1:3" ht="13.5" customHeight="1">
      <c r="A34" s="25" t="s">
        <v>267</v>
      </c>
      <c r="B34" s="78">
        <v>17.232906888079302</v>
      </c>
      <c r="C34" s="78">
        <v>13.885302711150368</v>
      </c>
    </row>
    <row r="35" spans="1:3" ht="13.5" customHeight="1">
      <c r="A35" s="331" t="s">
        <v>268</v>
      </c>
      <c r="B35" s="338">
        <v>17.851699190657136</v>
      </c>
      <c r="C35" s="338">
        <v>14.346085219366017</v>
      </c>
    </row>
    <row r="36" spans="1:3" ht="13.5" customHeight="1">
      <c r="A36" s="25" t="s">
        <v>269</v>
      </c>
      <c r="B36" s="78">
        <v>17.01453104359313</v>
      </c>
      <c r="C36" s="78">
        <v>14.147604976104484</v>
      </c>
    </row>
    <row r="37" spans="1:3" ht="13.5" customHeight="1">
      <c r="A37" s="331" t="s">
        <v>270</v>
      </c>
      <c r="B37" s="338">
        <v>18.169821525148727</v>
      </c>
      <c r="C37" s="338">
        <v>14.53114186851211</v>
      </c>
    </row>
    <row r="38" spans="1:3" ht="13.5" customHeight="1">
      <c r="A38" s="25" t="s">
        <v>271</v>
      </c>
      <c r="B38" s="78">
        <v>18.241052565523876</v>
      </c>
      <c r="C38" s="78">
        <v>15.304018036597515</v>
      </c>
    </row>
    <row r="39" spans="1:3" ht="13.5" customHeight="1">
      <c r="A39" s="331" t="s">
        <v>272</v>
      </c>
      <c r="B39" s="338">
        <v>15.343964398294085</v>
      </c>
      <c r="C39" s="338">
        <v>12.984465714734036</v>
      </c>
    </row>
    <row r="40" spans="1:3" ht="13.5" customHeight="1">
      <c r="A40" s="25" t="s">
        <v>273</v>
      </c>
      <c r="B40" s="78">
        <v>17.854881486895685</v>
      </c>
      <c r="C40" s="78">
        <v>14.233151452588116</v>
      </c>
    </row>
    <row r="41" spans="1:3" ht="13.5" customHeight="1">
      <c r="A41" s="331" t="s">
        <v>274</v>
      </c>
      <c r="B41" s="338">
        <v>17.36561761506433</v>
      </c>
      <c r="C41" s="338">
        <v>13.561508799396943</v>
      </c>
    </row>
    <row r="42" spans="1:3" ht="13.5" customHeight="1">
      <c r="A42" s="25" t="s">
        <v>275</v>
      </c>
      <c r="B42" s="78">
        <v>17.03973967064392</v>
      </c>
      <c r="C42" s="78">
        <v>14.197683017007641</v>
      </c>
    </row>
    <row r="43" spans="1:3" ht="13.5" customHeight="1">
      <c r="A43" s="331" t="s">
        <v>276</v>
      </c>
      <c r="B43" s="338">
        <v>15.291228070175439</v>
      </c>
      <c r="C43" s="338">
        <v>13.129669799951795</v>
      </c>
    </row>
    <row r="44" spans="1:3" ht="13.5" customHeight="1">
      <c r="A44" s="25" t="s">
        <v>277</v>
      </c>
      <c r="B44" s="78">
        <v>16.765791632485644</v>
      </c>
      <c r="C44" s="78">
        <v>13.55721393034826</v>
      </c>
    </row>
    <row r="45" spans="1:3" ht="13.5" customHeight="1">
      <c r="A45" s="331" t="s">
        <v>278</v>
      </c>
      <c r="B45" s="338">
        <v>19.281217208814272</v>
      </c>
      <c r="C45" s="338">
        <v>16.615072887938314</v>
      </c>
    </row>
    <row r="46" spans="1:3" ht="13.5" customHeight="1">
      <c r="A46" s="25" t="s">
        <v>279</v>
      </c>
      <c r="B46" s="78">
        <v>17.77736822705492</v>
      </c>
      <c r="C46" s="78">
        <v>13.878965976399282</v>
      </c>
    </row>
    <row r="47" spans="1:4" ht="4.5" customHeight="1">
      <c r="A47"/>
      <c r="B47"/>
      <c r="C47"/>
      <c r="D47"/>
    </row>
    <row r="48" spans="1:4" ht="13.5" customHeight="1">
      <c r="A48" s="333" t="s">
        <v>280</v>
      </c>
      <c r="B48" s="341">
        <v>17.619462957890637</v>
      </c>
      <c r="C48" s="341">
        <v>14.164185940858186</v>
      </c>
      <c r="D48" s="4"/>
    </row>
    <row r="49" spans="1:3" ht="4.5" customHeight="1">
      <c r="A49" s="27" t="s">
        <v>32</v>
      </c>
      <c r="B49" s="79"/>
      <c r="C49" s="79"/>
    </row>
    <row r="50" spans="1:3" ht="13.5" customHeight="1">
      <c r="A50" s="25" t="s">
        <v>281</v>
      </c>
      <c r="B50" s="78">
        <v>12.502738225629791</v>
      </c>
      <c r="C50" s="78">
        <v>10.219337511190687</v>
      </c>
    </row>
    <row r="51" spans="1:3" ht="13.5" customHeight="1">
      <c r="A51" s="331" t="s">
        <v>282</v>
      </c>
      <c r="B51" s="338">
        <v>19.408163265306126</v>
      </c>
      <c r="C51" s="338">
        <v>18.31361760660248</v>
      </c>
    </row>
    <row r="52" spans="1:4" ht="49.5" customHeight="1">
      <c r="A52" s="29"/>
      <c r="B52" s="29"/>
      <c r="C52" s="29"/>
      <c r="D52" s="29"/>
    </row>
    <row r="53" spans="1:4" ht="15" customHeight="1">
      <c r="A53" s="129" t="s">
        <v>385</v>
      </c>
      <c r="B53" s="44"/>
      <c r="C53" s="44"/>
      <c r="D53" s="44"/>
    </row>
    <row r="54" spans="1:4" ht="12" customHeight="1">
      <c r="A54" s="44" t="s">
        <v>384</v>
      </c>
      <c r="B54" s="44"/>
      <c r="C54" s="44"/>
      <c r="D54" s="44"/>
    </row>
    <row r="55" spans="1:4" ht="12" customHeight="1">
      <c r="A55" s="129" t="s">
        <v>386</v>
      </c>
      <c r="C55" s="44"/>
      <c r="D55" s="44"/>
    </row>
    <row r="56" spans="1:4" ht="12" customHeight="1">
      <c r="A56" s="44" t="s">
        <v>424</v>
      </c>
      <c r="C56" s="44"/>
      <c r="D56" s="44"/>
    </row>
    <row r="57" spans="1:4" ht="12" customHeight="1">
      <c r="A57" s="44" t="s">
        <v>387</v>
      </c>
      <c r="B57" s="44"/>
      <c r="C57" s="44"/>
      <c r="D57" s="44"/>
    </row>
  </sheetData>
  <printOptions horizontalCentered="1"/>
  <pageMargins left="0.5" right="0.5" top="0.6" bottom="0" header="0.3" footer="0"/>
  <pageSetup fitToHeight="1" fitToWidth="1" horizontalDpi="600" verticalDpi="600" orientation="portrait" scale="88"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L29"/>
  <sheetViews>
    <sheetView showGridLines="0" showZeros="0" workbookViewId="0" topLeftCell="A1">
      <selection activeCell="A1" sqref="A1"/>
    </sheetView>
  </sheetViews>
  <sheetFormatPr defaultColWidth="15.83203125" defaultRowHeight="12"/>
  <cols>
    <col min="1" max="1" width="5.83203125" style="1" customWidth="1"/>
    <col min="2" max="2" width="40.83203125" style="1" customWidth="1"/>
    <col min="3" max="5" width="15.83203125" style="1" customWidth="1"/>
    <col min="6" max="6" width="17.83203125" style="1" customWidth="1"/>
    <col min="7" max="8" width="15.83203125" style="1" customWidth="1"/>
    <col min="9" max="9" width="13.83203125" style="1" customWidth="1"/>
    <col min="10" max="10" width="2.83203125" style="1" customWidth="1"/>
    <col min="11" max="11" width="15.83203125" style="1" customWidth="1"/>
    <col min="12" max="12" width="6.83203125" style="1" customWidth="1"/>
    <col min="13" max="16384" width="15.83203125" style="1" customWidth="1"/>
  </cols>
  <sheetData>
    <row r="2" spans="1:11" ht="12">
      <c r="A2" s="45"/>
      <c r="B2" s="45"/>
      <c r="C2" s="46" t="str">
        <f>OPYEAR</f>
        <v>OPERATING FUND 2006/2007 ACTUAL</v>
      </c>
      <c r="D2" s="47"/>
      <c r="E2" s="47"/>
      <c r="F2" s="47"/>
      <c r="G2" s="47"/>
      <c r="H2" s="47"/>
      <c r="I2" s="47"/>
      <c r="J2" s="47"/>
      <c r="K2" s="48"/>
    </row>
    <row r="4" spans="3:11" ht="12">
      <c r="C4" s="6"/>
      <c r="D4" s="6"/>
      <c r="E4" s="6"/>
      <c r="F4" s="6"/>
      <c r="G4" s="6"/>
      <c r="H4" s="6"/>
      <c r="I4" s="6"/>
      <c r="J4" s="6"/>
      <c r="K4" s="6"/>
    </row>
    <row r="5" spans="3:11" ht="15.75">
      <c r="C5" s="324" t="s">
        <v>516</v>
      </c>
      <c r="D5" s="49"/>
      <c r="E5" s="49"/>
      <c r="F5" s="49"/>
      <c r="G5" s="49"/>
      <c r="H5" s="49"/>
      <c r="I5" s="49"/>
      <c r="J5" s="49"/>
      <c r="K5" s="6"/>
    </row>
    <row r="6" spans="3:11" ht="12">
      <c r="C6" s="6"/>
      <c r="D6" s="6"/>
      <c r="E6" s="6"/>
      <c r="F6" s="6"/>
      <c r="G6" s="6"/>
      <c r="H6" s="6"/>
      <c r="I6" s="6"/>
      <c r="J6" s="6"/>
      <c r="K6" s="6"/>
    </row>
    <row r="7" spans="3:11" ht="12">
      <c r="C7" s="6"/>
      <c r="D7" s="6"/>
      <c r="E7" s="6"/>
      <c r="F7" s="6"/>
      <c r="G7" s="6"/>
      <c r="H7" s="6"/>
      <c r="I7" s="6"/>
      <c r="J7" s="6"/>
      <c r="K7" s="6"/>
    </row>
    <row r="8" spans="3:11" ht="12">
      <c r="C8" s="328" t="s">
        <v>174</v>
      </c>
      <c r="D8" s="351"/>
      <c r="E8" s="351"/>
      <c r="F8" s="351"/>
      <c r="G8" s="351"/>
      <c r="H8" s="351"/>
      <c r="I8" s="351"/>
      <c r="J8" s="352"/>
      <c r="K8" s="6"/>
    </row>
    <row r="9" spans="3:11" ht="12">
      <c r="C9" s="6"/>
      <c r="D9" s="6"/>
      <c r="E9" s="6"/>
      <c r="F9" s="6"/>
      <c r="G9" s="6"/>
      <c r="H9" s="6"/>
      <c r="I9" s="6"/>
      <c r="J9" s="6"/>
      <c r="K9" s="6"/>
    </row>
    <row r="10" spans="1:11" ht="12">
      <c r="A10" s="50"/>
      <c r="B10" s="51"/>
      <c r="C10" s="353"/>
      <c r="D10" s="353" t="s">
        <v>175</v>
      </c>
      <c r="E10" s="354"/>
      <c r="F10" s="353" t="s">
        <v>176</v>
      </c>
      <c r="G10" s="359" t="s">
        <v>156</v>
      </c>
      <c r="H10" s="545" t="s">
        <v>553</v>
      </c>
      <c r="I10" s="355"/>
      <c r="J10" s="356"/>
      <c r="K10" s="353"/>
    </row>
    <row r="11" spans="1:11" ht="12">
      <c r="A11" s="581" t="s">
        <v>185</v>
      </c>
      <c r="B11" s="582"/>
      <c r="C11" s="357" t="s">
        <v>177</v>
      </c>
      <c r="D11" s="357" t="s">
        <v>178</v>
      </c>
      <c r="E11" s="347" t="s">
        <v>165</v>
      </c>
      <c r="F11" s="357" t="s">
        <v>179</v>
      </c>
      <c r="G11" s="345" t="s">
        <v>165</v>
      </c>
      <c r="H11" s="544" t="s">
        <v>554</v>
      </c>
      <c r="I11" s="346" t="s">
        <v>121</v>
      </c>
      <c r="J11" s="358"/>
      <c r="K11" s="357" t="s">
        <v>180</v>
      </c>
    </row>
    <row r="13" spans="1:11" ht="12">
      <c r="A13" s="54">
        <v>100</v>
      </c>
      <c r="B13" s="4" t="s">
        <v>78</v>
      </c>
      <c r="C13" s="55">
        <f>'- 12 -'!B21</f>
        <v>766784105.09</v>
      </c>
      <c r="D13" s="56">
        <f>'- 12 -'!B22</f>
        <v>47558975.37</v>
      </c>
      <c r="E13" s="56">
        <f>'- 12 -'!B39</f>
        <v>22041505.88</v>
      </c>
      <c r="F13" s="56">
        <f>'- 12 -'!B45</f>
        <v>59797097.21</v>
      </c>
      <c r="G13" s="57"/>
      <c r="H13" s="207"/>
      <c r="I13" s="58"/>
      <c r="J13" s="57"/>
      <c r="K13" s="55">
        <f>SUM(C13:F13)</f>
        <v>896181683.5500001</v>
      </c>
    </row>
    <row r="14" spans="1:11" ht="24" customHeight="1">
      <c r="A14" s="54">
        <v>200</v>
      </c>
      <c r="B14" s="4" t="s">
        <v>519</v>
      </c>
      <c r="C14" s="55">
        <f>'- 12 -'!D21</f>
        <v>237436321.33</v>
      </c>
      <c r="D14" s="56">
        <f>'- 12 -'!D22</f>
        <v>21813840.63</v>
      </c>
      <c r="E14" s="56">
        <f>'- 12 -'!D39</f>
        <v>9866501.55</v>
      </c>
      <c r="F14" s="56">
        <f>'- 12 -'!D45</f>
        <v>4035923.15</v>
      </c>
      <c r="G14" s="57"/>
      <c r="H14" s="207"/>
      <c r="I14" s="58"/>
      <c r="J14" s="57"/>
      <c r="K14" s="55">
        <f>SUM(C14:F14)</f>
        <v>273152586.65999997</v>
      </c>
    </row>
    <row r="15" spans="1:11" ht="24" customHeight="1">
      <c r="A15" s="54">
        <v>300</v>
      </c>
      <c r="B15" s="4" t="s">
        <v>227</v>
      </c>
      <c r="C15" s="55">
        <f>'- 12 -'!F21</f>
        <v>5350500.56</v>
      </c>
      <c r="D15" s="56">
        <f>'- 12 -'!F22</f>
        <v>359682.8896887384</v>
      </c>
      <c r="E15" s="56">
        <f>'- 12 -'!F39</f>
        <v>836144.1699999999</v>
      </c>
      <c r="F15" s="56">
        <f>'- 12 -'!F45</f>
        <v>309918.78</v>
      </c>
      <c r="G15" s="57"/>
      <c r="H15" s="207"/>
      <c r="I15" s="58">
        <f>'- 12 -'!F47</f>
        <v>35050</v>
      </c>
      <c r="J15" s="131" t="s">
        <v>207</v>
      </c>
      <c r="K15" s="55">
        <f>SUM(C15:F15,I15)</f>
        <v>6891296.399688738</v>
      </c>
    </row>
    <row r="16" spans="1:11" ht="24" customHeight="1">
      <c r="A16" s="54">
        <v>400</v>
      </c>
      <c r="B16" s="4" t="s">
        <v>181</v>
      </c>
      <c r="C16" s="55">
        <f>'- 12 -'!H21</f>
        <v>10886974.709999999</v>
      </c>
      <c r="D16" s="56">
        <f>'- 12 -'!H22</f>
        <v>835580.4</v>
      </c>
      <c r="E16" s="56">
        <f>'- 12 -'!H39</f>
        <v>1648307.2999999998</v>
      </c>
      <c r="F16" s="56">
        <f>'- 12 -'!H45</f>
        <v>1336880.5899999999</v>
      </c>
      <c r="G16" s="57"/>
      <c r="H16" s="207"/>
      <c r="I16" s="58"/>
      <c r="J16" s="548"/>
      <c r="K16" s="55">
        <f>SUM(C16:F16)</f>
        <v>14707743</v>
      </c>
    </row>
    <row r="17" spans="1:11" ht="24" customHeight="1">
      <c r="A17" s="54">
        <v>500</v>
      </c>
      <c r="B17" s="4" t="s">
        <v>201</v>
      </c>
      <c r="C17" s="55">
        <f>'- 12 -'!J21</f>
        <v>36068896</v>
      </c>
      <c r="D17" s="56">
        <f>'- 12 -'!J22</f>
        <v>4538905</v>
      </c>
      <c r="E17" s="56">
        <f>'- 12 -'!J39</f>
        <v>11981826</v>
      </c>
      <c r="F17" s="56">
        <f>'- 12 -'!J45</f>
        <v>3167585</v>
      </c>
      <c r="G17" s="57"/>
      <c r="H17" s="207"/>
      <c r="I17" s="58">
        <f>'- 12 -'!J47</f>
        <v>-35050</v>
      </c>
      <c r="J17" s="131" t="s">
        <v>207</v>
      </c>
      <c r="K17" s="55">
        <f>SUM(C17:F17,I17)</f>
        <v>55722162</v>
      </c>
    </row>
    <row r="18" spans="1:11" ht="12" customHeight="1">
      <c r="A18" s="54"/>
      <c r="B18" s="4"/>
      <c r="C18" s="59"/>
      <c r="D18" s="60"/>
      <c r="E18" s="60"/>
      <c r="F18" s="60"/>
      <c r="G18" s="57"/>
      <c r="H18" s="207"/>
      <c r="I18" s="61"/>
      <c r="J18" s="548"/>
      <c r="K18" s="55"/>
    </row>
    <row r="19" spans="1:12" ht="24" customHeight="1">
      <c r="A19" s="62">
        <v>600</v>
      </c>
      <c r="B19" s="63" t="s">
        <v>197</v>
      </c>
      <c r="C19" s="55">
        <f>'- 13 -'!B21</f>
        <v>37319155</v>
      </c>
      <c r="D19" s="56">
        <f>'- 13 -'!B22</f>
        <v>3157267</v>
      </c>
      <c r="E19" s="56">
        <f>'- 13 -'!B39</f>
        <v>9473844</v>
      </c>
      <c r="F19" s="56">
        <f>'- 13 -'!B45</f>
        <v>6493501</v>
      </c>
      <c r="G19" s="57"/>
      <c r="H19" s="207"/>
      <c r="I19" s="58"/>
      <c r="J19" s="548"/>
      <c r="K19" s="55">
        <f>SUM(C19:F19)</f>
        <v>56443767</v>
      </c>
      <c r="L19" s="583" t="s">
        <v>208</v>
      </c>
    </row>
    <row r="20" spans="1:12" ht="24" customHeight="1">
      <c r="A20" s="54">
        <v>700</v>
      </c>
      <c r="B20" s="4" t="s">
        <v>182</v>
      </c>
      <c r="C20" s="55">
        <f>'- 13 -'!D21</f>
        <v>29440036</v>
      </c>
      <c r="D20" s="56">
        <f>'- 13 -'!D22</f>
        <v>4032874</v>
      </c>
      <c r="E20" s="56">
        <f>'- 13 -'!D39</f>
        <v>17847279</v>
      </c>
      <c r="F20" s="56">
        <f>'- 13 -'!D45</f>
        <v>12004200</v>
      </c>
      <c r="G20" s="57"/>
      <c r="H20" s="207"/>
      <c r="I20" s="58"/>
      <c r="J20" s="548"/>
      <c r="K20" s="55">
        <f>SUM(C20:F20)</f>
        <v>63324389</v>
      </c>
      <c r="L20" s="584"/>
    </row>
    <row r="21" spans="1:11" ht="24" customHeight="1">
      <c r="A21" s="54">
        <v>800</v>
      </c>
      <c r="B21" s="4" t="s">
        <v>183</v>
      </c>
      <c r="C21" s="55">
        <f>'- 13 -'!F21</f>
        <v>80702082</v>
      </c>
      <c r="D21" s="56">
        <f>'- 13 -'!F22</f>
        <v>12199178</v>
      </c>
      <c r="E21" s="56">
        <f>'- 13 -'!F39</f>
        <v>79916083</v>
      </c>
      <c r="F21" s="56">
        <f>'- 13 -'!F45</f>
        <v>18711424</v>
      </c>
      <c r="G21" s="57"/>
      <c r="H21" s="207"/>
      <c r="I21" s="58">
        <f>'- 13 -'!F47</f>
        <v>0</v>
      </c>
      <c r="J21" s="549" t="s">
        <v>326</v>
      </c>
      <c r="K21" s="55">
        <f>SUM(C21:F21,I21)</f>
        <v>191528767</v>
      </c>
    </row>
    <row r="22" spans="1:11" ht="24" customHeight="1">
      <c r="A22" s="54">
        <v>900</v>
      </c>
      <c r="B22" s="4" t="s">
        <v>82</v>
      </c>
      <c r="C22" s="59"/>
      <c r="D22" s="60"/>
      <c r="E22" s="60"/>
      <c r="F22" s="60"/>
      <c r="G22" s="56">
        <v>2594807.85</v>
      </c>
      <c r="H22" s="56">
        <v>71732</v>
      </c>
      <c r="I22" s="61">
        <v>25988324.93</v>
      </c>
      <c r="J22" s="549" t="s">
        <v>353</v>
      </c>
      <c r="K22" s="55">
        <f>SUM(G22:I22)</f>
        <v>28654864.78</v>
      </c>
    </row>
    <row r="23" spans="1:11" ht="12">
      <c r="A23" s="54"/>
      <c r="B23" s="4"/>
      <c r="C23" s="59"/>
      <c r="D23" s="60"/>
      <c r="E23" s="60"/>
      <c r="F23" s="60"/>
      <c r="G23" s="60"/>
      <c r="H23" s="38"/>
      <c r="I23" s="61"/>
      <c r="J23" s="57"/>
      <c r="K23" s="59"/>
    </row>
    <row r="24" spans="2:11" ht="12">
      <c r="B24" s="4"/>
      <c r="C24" s="64"/>
      <c r="D24" s="64"/>
      <c r="E24" s="64"/>
      <c r="F24" s="64"/>
      <c r="G24" s="64"/>
      <c r="H24" s="64"/>
      <c r="I24" s="64"/>
      <c r="K24" s="64"/>
    </row>
    <row r="25" spans="1:11" ht="12">
      <c r="A25" s="65"/>
      <c r="B25" s="66" t="s">
        <v>180</v>
      </c>
      <c r="C25" s="67">
        <f>SUM(C13:C22)</f>
        <v>1203988070.69</v>
      </c>
      <c r="D25" s="68">
        <f>SUM(D13:D22)</f>
        <v>94496303.28968875</v>
      </c>
      <c r="E25" s="68">
        <f>SUM(E13:E22)</f>
        <v>153611490.9</v>
      </c>
      <c r="F25" s="68">
        <f>SUM(F13:F22)</f>
        <v>105856529.73</v>
      </c>
      <c r="G25" s="68">
        <f>G22</f>
        <v>2594807.85</v>
      </c>
      <c r="H25" s="68">
        <f>H22</f>
        <v>71732</v>
      </c>
      <c r="I25" s="552">
        <f>SUM(I13:I22)</f>
        <v>25988324.93</v>
      </c>
      <c r="J25" s="69"/>
      <c r="K25" s="67">
        <f>SUM(K13:K22)</f>
        <v>1586607259.3896887</v>
      </c>
    </row>
    <row r="26" ht="60" customHeight="1"/>
    <row r="27" spans="1:3" ht="12">
      <c r="A27" s="130" t="s">
        <v>207</v>
      </c>
      <c r="B27" s="1" t="s">
        <v>330</v>
      </c>
      <c r="C27" s="4"/>
    </row>
    <row r="28" spans="1:3" ht="12">
      <c r="A28" s="130" t="s">
        <v>326</v>
      </c>
      <c r="B28" s="151" t="s">
        <v>557</v>
      </c>
      <c r="C28" s="4"/>
    </row>
    <row r="29" spans="1:2" ht="12">
      <c r="A29" s="550" t="s">
        <v>353</v>
      </c>
      <c r="B29" s="1" t="s">
        <v>530</v>
      </c>
    </row>
  </sheetData>
  <mergeCells count="2">
    <mergeCell ref="A11:B11"/>
    <mergeCell ref="L19:L20"/>
  </mergeCells>
  <printOptions/>
  <pageMargins left="0.5905511811023623" right="0" top="0.7874015748031497" bottom="0.5118110236220472" header="0.31496062992125984" footer="0"/>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L52"/>
  <sheetViews>
    <sheetView showGridLines="0" showZeros="0" workbookViewId="0" topLeftCell="A1">
      <selection activeCell="A1" sqref="A1"/>
    </sheetView>
  </sheetViews>
  <sheetFormatPr defaultColWidth="15.83203125" defaultRowHeight="12"/>
  <cols>
    <col min="1" max="1" width="48.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ustomWidth="1"/>
  </cols>
  <sheetData>
    <row r="2" spans="1:11" ht="12">
      <c r="A2" s="45"/>
      <c r="B2" s="45"/>
      <c r="C2" s="45"/>
      <c r="D2" s="46" t="str">
        <f>OPYEAR</f>
        <v>OPERATING FUND 2006/2007 ACTUAL</v>
      </c>
      <c r="E2" s="46"/>
      <c r="F2" s="46"/>
      <c r="G2" s="46"/>
      <c r="H2" s="47"/>
      <c r="I2" s="47"/>
      <c r="J2" s="48"/>
      <c r="K2" s="132" t="s">
        <v>36</v>
      </c>
    </row>
    <row r="3" spans="10:11" ht="9" customHeight="1">
      <c r="J3" s="89"/>
      <c r="K3" s="89"/>
    </row>
    <row r="4" spans="2:11" ht="15.75">
      <c r="B4" s="325" t="s">
        <v>517</v>
      </c>
      <c r="C4" s="89"/>
      <c r="D4" s="89"/>
      <c r="E4" s="89"/>
      <c r="F4" s="89"/>
      <c r="G4" s="89"/>
      <c r="H4" s="89"/>
      <c r="I4" s="89"/>
      <c r="J4" s="89"/>
      <c r="K4" s="89"/>
    </row>
    <row r="5" spans="2:11" ht="15.75">
      <c r="B5" s="325" t="s">
        <v>518</v>
      </c>
      <c r="C5" s="89"/>
      <c r="D5" s="89"/>
      <c r="E5" s="89"/>
      <c r="F5" s="89"/>
      <c r="G5" s="89"/>
      <c r="H5" s="89"/>
      <c r="I5" s="89"/>
      <c r="J5" s="89"/>
      <c r="K5" s="89"/>
    </row>
    <row r="6" ht="9" customHeight="1"/>
    <row r="7" spans="2:11" ht="12">
      <c r="B7" s="133" t="s">
        <v>185</v>
      </c>
      <c r="C7" s="47"/>
      <c r="D7" s="47"/>
      <c r="E7" s="47"/>
      <c r="F7" s="47"/>
      <c r="G7" s="47"/>
      <c r="H7" s="47"/>
      <c r="I7" s="47"/>
      <c r="J7" s="47"/>
      <c r="K7" s="134"/>
    </row>
    <row r="8" spans="1:11" ht="12">
      <c r="A8" s="6"/>
      <c r="B8" s="359" t="s">
        <v>92</v>
      </c>
      <c r="C8" s="360"/>
      <c r="D8" s="362" t="s">
        <v>454</v>
      </c>
      <c r="E8" s="360"/>
      <c r="F8" s="362" t="s">
        <v>226</v>
      </c>
      <c r="G8" s="360"/>
      <c r="H8" s="362" t="s">
        <v>87</v>
      </c>
      <c r="I8" s="360"/>
      <c r="J8" s="362" t="s">
        <v>200</v>
      </c>
      <c r="K8" s="360"/>
    </row>
    <row r="9" spans="1:11" ht="12">
      <c r="A9" s="6"/>
      <c r="B9" s="345" t="s">
        <v>186</v>
      </c>
      <c r="C9" s="347"/>
      <c r="D9" s="346" t="s">
        <v>165</v>
      </c>
      <c r="E9" s="347"/>
      <c r="F9" s="346" t="s">
        <v>287</v>
      </c>
      <c r="G9" s="347"/>
      <c r="H9" s="346" t="s">
        <v>105</v>
      </c>
      <c r="I9" s="347"/>
      <c r="J9" s="346" t="s">
        <v>59</v>
      </c>
      <c r="K9" s="347"/>
    </row>
    <row r="10" spans="1:11" ht="12">
      <c r="A10" s="135" t="s">
        <v>174</v>
      </c>
      <c r="B10" s="136" t="s">
        <v>109</v>
      </c>
      <c r="C10" s="136" t="s">
        <v>110</v>
      </c>
      <c r="D10" s="136" t="s">
        <v>109</v>
      </c>
      <c r="E10" s="136" t="s">
        <v>110</v>
      </c>
      <c r="F10" s="136" t="s">
        <v>109</v>
      </c>
      <c r="G10" s="136" t="s">
        <v>110</v>
      </c>
      <c r="H10" s="136" t="s">
        <v>109</v>
      </c>
      <c r="I10" s="136" t="s">
        <v>110</v>
      </c>
      <c r="J10" s="136" t="s">
        <v>109</v>
      </c>
      <c r="K10" s="53" t="s">
        <v>110</v>
      </c>
    </row>
    <row r="11" spans="1:11" ht="4.5" customHeight="1">
      <c r="A11" s="137"/>
      <c r="B11" s="6"/>
      <c r="C11" s="6"/>
      <c r="D11" s="6"/>
      <c r="E11" s="6"/>
      <c r="F11" s="6"/>
      <c r="G11" s="6"/>
      <c r="H11" s="6"/>
      <c r="I11" s="6"/>
      <c r="J11" s="6"/>
      <c r="K11" s="6"/>
    </row>
    <row r="12" spans="1:11" ht="12">
      <c r="A12" s="363" t="s">
        <v>177</v>
      </c>
      <c r="B12" s="138"/>
      <c r="C12" s="139"/>
      <c r="D12" s="138"/>
      <c r="E12" s="139"/>
      <c r="F12" s="138"/>
      <c r="G12" s="139"/>
      <c r="H12" s="138"/>
      <c r="I12" s="139"/>
      <c r="J12" s="138"/>
      <c r="K12" s="139"/>
    </row>
    <row r="13" spans="1:11" ht="12">
      <c r="A13" s="140" t="s">
        <v>289</v>
      </c>
      <c r="B13" s="141"/>
      <c r="C13" s="397"/>
      <c r="D13" s="141"/>
      <c r="E13" s="397"/>
      <c r="F13" s="141"/>
      <c r="G13" s="397"/>
      <c r="H13" s="141"/>
      <c r="I13" s="397"/>
      <c r="J13" s="141">
        <v>3096611</v>
      </c>
      <c r="K13" s="397"/>
    </row>
    <row r="14" spans="1:11" ht="12">
      <c r="A14" s="140" t="s">
        <v>328</v>
      </c>
      <c r="B14" s="141">
        <v>66444539.26</v>
      </c>
      <c r="C14" s="397">
        <f>B14/'- 13 -'!$J$53*100</f>
        <v>4.187837844984956</v>
      </c>
      <c r="D14" s="141">
        <v>4887861.32</v>
      </c>
      <c r="E14" s="397">
        <f>D14/'- 13 -'!$J$53*100</f>
        <v>0.3080700211771492</v>
      </c>
      <c r="F14" s="141">
        <v>658794.76</v>
      </c>
      <c r="G14" s="397">
        <f>F14/'- 13 -'!$J$53*100</f>
        <v>0.04152223280847807</v>
      </c>
      <c r="H14" s="141">
        <v>746493</v>
      </c>
      <c r="I14" s="397">
        <f>H14/'- 13 -'!$J$53*100</f>
        <v>0.0470496397632234</v>
      </c>
      <c r="J14" s="141">
        <v>16831999</v>
      </c>
      <c r="K14" s="397">
        <f>J14/'- 13 -'!$J$53*100</f>
        <v>1.0608799941123848</v>
      </c>
    </row>
    <row r="15" spans="1:11" ht="12">
      <c r="A15" s="140" t="s">
        <v>290</v>
      </c>
      <c r="B15" s="141">
        <v>641228032.6500001</v>
      </c>
      <c r="C15" s="397">
        <f>B15/'- 13 -'!$J$53*100</f>
        <v>40.4150446719031</v>
      </c>
      <c r="D15" s="141">
        <v>101592555.33000001</v>
      </c>
      <c r="E15" s="397">
        <f>D15/'- 13 -'!$J$53*100</f>
        <v>6.403131885900929</v>
      </c>
      <c r="F15" s="141">
        <v>3913318.59</v>
      </c>
      <c r="G15" s="397">
        <f>F15/'- 13 -'!$J$53*100</f>
        <v>0.24664696110777373</v>
      </c>
      <c r="H15" s="141">
        <v>6556978</v>
      </c>
      <c r="I15" s="397">
        <f>H15/'- 13 -'!$J$53*100</f>
        <v>0.41327038945493266</v>
      </c>
      <c r="J15" s="141"/>
      <c r="K15" s="397">
        <f>J15/'- 13 -'!$J$53*100</f>
        <v>0</v>
      </c>
    </row>
    <row r="16" spans="1:11" ht="12">
      <c r="A16" s="140" t="s">
        <v>291</v>
      </c>
      <c r="B16" s="141">
        <v>18581182.06</v>
      </c>
      <c r="C16" s="397">
        <f>B16/'- 13 -'!$J$53*100</f>
        <v>1.1711267517550321</v>
      </c>
      <c r="D16" s="141">
        <v>108649945.34</v>
      </c>
      <c r="E16" s="397">
        <f>D16/'- 13 -'!$J$53*100</f>
        <v>6.847942028312272</v>
      </c>
      <c r="F16" s="141">
        <v>359211.21</v>
      </c>
      <c r="G16" s="397">
        <f>F16/'- 13 -'!$J$53*100</f>
        <v>0.02264020965958367</v>
      </c>
      <c r="H16" s="141">
        <v>1665084.88</v>
      </c>
      <c r="I16" s="397">
        <f>H16/'- 13 -'!$J$53*100</f>
        <v>0.10494625372132098</v>
      </c>
      <c r="J16" s="141"/>
      <c r="K16" s="397">
        <f>J16/'- 13 -'!$J$53*100</f>
        <v>0</v>
      </c>
    </row>
    <row r="17" spans="1:11" ht="12">
      <c r="A17" s="140" t="s">
        <v>292</v>
      </c>
      <c r="B17" s="141">
        <v>3319435</v>
      </c>
      <c r="C17" s="397">
        <f>B17/'- 13 -'!$J$53*100</f>
        <v>0.2092159216060103</v>
      </c>
      <c r="D17" s="141">
        <v>1037552</v>
      </c>
      <c r="E17" s="397">
        <f>D17/'- 13 -'!$J$53*100</f>
        <v>0.06539438124083141</v>
      </c>
      <c r="F17" s="141">
        <v>120161</v>
      </c>
      <c r="G17" s="397">
        <f>F17/'- 13 -'!$J$53*100</f>
        <v>0.0075734558309169505</v>
      </c>
      <c r="H17" s="141">
        <v>935563.83</v>
      </c>
      <c r="I17" s="397">
        <f>H17/'- 13 -'!$J$53*100</f>
        <v>0.05896631472364988</v>
      </c>
      <c r="J17" s="141">
        <v>3645578</v>
      </c>
      <c r="K17" s="397">
        <f>J17/'- 13 -'!$J$53*100</f>
        <v>0.22977192234720545</v>
      </c>
    </row>
    <row r="18" spans="1:11" ht="12">
      <c r="A18" s="142" t="s">
        <v>293</v>
      </c>
      <c r="B18" s="141">
        <v>28619358.89</v>
      </c>
      <c r="C18" s="397">
        <f>B18/'- 13 -'!$J$53*100</f>
        <v>1.8038086439241965</v>
      </c>
      <c r="D18" s="141">
        <v>2147359.79</v>
      </c>
      <c r="E18" s="397">
        <f>D18/'- 13 -'!$J$53*100</f>
        <v>0.1353428693390709</v>
      </c>
      <c r="F18" s="141">
        <v>296538</v>
      </c>
      <c r="G18" s="397">
        <f>F18/'- 13 -'!$J$53*100</f>
        <v>0.018690069533279938</v>
      </c>
      <c r="H18" s="141">
        <v>728469</v>
      </c>
      <c r="I18" s="397">
        <f>H18/'- 13 -'!$J$53*100</f>
        <v>0.04591363084272135</v>
      </c>
      <c r="J18" s="141">
        <v>11655179</v>
      </c>
      <c r="K18" s="397">
        <f>J18/'- 13 -'!$J$53*100</f>
        <v>0.7345976095233128</v>
      </c>
    </row>
    <row r="19" spans="1:11" ht="12">
      <c r="A19" s="142" t="s">
        <v>294</v>
      </c>
      <c r="B19" s="143"/>
      <c r="C19" s="398"/>
      <c r="D19" s="143">
        <v>19064091.55</v>
      </c>
      <c r="E19" s="398">
        <f>D19/'- 13 -'!$J$53*100</f>
        <v>1.2015633634081113</v>
      </c>
      <c r="F19" s="143"/>
      <c r="G19" s="398"/>
      <c r="H19" s="143">
        <v>219758</v>
      </c>
      <c r="I19" s="398"/>
      <c r="J19" s="143"/>
      <c r="K19" s="398"/>
    </row>
    <row r="20" spans="1:11" ht="12">
      <c r="A20" s="145" t="s">
        <v>295</v>
      </c>
      <c r="B20" s="144">
        <v>8591557.23</v>
      </c>
      <c r="C20" s="398">
        <f>B20/'- 13 -'!$J$53*100</f>
        <v>0.541504974161335</v>
      </c>
      <c r="D20" s="144">
        <v>56956</v>
      </c>
      <c r="E20" s="398">
        <f>D20/'- 13 -'!$J$53*100</f>
        <v>0.0035897982731976745</v>
      </c>
      <c r="F20" s="144">
        <v>2477</v>
      </c>
      <c r="G20" s="398">
        <f>F20/'- 13 -'!$J$53*100</f>
        <v>0.00015611929072811715</v>
      </c>
      <c r="H20" s="144">
        <v>34628</v>
      </c>
      <c r="I20" s="398">
        <f>H20/'- 13 -'!$J$53*100</f>
        <v>0.0021825186916969077</v>
      </c>
      <c r="J20" s="144">
        <v>839529</v>
      </c>
      <c r="K20" s="398">
        <f>J20/'- 13 -'!$J$53*100</f>
        <v>0.052913472759663085</v>
      </c>
    </row>
    <row r="21" spans="1:11" ht="12.75" customHeight="1">
      <c r="A21" s="146" t="s">
        <v>296</v>
      </c>
      <c r="B21" s="400">
        <f>SUM(B13:B20)</f>
        <v>766784105.09</v>
      </c>
      <c r="C21" s="401">
        <f>B21/'- 13 -'!$J$53*100</f>
        <v>48.32853880833462</v>
      </c>
      <c r="D21" s="400">
        <f>SUM(D13:D20)</f>
        <v>237436321.33</v>
      </c>
      <c r="E21" s="401">
        <f>D21/'- 13 -'!$J$53*100</f>
        <v>14.96503434765156</v>
      </c>
      <c r="F21" s="400">
        <f>SUM(F13:F20)</f>
        <v>5350500.56</v>
      </c>
      <c r="G21" s="401">
        <f>F21/'- 13 -'!$J$53*100</f>
        <v>0.33722904823076044</v>
      </c>
      <c r="H21" s="400">
        <f>SUM(H13:H20)</f>
        <v>10886974.709999999</v>
      </c>
      <c r="I21" s="401">
        <f>H21/'- 13 -'!$J$53*100</f>
        <v>0.6861795599112429</v>
      </c>
      <c r="J21" s="400">
        <f>SUM(J13:J20)</f>
        <v>36068896</v>
      </c>
      <c r="K21" s="401">
        <f>J21/'- 13 -'!$J$53*100</f>
        <v>2.273334865105459</v>
      </c>
    </row>
    <row r="22" spans="1:11" ht="12">
      <c r="A22" s="363" t="s">
        <v>187</v>
      </c>
      <c r="B22" s="400">
        <v>47558975.37</v>
      </c>
      <c r="C22" s="401">
        <f>B22/'- 13 -'!$J$53*100</f>
        <v>2.9975266461527625</v>
      </c>
      <c r="D22" s="400">
        <v>21813840.63</v>
      </c>
      <c r="E22" s="401">
        <f>D22/'- 13 -'!$J$53*100</f>
        <v>1.3748733658505385</v>
      </c>
      <c r="F22" s="400">
        <v>359682.8896887384</v>
      </c>
      <c r="G22" s="401">
        <f>F22/'- 13 -'!$J$53*100</f>
        <v>0.022669938484152375</v>
      </c>
      <c r="H22" s="400">
        <v>835580.4</v>
      </c>
      <c r="I22" s="401">
        <f>H22/'- 13 -'!$J$53*100</f>
        <v>0.05266460209701915</v>
      </c>
      <c r="J22" s="400">
        <v>4538905</v>
      </c>
      <c r="K22" s="401">
        <f>J22/'- 13 -'!$J$53*100</f>
        <v>0.2860761523142126</v>
      </c>
    </row>
    <row r="23" spans="1:11" ht="12">
      <c r="A23" s="363" t="s">
        <v>165</v>
      </c>
      <c r="B23" s="149"/>
      <c r="C23" s="399"/>
      <c r="D23" s="149"/>
      <c r="E23" s="399"/>
      <c r="F23" s="149"/>
      <c r="G23" s="399"/>
      <c r="H23" s="149"/>
      <c r="I23" s="399"/>
      <c r="J23" s="149"/>
      <c r="K23" s="399"/>
    </row>
    <row r="24" spans="1:11" ht="12">
      <c r="A24" s="142" t="s">
        <v>297</v>
      </c>
      <c r="B24" s="141">
        <v>3478608.12</v>
      </c>
      <c r="C24" s="397">
        <f>B24/'- 13 -'!$J$53*100</f>
        <v>0.21924821655852608</v>
      </c>
      <c r="D24" s="141">
        <v>7088221.8</v>
      </c>
      <c r="E24" s="397">
        <f>D24/'- 13 -'!$J$53*100</f>
        <v>0.44675339521177954</v>
      </c>
      <c r="F24" s="141">
        <v>131262.86</v>
      </c>
      <c r="G24" s="397">
        <f>F24/'- 13 -'!$J$53*100</f>
        <v>0.008273179088471595</v>
      </c>
      <c r="H24" s="141">
        <v>928971.94</v>
      </c>
      <c r="I24" s="397">
        <f>H24/'- 13 -'!$J$53*100</f>
        <v>0.058550843915673396</v>
      </c>
      <c r="J24" s="141">
        <v>3047362</v>
      </c>
      <c r="K24" s="397">
        <f>J24/'- 13 -'!$J$53*100</f>
        <v>0.1920678215711815</v>
      </c>
    </row>
    <row r="25" spans="1:11" ht="12">
      <c r="A25" s="142" t="s">
        <v>298</v>
      </c>
      <c r="B25" s="143">
        <v>3867288.18</v>
      </c>
      <c r="C25" s="398">
        <f>B25/'- 13 -'!$J$53*100</f>
        <v>0.24374577622237834</v>
      </c>
      <c r="D25" s="143">
        <v>292123</v>
      </c>
      <c r="E25" s="398">
        <f>D25/'- 13 -'!$J$53*100</f>
        <v>0.018411802812018478</v>
      </c>
      <c r="F25" s="143">
        <v>63638.04</v>
      </c>
      <c r="G25" s="398">
        <f>F25/'- 13 -'!$J$53*100</f>
        <v>0.004010951016603774</v>
      </c>
      <c r="H25" s="143">
        <v>60915.85</v>
      </c>
      <c r="I25" s="398">
        <f>H25/'- 13 -'!$J$53*100</f>
        <v>0.003839377996003381</v>
      </c>
      <c r="J25" s="143">
        <v>1156722</v>
      </c>
      <c r="K25" s="398">
        <f>J25/'- 13 -'!$J$53*100</f>
        <v>0.07290537674994313</v>
      </c>
    </row>
    <row r="26" spans="1:11" ht="12.75" customHeight="1">
      <c r="A26" s="142" t="s">
        <v>299</v>
      </c>
      <c r="B26" s="143"/>
      <c r="C26" s="398">
        <f>B26/'- 13 -'!$J$53*100</f>
        <v>0</v>
      </c>
      <c r="D26" s="143"/>
      <c r="E26" s="398">
        <f>D26/'- 13 -'!$J$53*100</f>
        <v>0</v>
      </c>
      <c r="F26" s="143">
        <v>36005</v>
      </c>
      <c r="G26" s="398">
        <f>F26/'- 13 -'!$J$53*100</f>
        <v>0.002269307655496915</v>
      </c>
      <c r="H26" s="143"/>
      <c r="I26" s="398">
        <f>H26/'- 13 -'!$J$53*100</f>
        <v>0</v>
      </c>
      <c r="J26" s="143"/>
      <c r="K26" s="398">
        <f>J26/'- 13 -'!$J$53*100</f>
        <v>0</v>
      </c>
    </row>
    <row r="27" spans="1:12" ht="12.75" customHeight="1">
      <c r="A27" s="142" t="s">
        <v>322</v>
      </c>
      <c r="B27" s="143">
        <v>1959971.54</v>
      </c>
      <c r="C27" s="398">
        <f>B27/'- 13 -'!$J$53*100</f>
        <v>0.12353224330726505</v>
      </c>
      <c r="D27" s="143">
        <v>1661789.84</v>
      </c>
      <c r="E27" s="398">
        <f>D27/'- 13 -'!$J$53*100</f>
        <v>0.10473857535728352</v>
      </c>
      <c r="F27" s="143">
        <v>93161.89</v>
      </c>
      <c r="G27" s="398">
        <f>F27/'- 13 -'!$J$53*100</f>
        <v>0.005871767537218761</v>
      </c>
      <c r="H27" s="143">
        <v>185485.53</v>
      </c>
      <c r="I27" s="398">
        <f>H27/'- 13 -'!$J$53*100</f>
        <v>0.011690702213939804</v>
      </c>
      <c r="J27" s="143">
        <v>2146722</v>
      </c>
      <c r="K27" s="398">
        <f>J27/'- 13 -'!$J$53*100</f>
        <v>0.13530267098524226</v>
      </c>
      <c r="L27" s="585" t="s">
        <v>231</v>
      </c>
    </row>
    <row r="28" spans="1:12" ht="12.75" customHeight="1">
      <c r="A28" s="142" t="s">
        <v>300</v>
      </c>
      <c r="B28" s="143"/>
      <c r="C28" s="398">
        <f>B28/'- 13 -'!$J$53*100</f>
        <v>0</v>
      </c>
      <c r="D28" s="143"/>
      <c r="E28" s="398">
        <f>D28/'- 13 -'!$J$53*100</f>
        <v>0</v>
      </c>
      <c r="F28" s="143"/>
      <c r="G28" s="398">
        <f>F28/'- 13 -'!$J$53*100</f>
        <v>0</v>
      </c>
      <c r="H28" s="143"/>
      <c r="I28" s="398">
        <f>H28/'- 13 -'!$J$53*100</f>
        <v>0</v>
      </c>
      <c r="J28" s="143"/>
      <c r="K28" s="398">
        <f>J28/'- 13 -'!$J$53*100</f>
        <v>0</v>
      </c>
      <c r="L28" s="586"/>
    </row>
    <row r="29" spans="1:12" ht="12.75" customHeight="1">
      <c r="A29" s="142" t="s">
        <v>301</v>
      </c>
      <c r="B29" s="143">
        <v>325269</v>
      </c>
      <c r="C29" s="398">
        <f>B29/'- 13 -'!$J$53*100</f>
        <v>0.02050091464507224</v>
      </c>
      <c r="D29" s="143">
        <v>259668</v>
      </c>
      <c r="E29" s="398">
        <f>D29/'- 13 -'!$J$53*100</f>
        <v>0.016366243029789552</v>
      </c>
      <c r="F29" s="143">
        <v>727</v>
      </c>
      <c r="G29" s="398">
        <f>F29/'- 13 -'!$J$53*100</f>
        <v>4.5821043342487355E-05</v>
      </c>
      <c r="H29" s="143"/>
      <c r="I29" s="398">
        <f>H29/'- 13 -'!$J$53*100</f>
        <v>0</v>
      </c>
      <c r="J29" s="143"/>
      <c r="K29" s="398">
        <f>J29/'- 13 -'!$J$53*100</f>
        <v>0</v>
      </c>
      <c r="L29" s="586"/>
    </row>
    <row r="30" spans="1:11" ht="12.75" customHeight="1">
      <c r="A30" s="142" t="s">
        <v>302</v>
      </c>
      <c r="B30" s="143">
        <v>554036</v>
      </c>
      <c r="C30" s="398">
        <f>B30/'- 13 -'!$J$53*100</f>
        <v>0.03491954273631131</v>
      </c>
      <c r="D30" s="143">
        <v>35567</v>
      </c>
      <c r="E30" s="398">
        <f>D30/'- 13 -'!$J$53*100</f>
        <v>0.00224170157986554</v>
      </c>
      <c r="F30" s="143">
        <v>1304</v>
      </c>
      <c r="G30" s="398">
        <f>F30/'- 13 -'!$J$53*100</f>
        <v>8.218795119477787E-05</v>
      </c>
      <c r="H30" s="143">
        <v>122189</v>
      </c>
      <c r="I30" s="398">
        <f>H30/'- 13 -'!$J$53*100</f>
        <v>0.007701275742744412</v>
      </c>
      <c r="J30" s="143">
        <v>302746</v>
      </c>
      <c r="K30" s="398">
        <f>J30/'- 13 -'!$J$53*100</f>
        <v>0.019081344687434217</v>
      </c>
    </row>
    <row r="31" spans="1:11" ht="12">
      <c r="A31" s="142" t="s">
        <v>303</v>
      </c>
      <c r="B31" s="143">
        <v>85700</v>
      </c>
      <c r="C31" s="398">
        <f>B31/'- 13 -'!$J$53*100</f>
        <v>0.005401462743399128</v>
      </c>
      <c r="D31" s="143"/>
      <c r="E31" s="398">
        <f>D31/'- 13 -'!$J$53*100</f>
        <v>0</v>
      </c>
      <c r="F31" s="143">
        <v>0</v>
      </c>
      <c r="G31" s="398">
        <f>F31/'- 13 -'!$J$53*100</f>
        <v>0</v>
      </c>
      <c r="H31" s="143"/>
      <c r="I31" s="398">
        <f>H31/'- 13 -'!$J$53*100</f>
        <v>0</v>
      </c>
      <c r="J31" s="143">
        <v>1127885</v>
      </c>
      <c r="K31" s="398">
        <f>J31/'- 13 -'!$J$53*100</f>
        <v>0.07108785071573775</v>
      </c>
    </row>
    <row r="32" spans="1:11" ht="12">
      <c r="A32" s="142" t="s">
        <v>304</v>
      </c>
      <c r="B32" s="143">
        <v>2800462.75</v>
      </c>
      <c r="C32" s="398">
        <f>B32/'- 13 -'!$J$53*100</f>
        <v>0.17650636182499493</v>
      </c>
      <c r="D32" s="143">
        <v>59411</v>
      </c>
      <c r="E32" s="398">
        <f>D32/'- 13 -'!$J$53*100</f>
        <v>0.00374453095738723</v>
      </c>
      <c r="F32" s="143">
        <v>36775</v>
      </c>
      <c r="G32" s="398">
        <f>F32/'- 13 -'!$J$53*100</f>
        <v>0.002317838884346592</v>
      </c>
      <c r="H32" s="143">
        <v>49438</v>
      </c>
      <c r="I32" s="398">
        <f>H32/'- 13 -'!$J$53*100</f>
        <v>0.003115957002429009</v>
      </c>
      <c r="J32" s="143">
        <v>254950</v>
      </c>
      <c r="K32" s="398">
        <f>J32/'- 13 -'!$J$53*100</f>
        <v>0.016068878954837898</v>
      </c>
    </row>
    <row r="33" spans="1:11" ht="12">
      <c r="A33" s="142" t="s">
        <v>305</v>
      </c>
      <c r="B33" s="143">
        <v>2975485</v>
      </c>
      <c r="C33" s="398">
        <f>B33/'- 13 -'!$J$53*100</f>
        <v>0.18753758892698896</v>
      </c>
      <c r="D33" s="143">
        <v>126750</v>
      </c>
      <c r="E33" s="398">
        <f>D33/'- 13 -'!$J$53*100</f>
        <v>0.00798874448921633</v>
      </c>
      <c r="F33" s="143">
        <v>405109.07</v>
      </c>
      <c r="G33" s="398">
        <f>F33/'- 13 -'!$J$53*100</f>
        <v>0.02553304024058424</v>
      </c>
      <c r="H33" s="143">
        <v>87468</v>
      </c>
      <c r="I33" s="398">
        <f>H33/'- 13 -'!$J$53*100</f>
        <v>0.005512895487043581</v>
      </c>
      <c r="J33" s="143">
        <v>-34614</v>
      </c>
      <c r="K33" s="398">
        <f>J33/'- 13 -'!$J$53*100</f>
        <v>-0.002181636305717823</v>
      </c>
    </row>
    <row r="34" spans="1:11" ht="12">
      <c r="A34" s="481" t="s">
        <v>451</v>
      </c>
      <c r="B34" s="143"/>
      <c r="C34" s="398">
        <f>B34/'- 13 -'!$J$53*100</f>
        <v>0</v>
      </c>
      <c r="D34" s="143"/>
      <c r="E34" s="398">
        <f>D34/'- 13 -'!$J$53*100</f>
        <v>0</v>
      </c>
      <c r="F34" s="143">
        <v>2451</v>
      </c>
      <c r="G34" s="398">
        <f>F34/'- 13 -'!$J$53*100</f>
        <v>0.00015448057390981637</v>
      </c>
      <c r="H34" s="143"/>
      <c r="I34" s="398">
        <f>H34/'- 13 -'!$J$53*100</f>
        <v>0</v>
      </c>
      <c r="J34" s="143"/>
      <c r="K34" s="398">
        <f>J34/'- 13 -'!$J$53*100</f>
        <v>0</v>
      </c>
    </row>
    <row r="35" spans="1:11" ht="12">
      <c r="A35" s="142" t="s">
        <v>306</v>
      </c>
      <c r="B35" s="143">
        <v>309228.79</v>
      </c>
      <c r="C35" s="398">
        <f>B35/'- 13 -'!$J$53*100</f>
        <v>0.019489939187530836</v>
      </c>
      <c r="D35" s="143">
        <v>48310</v>
      </c>
      <c r="E35" s="398">
        <f>D35/'- 13 -'!$J$53*100</f>
        <v>0.0030448619035427288</v>
      </c>
      <c r="F35" s="143">
        <v>11702.75</v>
      </c>
      <c r="G35" s="398">
        <f>F35/'- 13 -'!$J$53*100</f>
        <v>0.0007375958940526739</v>
      </c>
      <c r="H35" s="143">
        <v>136413</v>
      </c>
      <c r="I35" s="398">
        <f>H35/'- 13 -'!$J$53*100</f>
        <v>0.00859777989749481</v>
      </c>
      <c r="J35" s="143">
        <v>527939</v>
      </c>
      <c r="K35" s="398">
        <f>J35/'- 13 -'!$J$53*100</f>
        <v>0.03327471224372686</v>
      </c>
    </row>
    <row r="36" spans="1:11" ht="12">
      <c r="A36" s="142" t="s">
        <v>307</v>
      </c>
      <c r="B36" s="143">
        <v>661352</v>
      </c>
      <c r="C36" s="398">
        <f>B36/'- 13 -'!$J$53*100</f>
        <v>0.04168340943141774</v>
      </c>
      <c r="D36" s="143">
        <v>73188.78</v>
      </c>
      <c r="E36" s="398">
        <f>D36/'- 13 -'!$J$53*100</f>
        <v>0.004612910949881391</v>
      </c>
      <c r="F36" s="143">
        <v>205</v>
      </c>
      <c r="G36" s="398">
        <f>F36/'- 13 -'!$J$53*100</f>
        <v>1.2920651836602347E-05</v>
      </c>
      <c r="H36" s="143">
        <v>8163</v>
      </c>
      <c r="I36" s="398">
        <f>H36/'- 13 -'!$J$53*100</f>
        <v>0.0005144940533765121</v>
      </c>
      <c r="J36" s="143">
        <v>1769477</v>
      </c>
      <c r="K36" s="398">
        <f>J36/'- 13 -'!$J$53*100</f>
        <v>0.11152583536524689</v>
      </c>
    </row>
    <row r="37" spans="1:11" ht="12">
      <c r="A37" s="147" t="s">
        <v>308</v>
      </c>
      <c r="B37" s="143">
        <v>552412.5</v>
      </c>
      <c r="C37" s="398">
        <f>B37/'- 13 -'!$J$53*100</f>
        <v>0.034817217476522416</v>
      </c>
      <c r="D37" s="143">
        <v>189791.13</v>
      </c>
      <c r="E37" s="398">
        <f>D37/'- 13 -'!$J$53*100</f>
        <v>0.011962073719050415</v>
      </c>
      <c r="F37" s="143">
        <v>17294</v>
      </c>
      <c r="G37" s="398">
        <f>F37/'- 13 -'!$J$53*100</f>
        <v>0.001089998794449761</v>
      </c>
      <c r="H37" s="143">
        <v>54139.98</v>
      </c>
      <c r="I37" s="398">
        <f>H37/'- 13 -'!$J$53*100</f>
        <v>0.0034123113757103143</v>
      </c>
      <c r="J37" s="143">
        <v>740317</v>
      </c>
      <c r="K37" s="398">
        <f>J37/'- 13 -'!$J$53*100</f>
        <v>0.04666038149130703</v>
      </c>
    </row>
    <row r="38" spans="1:11" ht="12">
      <c r="A38" s="148" t="s">
        <v>309</v>
      </c>
      <c r="B38" s="143">
        <v>4471692</v>
      </c>
      <c r="C38" s="398">
        <f>B38/'- 13 -'!$J$53*100</f>
        <v>0.2818398802561952</v>
      </c>
      <c r="D38" s="143">
        <v>31681</v>
      </c>
      <c r="E38" s="398">
        <f>D38/'- 13 -'!$J$53*100</f>
        <v>0.001996776443099507</v>
      </c>
      <c r="F38" s="143">
        <v>36508.56</v>
      </c>
      <c r="G38" s="398">
        <f>F38/'- 13 -'!$J$53*100</f>
        <v>0.002301045818613205</v>
      </c>
      <c r="H38" s="143">
        <v>15123</v>
      </c>
      <c r="I38" s="398">
        <f>H38/'- 13 -'!$J$53*100</f>
        <v>0.0009531659401216454</v>
      </c>
      <c r="J38" s="143">
        <v>942320</v>
      </c>
      <c r="K38" s="398">
        <f>J38/'- 13 -'!$J$53*100</f>
        <v>0.05939213970081524</v>
      </c>
    </row>
    <row r="39" spans="1:11" ht="12">
      <c r="A39" s="146" t="s">
        <v>310</v>
      </c>
      <c r="B39" s="400">
        <f>SUM(B24:B38)</f>
        <v>22041505.88</v>
      </c>
      <c r="C39" s="401">
        <f>B39/'- 13 -'!$J$53*100</f>
        <v>1.389222553316602</v>
      </c>
      <c r="D39" s="400">
        <f>SUM(D24:D38)</f>
        <v>9866501.55</v>
      </c>
      <c r="E39" s="401">
        <f>D39/'- 13 -'!$J$53*100</f>
        <v>0.6218616164529143</v>
      </c>
      <c r="F39" s="400">
        <f>SUM(F24:F38)</f>
        <v>836144.1699999999</v>
      </c>
      <c r="G39" s="401">
        <f>F39/'- 13 -'!$J$53*100</f>
        <v>0.052700135150121195</v>
      </c>
      <c r="H39" s="400">
        <f>SUM(H24:H38)</f>
        <v>1648307.2999999998</v>
      </c>
      <c r="I39" s="401">
        <f>H39/'- 13 -'!$J$53*100</f>
        <v>0.10388880362453687</v>
      </c>
      <c r="J39" s="400">
        <f>SUM(J24:J38)</f>
        <v>11981826</v>
      </c>
      <c r="K39" s="401">
        <f>J39/'- 13 -'!$J$53*100</f>
        <v>0.755185376159755</v>
      </c>
    </row>
    <row r="40" spans="1:11" ht="12">
      <c r="A40" s="364" t="s">
        <v>311</v>
      </c>
      <c r="B40" s="149"/>
      <c r="C40" s="399"/>
      <c r="D40" s="149"/>
      <c r="E40" s="399"/>
      <c r="F40" s="149"/>
      <c r="G40" s="399"/>
      <c r="H40" s="149"/>
      <c r="I40" s="399"/>
      <c r="J40" s="149"/>
      <c r="K40" s="399"/>
    </row>
    <row r="41" spans="1:11" ht="12">
      <c r="A41" s="142" t="s">
        <v>312</v>
      </c>
      <c r="B41" s="143">
        <v>24085958.270000003</v>
      </c>
      <c r="C41" s="398">
        <f>B41/'- 13 -'!$J$53*100</f>
        <v>1.5180794193053808</v>
      </c>
      <c r="D41" s="143">
        <v>2248059.76</v>
      </c>
      <c r="E41" s="398">
        <f>D41/'- 13 -'!$J$53*100</f>
        <v>0.1416897437406626</v>
      </c>
      <c r="F41" s="143">
        <v>97259.57</v>
      </c>
      <c r="G41" s="398">
        <f>F41/'- 13 -'!$J$53*100</f>
        <v>0.00613003434998856</v>
      </c>
      <c r="H41" s="143">
        <v>1043817.59</v>
      </c>
      <c r="I41" s="398">
        <f>H41/'- 13 -'!$J$53*100</f>
        <v>0.06578928615273823</v>
      </c>
      <c r="J41" s="143">
        <v>1695435</v>
      </c>
      <c r="K41" s="398">
        <f>J41/'- 13 -'!$J$53*100</f>
        <v>0.10685914803214586</v>
      </c>
    </row>
    <row r="42" spans="1:11" ht="12">
      <c r="A42" s="142" t="s">
        <v>313</v>
      </c>
      <c r="B42" s="143">
        <v>10323928.479999999</v>
      </c>
      <c r="C42" s="398">
        <f>B42/'- 13 -'!$J$53*100</f>
        <v>0.6506921242734793</v>
      </c>
      <c r="D42" s="143">
        <v>745345.02</v>
      </c>
      <c r="E42" s="398">
        <f>D42/'- 13 -'!$J$53*100</f>
        <v>0.04697728537348982</v>
      </c>
      <c r="F42" s="143">
        <v>61829.1</v>
      </c>
      <c r="G42" s="398">
        <f>F42/'- 13 -'!$J$53*100</f>
        <v>0.0038969379242461966</v>
      </c>
      <c r="H42" s="143">
        <v>122406</v>
      </c>
      <c r="I42" s="398">
        <f>H42/'- 13 -'!$J$53*100</f>
        <v>0.00771495272542023</v>
      </c>
      <c r="J42" s="143">
        <v>76526</v>
      </c>
      <c r="K42" s="398">
        <f>J42/'- 13 -'!$J$53*100</f>
        <v>0.004823247816818689</v>
      </c>
    </row>
    <row r="43" spans="1:11" ht="12">
      <c r="A43" s="142" t="s">
        <v>314</v>
      </c>
      <c r="B43" s="143">
        <v>9091154.719999999</v>
      </c>
      <c r="C43" s="398">
        <f>B43/'- 13 -'!$J$53*100</f>
        <v>0.5729933899014833</v>
      </c>
      <c r="D43" s="143">
        <v>353804.37</v>
      </c>
      <c r="E43" s="398">
        <f>D43/'- 13 -'!$J$53*100</f>
        <v>0.022299429673358226</v>
      </c>
      <c r="F43" s="143">
        <v>29966.38</v>
      </c>
      <c r="G43" s="398">
        <f>F43/'- 13 -'!$J$53*100</f>
        <v>0.0018887081111381653</v>
      </c>
      <c r="H43" s="143">
        <v>83808</v>
      </c>
      <c r="I43" s="398">
        <f>H43/'- 13 -'!$J$53*100</f>
        <v>0.005282214581082779</v>
      </c>
      <c r="J43" s="143">
        <v>432059</v>
      </c>
      <c r="K43" s="398">
        <f>J43/'- 13 -'!$J$53*100</f>
        <v>0.027231628838393043</v>
      </c>
    </row>
    <row r="44" spans="1:11" ht="12">
      <c r="A44" s="148" t="s">
        <v>315</v>
      </c>
      <c r="B44" s="143">
        <v>16296055.74</v>
      </c>
      <c r="C44" s="398">
        <f>B44/'- 13 -'!$J$53*100</f>
        <v>1.0271007928117328</v>
      </c>
      <c r="D44" s="143">
        <v>688714</v>
      </c>
      <c r="E44" s="398">
        <f>D44/'- 13 -'!$J$53*100</f>
        <v>0.04340796979996951</v>
      </c>
      <c r="F44" s="143">
        <v>120863.73</v>
      </c>
      <c r="G44" s="398">
        <f>F44/'- 13 -'!$J$53*100</f>
        <v>0.007617747195137124</v>
      </c>
      <c r="H44" s="143">
        <v>86849</v>
      </c>
      <c r="I44" s="398">
        <f>H44/'- 13 -'!$J$53*100</f>
        <v>0.005473881421254036</v>
      </c>
      <c r="J44" s="143">
        <v>963565</v>
      </c>
      <c r="K44" s="398">
        <f>J44/'- 13 -'!$J$53*100</f>
        <v>0.060731160424076794</v>
      </c>
    </row>
    <row r="45" spans="1:11" ht="12">
      <c r="A45" s="146" t="s">
        <v>316</v>
      </c>
      <c r="B45" s="400">
        <f>SUM(B41:B44)</f>
        <v>59797097.21</v>
      </c>
      <c r="C45" s="401">
        <f>B45/'- 13 -'!$J$53*100</f>
        <v>3.768865726292076</v>
      </c>
      <c r="D45" s="400">
        <f>SUM(D41:D44)</f>
        <v>4035923.15</v>
      </c>
      <c r="E45" s="401">
        <f>D45/'- 13 -'!$J$53*100</f>
        <v>0.25437442858748016</v>
      </c>
      <c r="F45" s="400">
        <f>SUM(F41:F44)</f>
        <v>309918.78</v>
      </c>
      <c r="G45" s="401">
        <f>F45/'- 13 -'!$J$53*100</f>
        <v>0.019533427580510045</v>
      </c>
      <c r="H45" s="400">
        <f>SUM(H41:H44)</f>
        <v>1336880.5899999999</v>
      </c>
      <c r="I45" s="401">
        <f>H45/'- 13 -'!$J$53*100</f>
        <v>0.08426033488049527</v>
      </c>
      <c r="J45" s="400">
        <f>SUM(J41:J44)</f>
        <v>3167585</v>
      </c>
      <c r="K45" s="401">
        <f>J45/'- 13 -'!$J$53*100</f>
        <v>0.19964518511143436</v>
      </c>
    </row>
    <row r="46" spans="1:11" ht="12">
      <c r="A46" s="363" t="s">
        <v>121</v>
      </c>
      <c r="B46" s="149"/>
      <c r="C46" s="399"/>
      <c r="D46" s="149"/>
      <c r="E46" s="399"/>
      <c r="F46" s="149"/>
      <c r="G46" s="399"/>
      <c r="H46" s="149"/>
      <c r="I46" s="399"/>
      <c r="J46" s="149"/>
      <c r="K46" s="399"/>
    </row>
    <row r="47" spans="1:11" ht="14.25">
      <c r="A47" s="148" t="s">
        <v>388</v>
      </c>
      <c r="B47" s="143"/>
      <c r="C47" s="398"/>
      <c r="D47" s="143"/>
      <c r="E47" s="398"/>
      <c r="F47" s="143">
        <v>35050</v>
      </c>
      <c r="G47" s="398"/>
      <c r="H47" s="143"/>
      <c r="I47" s="398"/>
      <c r="J47" s="143">
        <v>-35050</v>
      </c>
      <c r="K47" s="398"/>
    </row>
    <row r="48" spans="1:11" ht="12">
      <c r="A48" s="146" t="s">
        <v>319</v>
      </c>
      <c r="B48" s="400"/>
      <c r="C48" s="401"/>
      <c r="D48" s="400"/>
      <c r="E48" s="401"/>
      <c r="F48" s="400">
        <f>F47</f>
        <v>35050</v>
      </c>
      <c r="G48" s="401"/>
      <c r="H48" s="400"/>
      <c r="I48" s="401"/>
      <c r="J48" s="400">
        <f>J47</f>
        <v>-35050</v>
      </c>
      <c r="K48" s="401"/>
    </row>
    <row r="49" spans="1:11" ht="4.5" customHeight="1">
      <c r="A49" s="29"/>
      <c r="B49" s="38"/>
      <c r="C49" s="150"/>
      <c r="D49" s="64"/>
      <c r="E49" s="150"/>
      <c r="F49" s="64"/>
      <c r="G49" s="150"/>
      <c r="H49" s="64"/>
      <c r="I49" s="150"/>
      <c r="J49" s="64"/>
      <c r="K49" s="150"/>
    </row>
    <row r="50" spans="1:11" ht="12">
      <c r="A50" s="365" t="s">
        <v>320</v>
      </c>
      <c r="B50" s="402">
        <f>SUM(B48,B45,B39,B22,B21)</f>
        <v>896181683.5500001</v>
      </c>
      <c r="C50" s="403">
        <f>B50/'- 13 -'!$J$53*100</f>
        <v>56.48415373409607</v>
      </c>
      <c r="D50" s="402">
        <f>SUM(D48,D45,D39,D22,D21)</f>
        <v>273152586.66</v>
      </c>
      <c r="E50" s="403">
        <f>D50/'- 13 -'!$J$53*100</f>
        <v>17.216143758542497</v>
      </c>
      <c r="F50" s="402">
        <f>SUM(F48,F45,F39,F22,F21)</f>
        <v>6891296.3996887375</v>
      </c>
      <c r="G50" s="403">
        <f>F50/'- 13 -'!$J$53*100</f>
        <v>0.4343416657717533</v>
      </c>
      <c r="H50" s="402">
        <f>SUM(H48,H45,H39,H22,H21)</f>
        <v>14707742.999999998</v>
      </c>
      <c r="I50" s="403">
        <f>H50/'- 13 -'!$J$53*100</f>
        <v>0.9269933005132942</v>
      </c>
      <c r="J50" s="402">
        <f>SUM(J48,J45,J39,J22,J21)</f>
        <v>55722162</v>
      </c>
      <c r="K50" s="403">
        <f>J50/'- 13 -'!$J$53*100</f>
        <v>3.512032462364652</v>
      </c>
    </row>
    <row r="51" ht="15.75" customHeight="1">
      <c r="A51" s="489" t="s">
        <v>529</v>
      </c>
    </row>
    <row r="52" ht="12">
      <c r="A52" s="152" t="s">
        <v>456</v>
      </c>
    </row>
  </sheetData>
  <mergeCells count="1">
    <mergeCell ref="L27:L29"/>
  </mergeCells>
  <printOptions verticalCentered="1"/>
  <pageMargins left="0.7874015748031497" right="0" top="0.3937007874015748" bottom="0.3937007874015748" header="0" footer="0"/>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chranderso</cp:lastModifiedBy>
  <cp:lastPrinted>2008-09-03T21:35:53Z</cp:lastPrinted>
  <dcterms:created xsi:type="dcterms:W3CDTF">1999-01-19T20:49:35Z</dcterms:created>
  <dcterms:modified xsi:type="dcterms:W3CDTF">2008-09-30T13:57:21Z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