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55" windowWidth="11970" windowHeight="330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7 -" sheetId="40" r:id="rId40"/>
    <sheet name="- 48 -" sheetId="41" r:id="rId41"/>
    <sheet name="- 49 -" sheetId="42" r:id="rId42"/>
    <sheet name="- 50 -" sheetId="43" r:id="rId43"/>
    <sheet name="- 52 -" sheetId="44" r:id="rId44"/>
    <sheet name="- 54 -" sheetId="45" r:id="rId45"/>
    <sheet name="- 55 -" sheetId="46" r:id="rId46"/>
    <sheet name="- 56 -" sheetId="47" r:id="rId47"/>
    <sheet name="- 57 -" sheetId="48" r:id="rId48"/>
    <sheet name="- 58 -" sheetId="49" r:id="rId49"/>
    <sheet name="- 59 -" sheetId="50" r:id="rId50"/>
    <sheet name="- 60 -" sheetId="51" r:id="rId51"/>
  </sheets>
  <definedNames>
    <definedName name="_Fill" hidden="1">#REF!</definedName>
    <definedName name="capyear">'- 47 -'!$C$3</definedName>
    <definedName name="HTML_CodePage" hidden="1">1252</definedName>
    <definedName name="HTML_Control" localSheetId="18" hidden="1">{"'- 4 -'!$A$1:$G$76","'-3 -'!$A$1:$G$77"}</definedName>
    <definedName name="HTML_Control" localSheetId="46" hidden="1">{"'- 4 -'!$A$1:$G$76","'-3 -'!$A$1:$G$77"}</definedName>
    <definedName name="HTML_Control" localSheetId="50"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_xlnm.Print_Area" localSheetId="7">'- 10 -'!$A$1:$K$43</definedName>
    <definedName name="_xlnm.Print_Area" localSheetId="8">'- 12 -'!$A$2:$M$56</definedName>
    <definedName name="_xlnm.Print_Area" localSheetId="9">'- 13 -'!$A$2:$M$54</definedName>
    <definedName name="_xlnm.Print_Area" localSheetId="10">'- 15 -'!$A$1:$K$74</definedName>
    <definedName name="_xlnm.Print_Area" localSheetId="11">'- 16 -'!$A$1:$K$74</definedName>
    <definedName name="_xlnm.Print_Area" localSheetId="12">'- 17 -'!$A$1:$K$74</definedName>
    <definedName name="_xlnm.Print_Area" localSheetId="13">'- 18 -'!$A$1:$H$74</definedName>
    <definedName name="_xlnm.Print_Area" localSheetId="14">'- 19 -'!$A$1:$K$74</definedName>
    <definedName name="_xlnm.Print_Area" localSheetId="15">'- 20 -'!$A$1:$J$74</definedName>
    <definedName name="_xlnm.Print_Area" localSheetId="16">'- 21 -'!$A$1:$K$74</definedName>
    <definedName name="_xlnm.Print_Area" localSheetId="17">'- 22 -'!$A$1:$K$74</definedName>
    <definedName name="_xlnm.Print_Area" localSheetId="18">'- 23 -'!$A$1:$H$74</definedName>
    <definedName name="_xlnm.Print_Area" localSheetId="19">'- 24 -'!$A$1:$J$74</definedName>
    <definedName name="_xlnm.Print_Area" localSheetId="20">'- 25 -'!$A$1:$K$74</definedName>
    <definedName name="_xlnm.Print_Area" localSheetId="21">'- 26 -'!$A$1:$F$74</definedName>
    <definedName name="_xlnm.Print_Area" localSheetId="22">'- 27 -'!$A$1:$K$74</definedName>
    <definedName name="_xlnm.Print_Area" localSheetId="23">'- 28 -'!$A$1:$K$74</definedName>
    <definedName name="_xlnm.Print_Area" localSheetId="24">'- 29 -'!$A$1:$F$74</definedName>
    <definedName name="_xlnm.Print_Area" localSheetId="1">'- 3 -'!$A$1:$G$75</definedName>
    <definedName name="_xlnm.Print_Area" localSheetId="25">'- 30 -'!$A$1:$H$74</definedName>
    <definedName name="_xlnm.Print_Area" localSheetId="26">'- 31 -'!$A$1:$H$74</definedName>
    <definedName name="_xlnm.Print_Area" localSheetId="27">'- 32 -'!$A$1:$H$74</definedName>
    <definedName name="_xlnm.Print_Area" localSheetId="28">'- 33 -'!$A$1:$G$74</definedName>
    <definedName name="_xlnm.Print_Area" localSheetId="29">'- 34 -'!$A$1:$G$74</definedName>
    <definedName name="_xlnm.Print_Area" localSheetId="30">'- 35 -'!$A$1:$I$74</definedName>
    <definedName name="_xlnm.Print_Area" localSheetId="31">'- 36 -'!$A$1:$F$74</definedName>
    <definedName name="_xlnm.Print_Area" localSheetId="32">'- 37 -'!$A$1:$H$74</definedName>
    <definedName name="_xlnm.Print_Area" localSheetId="33">'- 38 -'!$A$1:$K$74</definedName>
    <definedName name="_xlnm.Print_Area" localSheetId="34">'- 39 -'!$A$1:$F$74</definedName>
    <definedName name="_xlnm.Print_Area" localSheetId="2">'- 4 -'!$A$1:$F$74</definedName>
    <definedName name="_xlnm.Print_Area" localSheetId="35">'- 41 -'!$A$1:$I$74</definedName>
    <definedName name="_xlnm.Print_Area" localSheetId="36">'- 42 -'!$A$1:$H$74</definedName>
    <definedName name="_xlnm.Print_Area" localSheetId="37">'- 43 -'!$A$1:$J$74</definedName>
    <definedName name="_xlnm.Print_Area" localSheetId="38">'- 44 -'!$A$1:$J$74</definedName>
    <definedName name="_xlnm.Print_Area" localSheetId="39">'- 47 -'!$A$1:$H$74</definedName>
    <definedName name="_xlnm.Print_Area" localSheetId="40">'- 48 -'!$A$1:$G$74</definedName>
    <definedName name="_xlnm.Print_Area" localSheetId="41">'- 49 -'!$A$1:$F$74</definedName>
    <definedName name="_xlnm.Print_Area" localSheetId="42">'- 50 -'!$A$1:$H$74</definedName>
    <definedName name="_xlnm.Print_Area" localSheetId="43">'- 52 -'!$A$1:$H$74</definedName>
    <definedName name="_xlnm.Print_Area" localSheetId="44">'- 54 -'!$A$1:$G$74</definedName>
    <definedName name="_xlnm.Print_Area" localSheetId="45">'- 55 -'!$A$1:$G$74</definedName>
    <definedName name="_xlnm.Print_Area" localSheetId="46">'- 56 -'!$A$1:$G$74</definedName>
    <definedName name="_xlnm.Print_Area" localSheetId="47">'- 57 -'!$A$1:$G$74</definedName>
    <definedName name="_xlnm.Print_Area" localSheetId="48">'- 58 -'!$A$1:$G$74</definedName>
    <definedName name="_xlnm.Print_Area" localSheetId="49">'- 59 -'!$A$1:$F$74</definedName>
    <definedName name="_xlnm.Print_Area" localSheetId="3">'- 6 -'!$A$1:$I$73</definedName>
    <definedName name="_xlnm.Print_Area" localSheetId="50">'- 60 -'!$A$1:$F$73</definedName>
    <definedName name="_xlnm.Print_Area" localSheetId="4">'- 7 -'!$A$1:$I$74</definedName>
    <definedName name="_xlnm.Print_Area" localSheetId="5">'- 8 -'!$A$1:$I$74</definedName>
    <definedName name="_xlnm.Print_Area" localSheetId="6">'- 9 -'!$A$1:$E$76</definedName>
    <definedName name="REVYEAR">'- 42 -'!$C$2</definedName>
    <definedName name="STATDATE">'- 6 -'!$C$3</definedName>
    <definedName name="TAXYEAR">'- 50 -'!$C$3</definedName>
    <definedName name="YEAR">'- 3 -'!$A$3</definedName>
  </definedNames>
  <calcPr fullCalcOnLoad="1"/>
</workbook>
</file>

<file path=xl/sharedStrings.xml><?xml version="1.0" encoding="utf-8"?>
<sst xmlns="http://schemas.openxmlformats.org/spreadsheetml/2006/main" count="3763" uniqueCount="519">
  <si>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</si>
  <si>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</si>
  <si>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</si>
  <si>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</si>
  <si>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</si>
  <si>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</si>
  <si>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</si>
  <si>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</si>
  <si>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</si>
  <si>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</si>
  <si>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</si>
  <si>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</si>
  <si>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</si>
  <si>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</si>
  <si>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</si>
  <si>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</si>
  <si>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</si>
  <si>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</si>
  <si>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</si>
  <si>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</si>
  <si>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</si>
  <si>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</si>
  <si>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</si>
  <si>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</si>
  <si>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</si>
  <si>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</si>
  <si>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</si>
  <si>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</si>
  <si>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</si>
  <si>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</si>
  <si>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</si>
  <si>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</si>
  <si>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</si>
  <si>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</si>
  <si>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</si>
  <si>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</si>
  <si>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</si>
  <si>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</si>
  <si>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</si>
  <si>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</si>
  <si>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</si>
  <si>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</si>
  <si>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</si>
  <si>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</si>
  <si>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CLASSES</t>
  </si>
  <si>
    <t>SUPPORT SERVICES</t>
  </si>
  <si>
    <t>ENGLISH AS A</t>
  </si>
  <si>
    <t>COMMUNITY SERVICES</t>
  </si>
  <si>
    <t>BOARD OF TRUSTEES</t>
  </si>
  <si>
    <t>AND ADMINISTRATION</t>
  </si>
  <si>
    <t>ADMIN. SERVICES</t>
  </si>
  <si>
    <t>INFORMATION SERVICES</t>
  </si>
  <si>
    <t>STAFF DEVELOPMENT</t>
  </si>
  <si>
    <t>AND DEVELOPMENT</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</si>
  <si>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</si>
  <si>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</si>
  <si>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</si>
  <si>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</si>
  <si>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</si>
  <si>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</si>
  <si>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</si>
  <si>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</si>
  <si>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</si>
  <si>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</si>
  <si>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</si>
  <si>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</si>
  <si>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</si>
  <si>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</si>
  <si>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</si>
  <si>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TOTAL</t>
  </si>
  <si>
    <t>(PROGRAM 720)</t>
  </si>
  <si>
    <t>(PROGRAMS 710, 720 AND 790)</t>
  </si>
  <si>
    <t>REPLACEMENTS</t>
  </si>
  <si>
    <t>COMMUNITY</t>
  </si>
  <si>
    <t>EXPENDITURES</t>
  </si>
  <si>
    <t>PER</t>
  </si>
  <si>
    <t>SECOND LANGUAGE</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</si>
  <si>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</si>
  <si>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</si>
  <si>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</si>
  <si>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</si>
  <si>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</si>
  <si>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</si>
  <si>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</si>
  <si>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</si>
  <si>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</si>
  <si>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</si>
  <si>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</si>
  <si>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</si>
  <si>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</si>
  <si>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</si>
  <si>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</si>
  <si>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</si>
  <si>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</si>
  <si>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</si>
  <si>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</si>
  <si>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CONSOLIDATED</t>
  </si>
  <si>
    <t>EDUCATION</t>
  </si>
  <si>
    <t>FOR PER PUPIL</t>
  </si>
  <si>
    <t>AREA</t>
  </si>
  <si>
    <t xml:space="preserve">NO. </t>
  </si>
  <si>
    <t xml:space="preserve"> DIVISION / DISTRICT</t>
  </si>
  <si>
    <t>AMOUNT</t>
  </si>
  <si>
    <t>%</t>
  </si>
  <si>
    <t>PUPIL</t>
  </si>
  <si>
    <t>LANGUAGE</t>
  </si>
  <si>
    <t>IMMERSION</t>
  </si>
  <si>
    <t>BILINGUAL</t>
  </si>
  <si>
    <t>PUPILS</t>
  </si>
  <si>
    <t>(ROUTES)</t>
  </si>
  <si>
    <t>PER KM.</t>
  </si>
  <si>
    <t>KM.</t>
  </si>
  <si>
    <t>(LOG BOOK)</t>
  </si>
  <si>
    <t xml:space="preserve">PER PUPIL </t>
  </si>
  <si>
    <t>TRANSFERS</t>
  </si>
  <si>
    <t>WINNIPEG</t>
  </si>
  <si>
    <t>ST. JAMES - ASSINIBOIA</t>
  </si>
  <si>
    <t>ASSINIBOINE SOUTH</t>
  </si>
  <si>
    <t>ST. BONIFACE</t>
  </si>
  <si>
    <t>FORT GARRY</t>
  </si>
  <si>
    <t>ST. VITAL</t>
  </si>
  <si>
    <t>RIVER EAST</t>
  </si>
  <si>
    <t>SEVEN OAKS</t>
  </si>
  <si>
    <t>LORD SELKIRK</t>
  </si>
  <si>
    <t>TRANSCONA - SPRINGFIELD</t>
  </si>
  <si>
    <t>AGASSIZ</t>
  </si>
  <si>
    <t>SEINE RIVER</t>
  </si>
  <si>
    <t>HANOVER</t>
  </si>
  <si>
    <t>BOUNDARY</t>
  </si>
  <si>
    <t>RED RIVER</t>
  </si>
  <si>
    <t>RHINELAND</t>
  </si>
  <si>
    <t>MORRIS-MACDONALD</t>
  </si>
  <si>
    <t>WHITE HORSE PLAIN</t>
  </si>
  <si>
    <t>INTERLAKE</t>
  </si>
  <si>
    <t>EVERGREEN</t>
  </si>
  <si>
    <t>LAKESHORE</t>
  </si>
  <si>
    <t>PORTAGE LA PRAIRIE</t>
  </si>
  <si>
    <t>MIDLAND</t>
  </si>
  <si>
    <t>GARDEN VALLEY</t>
  </si>
  <si>
    <t>MOUNTAIN</t>
  </si>
  <si>
    <t>PINE CREEK</t>
  </si>
  <si>
    <t>BEAUTIFUL PLAINS</t>
  </si>
  <si>
    <t>TURTLE RIVER</t>
  </si>
  <si>
    <t>DAUPHIN - OCHRE</t>
  </si>
  <si>
    <t>DUCK MOUNTAIN</t>
  </si>
  <si>
    <t>SWAN VALLEY</t>
  </si>
  <si>
    <t>INTERMOUNTAIN</t>
  </si>
  <si>
    <t>PELLY TRAIL</t>
  </si>
  <si>
    <t>BIRDTAIL RIVER</t>
  </si>
  <si>
    <t>ROLLING RIVER</t>
  </si>
  <si>
    <t>BRANDON</t>
  </si>
  <si>
    <t>FORT LA BOSSE</t>
  </si>
  <si>
    <t>SOURIS VALLEY</t>
  </si>
  <si>
    <t>ANTLER RIVER</t>
  </si>
  <si>
    <t>TURTLE MOUNTAIN</t>
  </si>
  <si>
    <t>KELSEY</t>
  </si>
  <si>
    <t>FLIN FLON</t>
  </si>
  <si>
    <t>WESTERN</t>
  </si>
  <si>
    <t>FRONTIER</t>
  </si>
  <si>
    <t>D.S.F.M.</t>
  </si>
  <si>
    <t>CHURCHILL</t>
  </si>
  <si>
    <t>SNOW LAKE</t>
  </si>
  <si>
    <t>LYNN LAKE</t>
  </si>
  <si>
    <t>MYSTERY LAKE</t>
  </si>
  <si>
    <t>SPRAGUE CONSOLIDATED</t>
  </si>
  <si>
    <t>LEAF RAPIDS</t>
  </si>
  <si>
    <t>PROVINCE</t>
  </si>
  <si>
    <t>PINE FALLS</t>
  </si>
  <si>
    <t>n/a</t>
  </si>
  <si>
    <t>WHITESHELL</t>
  </si>
  <si>
    <t>FINANCES ACQUIRED AND APPLIED</t>
  </si>
  <si>
    <t>PORTIONED ASSESSMENT AND EDUCATION SUPPORT LEVY</t>
  </si>
  <si>
    <t>TOTAL PORTIONED ASSESSMENT, SPECIAL LEVY AND MILL RATES</t>
  </si>
  <si>
    <t>LOCAL TAXATION AND ASSESSMENT PER ELIGIBLE PUPIL</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</si>
  <si>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</si>
  <si>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</si>
  <si>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</si>
  <si>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</si>
  <si>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</si>
  <si>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</si>
  <si>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</si>
  <si>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</si>
  <si>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</si>
  <si>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LEVEL I</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</si>
  <si>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</si>
  <si>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</si>
  <si>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</si>
  <si>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</si>
  <si>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</si>
  <si>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</si>
  <si>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</si>
  <si>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</si>
  <si>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</si>
  <si>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</si>
  <si>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</si>
  <si>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</si>
  <si>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</si>
  <si>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</si>
  <si>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</si>
  <si>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</si>
  <si>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</si>
  <si>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</si>
  <si>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</si>
  <si>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</si>
  <si>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</si>
  <si>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</si>
  <si>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</si>
  <si>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</si>
  <si>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</si>
  <si>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</si>
  <si>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</si>
  <si>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</si>
  <si>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</si>
  <si>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</si>
  <si>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</si>
  <si>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</si>
  <si>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</si>
  <si>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</si>
  <si>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</si>
  <si>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</si>
  <si>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</si>
  <si>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</si>
  <si>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</si>
  <si>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</si>
  <si>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</si>
  <si>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</si>
  <si>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</si>
  <si>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</si>
  <si>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</si>
  <si>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</si>
  <si>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</si>
  <si>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</si>
  <si>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</si>
  <si>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</si>
  <si>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</si>
  <si>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</si>
  <si>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</si>
  <si>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</si>
  <si>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</si>
  <si>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OTHER DIVISIONS</t>
  </si>
  <si>
    <t>CAPFUND CHARTS:</t>
  </si>
  <si>
    <t>FINANCES ACQUIRED</t>
  </si>
  <si>
    <t>CHANGE IN WORKING CAPITAL</t>
  </si>
  <si>
    <t>INTERFUND TRANSFERS</t>
  </si>
  <si>
    <t>LONG TERM DEBT</t>
  </si>
  <si>
    <t>FINANCES APPLIED</t>
  </si>
  <si>
    <t>L.G.D. OF PINAWA</t>
  </si>
  <si>
    <t>NOT IN ANY DIVISION</t>
  </si>
  <si>
    <t>PROVINCE - TOTAL</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</si>
  <si>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</si>
  <si>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</si>
  <si>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</si>
  <si>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</si>
  <si>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</si>
  <si>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</si>
  <si>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</si>
  <si>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</si>
  <si>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</si>
  <si>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</si>
  <si>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</si>
  <si>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</si>
  <si>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</si>
  <si>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</si>
  <si>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</si>
  <si>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</si>
  <si>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310 TRUSTEES REMUNERATION</t>
  </si>
  <si>
    <t>320 EXECUTIVE MANAGERIAL, &amp; SUPERVISORY</t>
  </si>
  <si>
    <t>330 INSTRUCTIONAL - TEACHING</t>
  </si>
  <si>
    <t>350 INSTRUCTIONAL - OTHER</t>
  </si>
  <si>
    <t>360 TECHNICAL, SPECIALIZED AND SERVICE</t>
  </si>
  <si>
    <t>370 SECRETARIAL, CLERICAL AND OTHER</t>
  </si>
  <si>
    <t>EMPLOYEE BENEFITS AND ALLOWANCES</t>
  </si>
  <si>
    <t>5-600</t>
  </si>
  <si>
    <t>510 PROFESSIONAL, TECHNICAL &amp; SPECIALIZED</t>
  </si>
  <si>
    <t>520 COMMUNICATIONS</t>
  </si>
  <si>
    <t>530 UTILITY SERVICES</t>
  </si>
  <si>
    <t>540 TRAVEL AND SUBSISTENCE</t>
  </si>
  <si>
    <t>550 TRANSPORTATION OF PUPILS</t>
  </si>
  <si>
    <t>560 TUITION</t>
  </si>
  <si>
    <t>570 PRINTING AND BINDING</t>
  </si>
  <si>
    <t>580 INSURANCE AND BOND PREMIUMS</t>
  </si>
  <si>
    <t>590 MAINTENANCE AND REPAIR SERVICES</t>
  </si>
  <si>
    <t>610 RENTALS</t>
  </si>
  <si>
    <t>620 TAXES</t>
  </si>
  <si>
    <t>630 ADVERTISING</t>
  </si>
  <si>
    <t>640 DUES AND FEES</t>
  </si>
  <si>
    <t>680 INFORMATION TECHNOLOGY SERVICES</t>
  </si>
  <si>
    <t>SUPPLIES, MATERIALS, &amp; MINOR EQUIPMENT</t>
  </si>
  <si>
    <t>710 SUPPLIES</t>
  </si>
  <si>
    <t>760 MINOR EQUIPMENT</t>
  </si>
  <si>
    <t>770 INVENTORY ADJUSTMENT</t>
  </si>
  <si>
    <t>780 INFORMATION TECHNOLOGY EQUIPMENT</t>
  </si>
  <si>
    <t>910 DEBT SERVICES</t>
  </si>
  <si>
    <t>970 OTHER GOVERNMENT AUTHORITIES</t>
  </si>
  <si>
    <t>980 ORGANIZATIONS AND INDIVIDUALS</t>
  </si>
  <si>
    <t xml:space="preserve">       PROVINCE</t>
  </si>
  <si>
    <t>FRAME STUDENT STATISTICS</t>
  </si>
  <si>
    <t xml:space="preserve">PAGE 1 OF 2 </t>
  </si>
  <si>
    <t>90% OR MORE OF REGULAR INSTRUCTION ENROLMENT IS IN ONE LANGUAGE PROGRAM.</t>
  </si>
  <si>
    <t>NO ONE LANGUAGE PROGRAM COMPRISES 90% OR MORE OF REGULAR INSTRUCTION ENROLMENT.</t>
  </si>
  <si>
    <t>AS REPORTED ON PAGE 4.</t>
  </si>
  <si>
    <t>NO. OF</t>
  </si>
  <si>
    <t>%  IN DUAL TRACK SCHOOLS</t>
  </si>
  <si>
    <t>F.T.E.</t>
  </si>
  <si>
    <t xml:space="preserve"> ANALYSIS OF OPERATIONS AND MAINTENANCE EXPENDITURES FOR SCHOOL BUILDINGS</t>
  </si>
  <si>
    <t xml:space="preserve"> SUPPORT FOR EXPENDITURES RELATED TO AT RISK STUDENTS WHICH MAY BE RECORDED UNDER FUNCTIONS 100, 200 AND 600.</t>
  </si>
  <si>
    <t>MILL RATES FOR FLIN FLON #46, SNOW LAKE #2309 AND MYSTERY LAKE #2355 ARE ADJUSTED FOR MINING  REVENUE.</t>
  </si>
  <si>
    <t>CHECK</t>
  </si>
  <si>
    <t>ENROLMENTS - HEADCOUNT, FRAME AND ELIGIBLE</t>
  </si>
  <si>
    <t>ENROLMENT</t>
  </si>
  <si>
    <t>FRAME PUPIL / TEACHER RATIOS</t>
  </si>
  <si>
    <t>PUPIL / TEACHER RATIOS</t>
  </si>
  <si>
    <t>INSTRUCTIONAL AND PUPIL SUPPORT SERVICES</t>
  </si>
  <si>
    <t>380 CLINICIAN</t>
  </si>
  <si>
    <t>ANALYSIS OF  TRANSPORTATION EXPENDITURES (CONT'D)</t>
  </si>
  <si>
    <t>OPERATING FUND TRANSFERS ARE PAYMENTS TO OTHER SCHOOL DIVISIONS, ORGANIZATIONS AND INDIVIDUALS.  THESE ARE REMOVED</t>
  </si>
  <si>
    <t>ADMINISTRATIVE PERSONNEL ARE EXCLUDED.</t>
  </si>
  <si>
    <t xml:space="preserve">ARE TEACHERS IN PHYSICAL EDUCATION, MUSIC, ESL, ETC. IN ADDITION TO REGLAR CLASSROOM TEACHERS.  SCHOOL-BASED </t>
  </si>
  <si>
    <t>ANALYSIS OF EXPENDITURE BY OBJECT</t>
  </si>
  <si>
    <t>EMPLOYEE BENEFITS</t>
  </si>
  <si>
    <t>SUPPLIES &amp; MATERIALS</t>
  </si>
  <si>
    <t>OPERATIONS &amp; MAINTENANCE</t>
  </si>
  <si>
    <t>INSTRUCTIONAL &amp; PUPIL SUPPORT SERVICES</t>
  </si>
  <si>
    <t>OTHER RESOURCE</t>
  </si>
  <si>
    <t>DOES NOT INCLUDE GENERALIZED ENRICHMENT ACTIVITIES UNDERTAKEN BY SCHOOL DIVISIONS.</t>
  </si>
  <si>
    <t>INCLUDES REVENUE FROM OTHER PROVINCIAL GOVERNMENT DEPARTMENTS.</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</si>
  <si>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</si>
  <si>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</si>
  <si>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</si>
  <si>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</si>
  <si>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</si>
  <si>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</si>
  <si>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DIVISIONAL</t>
  </si>
  <si>
    <t>NEEDS IN REGULAR CLASSES</t>
  </si>
  <si>
    <t>STUDENTS WITH SPECIAL</t>
  </si>
  <si>
    <t>DIVISIONAL ADMINISTRATION</t>
  </si>
  <si>
    <t>AS REPORTED ON PAGES 10 AND 13.</t>
  </si>
  <si>
    <t xml:space="preserve"> FUNCTION 500: DIVISIONAL ADMINISTRATION</t>
  </si>
  <si>
    <r>
      <t xml:space="preserve"> FUNCTION 500: </t>
    </r>
    <r>
      <rPr>
        <b/>
        <sz val="10"/>
        <rFont val="Times New Roman"/>
        <family val="1"/>
      </rPr>
      <t>(CONT'D)</t>
    </r>
  </si>
  <si>
    <t>90% OR MORE OF REGULAR INSTRUCTION ENROLMENT IS IN ONE LANGUAGE.</t>
  </si>
  <si>
    <t>PRAIRIE SPIRIT</t>
  </si>
  <si>
    <t>390 INFORMATION TECHNOLOGY</t>
  </si>
  <si>
    <t>650 PROFESSIONAL AND STAFF DEVELOPMENT</t>
  </si>
  <si>
    <t>PRE-KINDERGARTEN</t>
  </si>
  <si>
    <t xml:space="preserve">N/A </t>
  </si>
  <si>
    <t>PROPERTY.</t>
  </si>
  <si>
    <t>ACTUAL</t>
  </si>
  <si>
    <t>ESTIMATE</t>
  </si>
  <si>
    <t>740 CURRICULAR AND MEDIA MATERIALS</t>
  </si>
  <si>
    <t>SENIOR YEARS</t>
  </si>
  <si>
    <t>EXPENDITURE</t>
  </si>
  <si>
    <t>(1)</t>
  </si>
  <si>
    <t>(2)</t>
  </si>
  <si>
    <t>(3)</t>
  </si>
  <si>
    <t>(4)</t>
  </si>
  <si>
    <t>FROM PAGE 9 (FOR MORE INFORMATION, SEE PAGE 9).</t>
  </si>
  <si>
    <t>FROM PAGE 4 (FOR MORE INFORMATION, SEE PAGE 4).</t>
  </si>
  <si>
    <t>- 10 -</t>
  </si>
  <si>
    <t>FOR FLIN FLON #46, SNOW LAKE #2309 AND MYSTERY LAKE #2355 REFLECTS NON-ASSESSED MINING PROPERTIES.  D.F.S.M. #49</t>
  </si>
  <si>
    <t>CORRESPONDS TO DATA PROVIDED IN THE CALCULATION OF SUPPORT TO SCHOOL DIVISIONS.  ASSESSMENT PER RESIDENT PUPIL</t>
  </si>
  <si>
    <t>ASSESSMENT PER RESIDENT PUPIL IS BASED ON TOTAL PORTIONED ASSESSMENT ADJUSTED FOR ALLOCATIONS TO THE D.S.F.M. AND</t>
  </si>
  <si>
    <t>ASSESSMENT PER RESIDENT PUPIL IS DERIVED ON A PRO RATA BASIS ACCORDING TO ENROLMENT WITHIN D.S.F.M. BOUNDARIES.</t>
  </si>
  <si>
    <t>PER RESIDENT</t>
  </si>
  <si>
    <t>WPG. TECHNICAL COLLEGE</t>
  </si>
  <si>
    <t>STATISTICAL SUMMARY</t>
  </si>
  <si>
    <t>EDUCATOR</t>
  </si>
  <si>
    <t>PUPIL /</t>
  </si>
  <si>
    <t>TRANSPORTED</t>
  </si>
  <si>
    <t>CURRICULAR</t>
  </si>
  <si>
    <t>INFORMATION</t>
  </si>
  <si>
    <t>EARLY</t>
  </si>
  <si>
    <t>BEHAVIOUR</t>
  </si>
  <si>
    <t>INTERVENTION</t>
  </si>
  <si>
    <t>PAGE 1 OF 5</t>
  </si>
  <si>
    <t>PAGE 2 OF 5</t>
  </si>
  <si>
    <t>PAGE 3 OF 5</t>
  </si>
  <si>
    <t>PAGE 4 OF 5</t>
  </si>
  <si>
    <t>PAGE 5 OF 5</t>
  </si>
  <si>
    <t>SUPPORT FOR FUNCTION 200 EXCEPTIONAL EXPENDITURES LESS CATEGORICAL SUPPORT FOR SPECIAL NEEDS.</t>
  </si>
  <si>
    <t>2001/2002 BUDGET</t>
  </si>
  <si>
    <t>ABORIGINAL</t>
  </si>
  <si>
    <t>ACADEMIC</t>
  </si>
  <si>
    <t>PROGRAMS</t>
  </si>
  <si>
    <t>LITERACY</t>
  </si>
  <si>
    <t>June 30 / 01</t>
  </si>
  <si>
    <t>(Grants-</t>
  </si>
  <si>
    <t>in-Lieu)</t>
  </si>
  <si>
    <t xml:space="preserve"> INCLUDES VEHICLE SUPPORT FOR SCHOOL BUSES.</t>
  </si>
  <si>
    <r>
      <t xml:space="preserve">EXPENDITURES </t>
    </r>
    <r>
      <rPr>
        <b/>
        <vertAlign val="superscript"/>
        <sz val="10"/>
        <rFont val="Times New Roman"/>
        <family val="1"/>
      </rPr>
      <t xml:space="preserve">(1)                                                   </t>
    </r>
  </si>
  <si>
    <r>
      <t xml:space="preserve">EXPENSES </t>
    </r>
    <r>
      <rPr>
        <b/>
        <vertAlign val="superscript"/>
        <sz val="11"/>
        <rFont val="Times New Roman"/>
        <family val="1"/>
      </rPr>
      <t>(1)</t>
    </r>
  </si>
  <si>
    <r>
      <t xml:space="preserve">TRANSFERS </t>
    </r>
    <r>
      <rPr>
        <b/>
        <vertAlign val="superscript"/>
        <sz val="11"/>
        <rFont val="Times New Roman"/>
        <family val="1"/>
      </rPr>
      <t>(2)</t>
    </r>
  </si>
  <si>
    <r>
      <t>EXPENDITURES</t>
    </r>
    <r>
      <rPr>
        <b/>
        <sz val="11"/>
        <rFont val="Times New Roman"/>
        <family val="1"/>
      </rPr>
      <t xml:space="preserve"> </t>
    </r>
    <r>
      <rPr>
        <b/>
        <vertAlign val="superscript"/>
        <sz val="11"/>
        <rFont val="Times New Roman"/>
        <family val="1"/>
      </rPr>
      <t>(3)</t>
    </r>
  </si>
  <si>
    <r>
      <t xml:space="preserve">SINGLE TRACK </t>
    </r>
    <r>
      <rPr>
        <b/>
        <vertAlign val="superscript"/>
        <sz val="11"/>
        <rFont val="Times New Roman"/>
        <family val="1"/>
      </rPr>
      <t>(1)</t>
    </r>
  </si>
  <si>
    <r>
      <t xml:space="preserve">DUAL TRACK </t>
    </r>
    <r>
      <rPr>
        <b/>
        <vertAlign val="superscript"/>
        <sz val="11"/>
        <rFont val="Times New Roman"/>
        <family val="1"/>
      </rPr>
      <t>(2)</t>
    </r>
  </si>
  <si>
    <r>
      <t xml:space="preserve">ELIGIBLE </t>
    </r>
    <r>
      <rPr>
        <b/>
        <vertAlign val="superscript"/>
        <sz val="11"/>
        <rFont val="Times New Roman"/>
        <family val="1"/>
      </rPr>
      <t>(3)</t>
    </r>
  </si>
  <si>
    <r>
      <t xml:space="preserve">FRAME </t>
    </r>
    <r>
      <rPr>
        <b/>
        <vertAlign val="superscript"/>
        <sz val="11"/>
        <rFont val="Times New Roman"/>
        <family val="1"/>
      </rPr>
      <t>(2)</t>
    </r>
  </si>
  <si>
    <r>
      <t xml:space="preserve">INSTRUCTION </t>
    </r>
    <r>
      <rPr>
        <b/>
        <vertAlign val="superscript"/>
        <sz val="11"/>
        <rFont val="Times New Roman"/>
        <family val="1"/>
      </rPr>
      <t>(1)</t>
    </r>
  </si>
  <si>
    <r>
      <t xml:space="preserve">EDUCATOR </t>
    </r>
    <r>
      <rPr>
        <b/>
        <vertAlign val="superscript"/>
        <sz val="11"/>
        <rFont val="Times New Roman"/>
        <family val="1"/>
      </rPr>
      <t>(2)</t>
    </r>
  </si>
  <si>
    <r>
      <t xml:space="preserve">HEADCOUNT </t>
    </r>
    <r>
      <rPr>
        <b/>
        <vertAlign val="superscript"/>
        <sz val="11"/>
        <rFont val="Times New Roman"/>
        <family val="1"/>
      </rPr>
      <t>(1)</t>
    </r>
  </si>
  <si>
    <r>
      <t xml:space="preserve">SINGLE TRACK SCHOOLS </t>
    </r>
    <r>
      <rPr>
        <b/>
        <vertAlign val="superscript"/>
        <sz val="11"/>
        <rFont val="Times New Roman"/>
        <family val="1"/>
      </rPr>
      <t>(1)</t>
    </r>
  </si>
  <si>
    <r>
      <t xml:space="preserve">DUAL TRACK SCHOOLS </t>
    </r>
    <r>
      <rPr>
        <b/>
        <vertAlign val="superscript"/>
        <sz val="11"/>
        <rFont val="Times New Roman"/>
        <family val="1"/>
      </rPr>
      <t>(1)</t>
    </r>
  </si>
  <si>
    <r>
      <t xml:space="preserve">GIFTED EDUCATION </t>
    </r>
    <r>
      <rPr>
        <b/>
        <vertAlign val="superscript"/>
        <sz val="11"/>
        <rFont val="Times New Roman"/>
        <family val="1"/>
      </rPr>
      <t>(1)</t>
    </r>
  </si>
  <si>
    <r>
      <t xml:space="preserve">  INFORMATION TECHNOLOGY EXPENDITURES </t>
    </r>
    <r>
      <rPr>
        <b/>
        <vertAlign val="superscript"/>
        <sz val="12"/>
        <rFont val="Times New Roman"/>
        <family val="1"/>
      </rPr>
      <t>(1)</t>
    </r>
  </si>
  <si>
    <r>
      <t xml:space="preserve">PROGRAM </t>
    </r>
    <r>
      <rPr>
        <b/>
        <vertAlign val="superscript"/>
        <sz val="11"/>
        <rFont val="Times New Roman"/>
        <family val="1"/>
      </rPr>
      <t>(1)</t>
    </r>
  </si>
  <si>
    <r>
      <t xml:space="preserve">REVENUE </t>
    </r>
    <r>
      <rPr>
        <b/>
        <vertAlign val="superscript"/>
        <sz val="11"/>
        <rFont val="Times New Roman"/>
        <family val="1"/>
      </rPr>
      <t>(2)</t>
    </r>
  </si>
  <si>
    <r>
      <t xml:space="preserve">REVENUE </t>
    </r>
    <r>
      <rPr>
        <b/>
        <vertAlign val="superscript"/>
        <sz val="11"/>
        <rFont val="Times New Roman"/>
        <family val="1"/>
      </rPr>
      <t>(3)</t>
    </r>
  </si>
  <si>
    <r>
      <t xml:space="preserve">EDUCATION SUPPORT LEVY </t>
    </r>
    <r>
      <rPr>
        <b/>
        <vertAlign val="superscript"/>
        <sz val="11"/>
        <rFont val="Times New Roman"/>
        <family val="1"/>
      </rPr>
      <t>(1)</t>
    </r>
  </si>
  <si>
    <r>
      <t xml:space="preserve">MILL RATE </t>
    </r>
    <r>
      <rPr>
        <b/>
        <vertAlign val="superscript"/>
        <sz val="11"/>
        <rFont val="Times New Roman"/>
        <family val="1"/>
      </rPr>
      <t>(1)</t>
    </r>
  </si>
  <si>
    <r>
      <t xml:space="preserve">RESIDENT PUPIL </t>
    </r>
    <r>
      <rPr>
        <b/>
        <vertAlign val="superscript"/>
        <sz val="11"/>
        <rFont val="Times New Roman"/>
        <family val="1"/>
      </rPr>
      <t>(1)</t>
    </r>
  </si>
  <si>
    <r>
      <t xml:space="preserve">NEEDS </t>
    </r>
    <r>
      <rPr>
        <b/>
        <vertAlign val="superscript"/>
        <sz val="11"/>
        <rFont val="Times New Roman"/>
        <family val="1"/>
      </rPr>
      <t>(2)</t>
    </r>
  </si>
  <si>
    <r>
      <t xml:space="preserve">AT RISK </t>
    </r>
    <r>
      <rPr>
        <b/>
        <vertAlign val="superscript"/>
        <sz val="11"/>
        <rFont val="Times New Roman"/>
        <family val="1"/>
      </rPr>
      <t>(3)</t>
    </r>
  </si>
  <si>
    <r>
      <t xml:space="preserve">CATEGORICAL </t>
    </r>
    <r>
      <rPr>
        <b/>
        <vertAlign val="superscript"/>
        <sz val="11"/>
        <rFont val="Times New Roman"/>
        <family val="1"/>
      </rPr>
      <t>(1)</t>
    </r>
  </si>
  <si>
    <r>
      <t xml:space="preserve">SUPPORT </t>
    </r>
    <r>
      <rPr>
        <b/>
        <vertAlign val="superscript"/>
        <sz val="11"/>
        <rFont val="Times New Roman"/>
        <family val="1"/>
      </rPr>
      <t>(2)</t>
    </r>
  </si>
  <si>
    <r>
      <t xml:space="preserve">PER PUPIL </t>
    </r>
    <r>
      <rPr>
        <b/>
        <vertAlign val="superscript"/>
        <sz val="11"/>
        <rFont val="Times New Roman"/>
        <family val="1"/>
      </rPr>
      <t>(1)</t>
    </r>
  </si>
  <si>
    <r>
      <t xml:space="preserve"> RATIO </t>
    </r>
    <r>
      <rPr>
        <b/>
        <vertAlign val="superscript"/>
        <sz val="11"/>
        <rFont val="Times New Roman"/>
        <family val="1"/>
      </rPr>
      <t>(2)</t>
    </r>
  </si>
  <si>
    <r>
      <t xml:space="preserve">PUPIL </t>
    </r>
    <r>
      <rPr>
        <b/>
        <vertAlign val="superscript"/>
        <sz val="11"/>
        <rFont val="Times New Roman"/>
        <family val="1"/>
      </rPr>
      <t>(3)</t>
    </r>
  </si>
  <si>
    <r>
      <t xml:space="preserve">MILL RATE </t>
    </r>
    <r>
      <rPr>
        <b/>
        <vertAlign val="superscript"/>
        <sz val="11"/>
        <rFont val="Times New Roman"/>
        <family val="1"/>
      </rPr>
      <t>(4)</t>
    </r>
  </si>
  <si>
    <t>ADULT</t>
  </si>
  <si>
    <t>LEARNING</t>
  </si>
  <si>
    <t>AND SERVICES</t>
  </si>
  <si>
    <t>ADULT LEARNING</t>
  </si>
  <si>
    <t>PAGE 1 OF 17</t>
  </si>
  <si>
    <t>PAGE 2 OF 17</t>
  </si>
  <si>
    <t>PAGE 3 OF 17</t>
  </si>
  <si>
    <t>PAGE 4 OF 17</t>
  </si>
  <si>
    <t>PAGE 5 OF 17</t>
  </si>
  <si>
    <t>PAGE 6 OF 17</t>
  </si>
  <si>
    <t>PAGE 7 OF 17</t>
  </si>
  <si>
    <t>PAGE 8 OF 17</t>
  </si>
  <si>
    <t>PAGE 17 OF 17</t>
  </si>
  <si>
    <t>PAGE 16 OF 17</t>
  </si>
  <si>
    <t>PAGE 15 OF 17</t>
  </si>
  <si>
    <t>PAGE 14 OF 17</t>
  </si>
  <si>
    <t>PAGE 13 OF 17</t>
  </si>
  <si>
    <t>PAGE 12 OF 17</t>
  </si>
  <si>
    <t>PAGE 11 OF 17</t>
  </si>
  <si>
    <t>PAGE 10 OF 17</t>
  </si>
  <si>
    <t>PAGE 9 OF 17</t>
  </si>
  <si>
    <t>TOTAL OPERATING EXPENDITURES AS REPORTED ON THE INCOME STATEMENT OF SCHOOL DIVISIONS' BUDGETS.</t>
  </si>
  <si>
    <t>NON K-S4</t>
  </si>
  <si>
    <r>
      <t xml:space="preserve">&amp; SERVICES </t>
    </r>
    <r>
      <rPr>
        <b/>
        <vertAlign val="superscript"/>
        <sz val="11"/>
        <rFont val="Times New Roman"/>
        <family val="1"/>
      </rPr>
      <t>(4)</t>
    </r>
  </si>
  <si>
    <r>
      <t xml:space="preserve">COSTS </t>
    </r>
    <r>
      <rPr>
        <b/>
        <vertAlign val="superscript"/>
        <sz val="11"/>
        <rFont val="Times New Roman"/>
        <family val="1"/>
      </rPr>
      <t>(5)</t>
    </r>
  </si>
  <si>
    <t>(5)</t>
  </si>
  <si>
    <t>EXPENDITURES FOR ADULT LEARNING CENTRES AND COMMUNITY EDUCATION AND SERVICES (FUNCTIONS 300 AND 400).</t>
  </si>
  <si>
    <t>INCLUDES OTHER MISCELLANEOUS SUPPORT (INSTITUTIONAL PROGRAMS, ADULT LEARNING CENTRES, GENERAL SUPPORT GRANT, ETC.).</t>
  </si>
  <si>
    <t>ADULT LEARNING CENTRES</t>
  </si>
  <si>
    <t>THE TOTAL NUMBER OF PUPILS ENROLLED IN SCHOOLS ADJUSTED FOR FULL TIME EQUIVALENCE (F.T.E.).  FULL TIME EQUIVALENT</t>
  </si>
  <si>
    <t>MEANS PUPILS ARE COUNTED ON THE BASIS OF TIME ATTENDING SCHOOL - EG. KINDERGARTEN AS 1/2.  THIS TOTAL IS THE SAME AS</t>
  </si>
  <si>
    <t>INCLUDES SCHOOL BUILDINGS "D" SUPPORT, ENVIRONMENTAL ASSISTANCE PROGRAM, VOCATIONAL EQUIPMENT AND AIR QUALITY</t>
  </si>
  <si>
    <t>PROGRAM.</t>
  </si>
  <si>
    <t>SEE APPENDIX A FOR MORE DETAIL.</t>
  </si>
  <si>
    <t>ACHIEVEMENT</t>
  </si>
  <si>
    <r>
      <t xml:space="preserve">SUPPORT </t>
    </r>
    <r>
      <rPr>
        <b/>
        <vertAlign val="superscript"/>
        <sz val="11"/>
        <rFont val="Times New Roman"/>
        <family val="1"/>
      </rPr>
      <t>(1)</t>
    </r>
  </si>
  <si>
    <t>AND OTHER</t>
  </si>
  <si>
    <t>PROVIDE MORE ACCURATE PER PUPIL COSTS.    ALSO EXCLUDED ARE EXPENDITURES ON EDUCATIONAL SERVICES NOT PROVIDED TO</t>
  </si>
  <si>
    <t>OPERATING FUND TRANSFERS (I.E. PAYMENTS TO OTHER SCHOOL DIVISIONS, ORGANIZATIONS AND INDIVIDUALS) ARE EXCLUDED TO</t>
  </si>
  <si>
    <t>BASED ON TOTAL INSTRUCTIONAL-TEACHING (EXCLUDING COMMUNITY EDUCATION AND ADULT LEARNING CENTRES) AS WELL AS</t>
  </si>
  <si>
    <t>SCHOOL-BASED ADMINISTRATIVE STAFF - EG. DEPARTMENT HEADS, COORDINATORS, PRINCIPALS AND VICE-PRINCIPALS - AND K-S4</t>
  </si>
  <si>
    <t>- 13 -</t>
  </si>
  <si>
    <t>- 12 -</t>
  </si>
  <si>
    <r>
      <t xml:space="preserve">CENTRES </t>
    </r>
    <r>
      <rPr>
        <b/>
        <vertAlign val="superscript"/>
        <sz val="11"/>
        <rFont val="Times New Roman"/>
        <family val="1"/>
      </rPr>
      <t>(1)</t>
    </r>
  </si>
  <si>
    <r>
      <t xml:space="preserve"> FUNCTION 300: ADULT LEARNING CENTRES </t>
    </r>
    <r>
      <rPr>
        <b/>
        <vertAlign val="superscript"/>
        <sz val="13"/>
        <rFont val="Times New Roman"/>
        <family val="1"/>
      </rPr>
      <t>(1)</t>
    </r>
  </si>
  <si>
    <t>(COMMUNITY EDUCATION AND SERVICES).</t>
  </si>
  <si>
    <t>EDUCATION AND SERVICES).</t>
  </si>
  <si>
    <t>EXCLUDES INFORMATION TECHNOLOGY EXPENDITURES IN FUNCTION 300 (ADULT LEARNING CENTRES) AND FUNCTION 400 (COMMUNITY</t>
  </si>
  <si>
    <t>EXCLUDES INFORMATION TECHNOLOGY EXPENDITURES IN FUNCTION 300 (ADULT LEARNING CENTRES) AND FUNCTION 400</t>
  </si>
  <si>
    <t>FROM PAGE 54 (FOR MORE INFORMATION, SEE PAGE 54).</t>
  </si>
  <si>
    <t>FROM PAGE 52 (FOR MORE INFORMATION, SEE PAGE 52).</t>
  </si>
  <si>
    <t>ALL OTHER CATEGORICAL SUPPORT NOT SHOWN ELSEWHERE (EG. HERITAGE LANGUAGE, ENGLISH AS A SECOND LANGUAGE,</t>
  </si>
  <si>
    <t xml:space="preserve">LIBRARY / </t>
  </si>
  <si>
    <r>
      <t xml:space="preserve">MEDIA CENTRE </t>
    </r>
    <r>
      <rPr>
        <b/>
        <vertAlign val="superscript"/>
        <sz val="11"/>
        <rFont val="Times New Roman"/>
        <family val="1"/>
      </rPr>
      <t>(1)</t>
    </r>
  </si>
  <si>
    <t>FORMERLY EDUCATIONAL MEDIA (NOTE: EXPENDITURES ARE COMPARABLE TO PREVIOUS YEARS, ONLY THE NAME HAS CHANGED)</t>
  </si>
  <si>
    <t>OPERATING FUND BUDGET 2002/2003</t>
  </si>
  <si>
    <t>2002/2003 BUDGET</t>
  </si>
  <si>
    <t>K-S4 PUPILS:  FUNCTION 300 (ADULT LEARNING CENTRES) AND FUNCTION 400 (COMMUNITY EDUCATION AND SERVICES).</t>
  </si>
  <si>
    <t>SQ. FT. PER</t>
  </si>
  <si>
    <r>
      <t xml:space="preserve">SQ. FT. </t>
    </r>
    <r>
      <rPr>
        <b/>
        <vertAlign val="superscript"/>
        <sz val="11"/>
        <rFont val="Times New Roman"/>
        <family val="1"/>
      </rPr>
      <t>(1)</t>
    </r>
  </si>
  <si>
    <r>
      <t xml:space="preserve">PUPIL </t>
    </r>
    <r>
      <rPr>
        <b/>
        <vertAlign val="superscript"/>
        <sz val="11"/>
        <rFont val="Times New Roman"/>
        <family val="1"/>
      </rPr>
      <t>(2)</t>
    </r>
  </si>
  <si>
    <t>SQUARE FOOTAGE (AS PER NOTE ABOVE) DIVIDED BY TOTAL F.T.E. ENROLMENT (FROM PAGE 7).</t>
  </si>
  <si>
    <t>EDUCATION SUPPORT LEVY MILL RATES ARE 6.64 MILLS FOR URBAN AND FARM RESIDENTIAL PROPERTY AND 16.50 MILLS FOR OTHER</t>
  </si>
  <si>
    <t>INSTRUCTIONAL</t>
  </si>
  <si>
    <t>NORTHERN / REMOTENESS ALLOWANCE,  ETC.).</t>
  </si>
  <si>
    <t>SCHOOLS</t>
  </si>
  <si>
    <t>FUNDING OF</t>
  </si>
  <si>
    <t>EDUCATION, TRAINING AND YOUTH</t>
  </si>
  <si>
    <t>FUNDING OF SCHOOLS PROGRAM (CONT'D)</t>
  </si>
  <si>
    <t>FUNDING OF SCHOOLS PROGRAM</t>
  </si>
  <si>
    <t>TOTAL FUNDING</t>
  </si>
  <si>
    <t>OF SCHOOLS</t>
  </si>
  <si>
    <t>TO PROVIDE MORE ACCURATE PER PUPIL COSTS.</t>
  </si>
  <si>
    <r>
      <t xml:space="preserve">NEEDS </t>
    </r>
    <r>
      <rPr>
        <b/>
        <vertAlign val="superscript"/>
        <sz val="11"/>
        <rFont val="Times New Roman"/>
        <family val="1"/>
      </rPr>
      <t>(1)</t>
    </r>
  </si>
  <si>
    <t>BASED ON A GRANT PER ELIGIBLE PUPIL AT SEPTEMBER 30, 2001.</t>
  </si>
  <si>
    <t>PROVIDED IN RECOGNITION OF THE HIGHER COSTS ASSOCIATED WITH SPARSELY POPULATED RURAL AND NORTHERN DIVISIONS.</t>
  </si>
  <si>
    <t>HEALTH AND EDUCATION SUPPORT LEVY.</t>
  </si>
  <si>
    <t/>
  </si>
  <si>
    <t>PUBLICATION).</t>
  </si>
  <si>
    <t>2001 AMT  ^</t>
  </si>
  <si>
    <t>2002 AMT  ^</t>
  </si>
  <si>
    <t>PUPILS TAUGHT IN SCHOOLS, WHETHER OR NOT THEY ARE COUNTED FOR GRANT PURPOSES (ACTUAL AS OF SEPTEMBER 30, 2001).</t>
  </si>
  <si>
    <t>PROVINCIALLY SUPPORTED PUPILS (ACTUAL AS OF SEPTEMBER 30, 2001).</t>
  </si>
  <si>
    <t>REPORTED ON PAGE 7 AND IS BASED ON ESTIMATES FOR SEPTEMBER 30, 2002 SUBMITTED BY SCHOOL DIVISIONS IN THEIR BUDGETS.</t>
  </si>
  <si>
    <t xml:space="preserve">BASED ON AREA (SQUARE FOOTAGE) OF ACTIVE SCHOOL BUILDINGS AS AT JUNE 30, 2001 (JUNE 30, 2002 UNAVAILABLE AT TIME OF </t>
  </si>
  <si>
    <t>BASED ON OBJECT CODE 330 INSTRUCTIONAL-TEACHING PERSONNEL AND F.T.E. STUDENTS IN FUNCTION 100.  INCLUDED</t>
  </si>
  <si>
    <t>F.T.E. ENROLMENT.  DIVISION ADMINISTRATORS (FUNCTION 500) ARE EXCLUDED.  WHILE THIS DEFINITION IS CONSISTENT WITH</t>
  </si>
  <si>
    <t>STATISTICS CANADA, THE PROVINCIAL RATIO MAY NOT AGREE EXACTLY DUE TO DIFFERENT DATA SOURCES.</t>
  </si>
  <si>
    <t>TECHNOLOGY EDUCATION</t>
  </si>
  <si>
    <t>CONTINUING</t>
  </si>
  <si>
    <t>REPAIRS</t>
  </si>
  <si>
    <t>SPARSITY</t>
  </si>
  <si>
    <t>EQUALIZATION</t>
  </si>
  <si>
    <t>EQUALIZATION IS PROVIDED TO RECOGNIZE THE VARYING ABILITY OF SCHOOL DIVISIONS TO MEET THE COST OF UNSUPPORTED</t>
  </si>
  <si>
    <t>PROGRAM REQUIREMENTS THROUGH THE PROPERTY TAX BASE OF THE SCHOOL DIVISION.</t>
  </si>
  <si>
    <t>SEE EXPLANATORY NOTE 10 ON PAGE viii AND EXPENDITURE DEFINITION ON PAGE iii.</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</si>
  <si>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</si>
  <si>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</si>
  <si>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just click the worksheet tab named "- 15 -".</t>
  </si>
  <si>
    <t>The cover page, table of contents, forward and introduction, etc. as well as the graphs (e.g. pie charts, bar charts, etc.) are not included.  If you need to see these and do not already have a copy of the report, you may download the PDF version from the same web site from which you retrieved this Excel file.</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</si>
  <si>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Manitoba Education and Training's web site remain the final authority.</t>
  </si>
  <si>
    <t>FRAME Report: 2002/03 Budget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</si>
</sst>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s>
  <fonts count="25">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sz val="11"/>
      <name val="Arial"/>
      <family val="2"/>
    </font>
    <font>
      <b/>
      <sz val="12"/>
      <name val="Times New Roman"/>
      <family val="1"/>
    </font>
    <font>
      <b/>
      <sz val="11"/>
      <color indexed="9"/>
      <name val="Arial"/>
      <family val="2"/>
    </font>
    <font>
      <sz val="11"/>
      <color indexed="9"/>
      <name val="Arial"/>
      <family val="2"/>
    </font>
    <font>
      <b/>
      <sz val="13"/>
      <name val="Times New Roman"/>
      <family val="1"/>
    </font>
    <font>
      <sz val="12"/>
      <name val="Times New Roman"/>
      <family val="1"/>
    </font>
    <font>
      <b/>
      <vertAlign val="superscript"/>
      <sz val="10"/>
      <name val="Times New Roman"/>
      <family val="1"/>
    </font>
    <font>
      <b/>
      <vertAlign val="superscript"/>
      <sz val="11"/>
      <name val="Times New Roman"/>
      <family val="1"/>
    </font>
    <font>
      <vertAlign val="superscript"/>
      <sz val="11"/>
      <name val="Times New Roman"/>
      <family val="1"/>
    </font>
    <font>
      <b/>
      <vertAlign val="superscript"/>
      <sz val="12"/>
      <name val="Times New Roman"/>
      <family val="1"/>
    </font>
    <font>
      <sz val="11"/>
      <name val="Times New Roman"/>
      <family val="1"/>
    </font>
    <font>
      <b/>
      <vertAlign val="superscript"/>
      <sz val="13"/>
      <name val="Times New Roman"/>
      <family val="1"/>
    </font>
    <font>
      <i/>
      <sz val="10"/>
      <name val="Times New Roman"/>
      <family val="1"/>
    </font>
  </fonts>
  <fills count="10">
    <fill>
      <patternFill/>
    </fill>
    <fill>
      <patternFill patternType="gray125"/>
    </fill>
    <fill>
      <patternFill patternType="solid">
        <fgColor indexed="22"/>
        <bgColor indexed="64"/>
      </patternFill>
    </fill>
    <fill>
      <patternFill patternType="gray125">
        <fgColor indexed="8"/>
        <bgColor indexed="9"/>
      </patternFill>
    </fill>
    <fill>
      <patternFill patternType="solid">
        <fgColor indexed="9"/>
        <bgColor indexed="64"/>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57"/>
        <bgColor indexed="64"/>
      </patternFill>
    </fill>
  </fills>
  <borders count="28">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thin"/>
      <right>
        <color indexed="63"/>
      </right>
      <top style="thin">
        <color indexed="8"/>
      </top>
      <bottom style="thin">
        <color indexed="8"/>
      </bottom>
    </border>
    <border>
      <left style="thin"/>
      <right>
        <color indexed="63"/>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43">
    <xf numFmtId="37" fontId="0" fillId="0" borderId="0" xfId="0" applyAlignment="1">
      <alignment/>
    </xf>
    <xf numFmtId="37" fontId="4" fillId="3" borderId="2" xfId="0" applyFont="1" applyFill="1" applyBorder="1" applyAlignment="1">
      <alignment/>
    </xf>
    <xf numFmtId="174" fontId="0" fillId="0" borderId="0" xfId="0" applyNumberFormat="1" applyAlignment="1" applyProtection="1">
      <alignment/>
      <protection/>
    </xf>
    <xf numFmtId="37" fontId="0" fillId="0" borderId="0" xfId="0" applyAlignment="1">
      <alignment horizontal="right"/>
    </xf>
    <xf numFmtId="37" fontId="3" fillId="0" borderId="3" xfId="0" applyFont="1" applyBorder="1" applyAlignment="1" applyProtection="1">
      <alignment horizontal="centerContinuous"/>
      <protection locked="0"/>
    </xf>
    <xf numFmtId="37" fontId="3" fillId="0" borderId="4" xfId="0" applyFont="1" applyBorder="1" applyAlignment="1" applyProtection="1">
      <alignment horizontal="centerContinuous"/>
      <protection locked="0"/>
    </xf>
    <xf numFmtId="172" fontId="3" fillId="0" borderId="0" xfId="0" applyNumberFormat="1" applyFont="1" applyAlignment="1" applyProtection="1">
      <alignment/>
      <protection locked="0"/>
    </xf>
    <xf numFmtId="37" fontId="0" fillId="0" borderId="0" xfId="0" applyFont="1" applyAlignment="1">
      <alignment/>
    </xf>
    <xf numFmtId="37" fontId="1" fillId="4" borderId="4" xfId="0" applyFont="1" applyFill="1" applyBorder="1" applyAlignment="1" applyProtection="1">
      <alignment horizontal="centerContinuous"/>
      <protection locked="0"/>
    </xf>
    <xf numFmtId="37" fontId="6" fillId="0" borderId="5" xfId="0" applyFont="1" applyBorder="1" applyAlignment="1" applyProtection="1">
      <alignment/>
      <protection locked="0"/>
    </xf>
    <xf numFmtId="37" fontId="6" fillId="0" borderId="4" xfId="0" applyFont="1" applyBorder="1" applyAlignment="1" applyProtection="1">
      <alignment/>
      <protection locked="0"/>
    </xf>
    <xf numFmtId="37" fontId="6" fillId="0" borderId="0" xfId="0" applyFont="1" applyAlignment="1" applyProtection="1">
      <alignment/>
      <protection locked="0"/>
    </xf>
    <xf numFmtId="37" fontId="6" fillId="0" borderId="3" xfId="0" applyFont="1" applyBorder="1" applyAlignment="1" applyProtection="1">
      <alignment/>
      <protection locked="0"/>
    </xf>
    <xf numFmtId="37" fontId="6" fillId="0" borderId="0" xfId="0" applyFont="1" applyBorder="1" applyAlignment="1" applyProtection="1">
      <alignment/>
      <protection locked="0"/>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37" fontId="1" fillId="3" borderId="2" xfId="0" applyFont="1" applyFill="1" applyBorder="1" applyAlignment="1">
      <alignment/>
    </xf>
    <xf numFmtId="37" fontId="5" fillId="3" borderId="2" xfId="0" applyFont="1" applyFill="1" applyBorder="1" applyAlignment="1">
      <alignment/>
    </xf>
    <xf numFmtId="172" fontId="1" fillId="0" borderId="0" xfId="0" applyNumberFormat="1" applyFont="1" applyAlignment="1" applyProtection="1">
      <alignment/>
      <protection/>
    </xf>
    <xf numFmtId="37" fontId="1" fillId="4" borderId="0" xfId="0" applyFont="1" applyFill="1" applyAlignment="1" applyProtection="1">
      <alignment/>
      <protection/>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10" fontId="1" fillId="4" borderId="5" xfId="0" applyNumberFormat="1"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5" fillId="4" borderId="3" xfId="0" applyFont="1" applyFill="1" applyBorder="1" applyAlignment="1" applyProtection="1">
      <alignment/>
      <protection/>
    </xf>
    <xf numFmtId="37" fontId="1" fillId="4" borderId="3" xfId="0" applyFont="1" applyFill="1" applyBorder="1" applyAlignment="1" applyProtection="1">
      <alignment/>
      <protection/>
    </xf>
    <xf numFmtId="37" fontId="1" fillId="4"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3" borderId="9" xfId="0" applyFont="1" applyFill="1" applyBorder="1" applyAlignment="1" applyProtection="1">
      <alignment horizontal="centerContinuous"/>
      <protection/>
    </xf>
    <xf numFmtId="37" fontId="5" fillId="3" borderId="4" xfId="0" applyFont="1" applyFill="1" applyBorder="1" applyAlignment="1" applyProtection="1">
      <alignment horizontal="centerContinuous"/>
      <protection/>
    </xf>
    <xf numFmtId="37" fontId="5" fillId="3" borderId="10" xfId="0" applyFont="1" applyFill="1" applyBorder="1" applyAlignment="1" applyProtection="1">
      <alignment horizontal="centerContinuous"/>
      <protection/>
    </xf>
    <xf numFmtId="37" fontId="5" fillId="3" borderId="11" xfId="0" applyFont="1" applyFill="1" applyBorder="1" applyAlignment="1" applyProtection="1">
      <alignment horizontal="centerContinuous"/>
      <protection/>
    </xf>
    <xf numFmtId="37" fontId="5" fillId="3" borderId="3" xfId="0" applyFont="1" applyFill="1" applyBorder="1" applyAlignment="1" applyProtection="1">
      <alignment horizontal="centerContinuous"/>
      <protection/>
    </xf>
    <xf numFmtId="37" fontId="5" fillId="3" borderId="6" xfId="0" applyFont="1" applyFill="1" applyBorder="1" applyAlignment="1" applyProtection="1">
      <alignment horizontal="centerContinuous"/>
      <protection/>
    </xf>
    <xf numFmtId="37" fontId="1" fillId="0" borderId="12" xfId="0" applyFont="1" applyBorder="1" applyAlignment="1">
      <alignment/>
    </xf>
    <xf numFmtId="37" fontId="5" fillId="0" borderId="12" xfId="0" applyFont="1" applyBorder="1" applyAlignment="1">
      <alignment/>
    </xf>
    <xf numFmtId="37" fontId="5" fillId="4" borderId="13" xfId="0" applyFont="1" applyFill="1" applyBorder="1" applyAlignment="1" applyProtection="1">
      <alignment/>
      <protection/>
    </xf>
    <xf numFmtId="37" fontId="5" fillId="4" borderId="1" xfId="0" applyFont="1" applyFill="1" applyBorder="1" applyAlignment="1" applyProtection="1">
      <alignment/>
      <protection/>
    </xf>
    <xf numFmtId="37" fontId="5" fillId="4" borderId="8" xfId="0" applyFont="1" applyFill="1" applyBorder="1" applyAlignment="1" applyProtection="1">
      <alignment horizontal="center"/>
      <protection/>
    </xf>
    <xf numFmtId="37" fontId="5" fillId="4" borderId="8" xfId="0" applyFont="1" applyFill="1" applyBorder="1" applyAlignment="1" applyProtection="1">
      <alignment horizontal="centerContinuous"/>
      <protection/>
    </xf>
    <xf numFmtId="37" fontId="5" fillId="4" borderId="8" xfId="0" applyFont="1" applyFill="1" applyBorder="1" applyAlignment="1" applyProtection="1">
      <alignment/>
      <protection/>
    </xf>
    <xf numFmtId="37" fontId="5" fillId="0" borderId="14" xfId="0" applyFont="1" applyBorder="1" applyAlignment="1">
      <alignment horizontal="right"/>
    </xf>
    <xf numFmtId="37" fontId="5" fillId="0" borderId="10" xfId="0" applyFont="1" applyBorder="1" applyAlignment="1">
      <alignment/>
    </xf>
    <xf numFmtId="37" fontId="5" fillId="0" borderId="10" xfId="0" applyFont="1" applyBorder="1" applyAlignment="1" applyProtection="1">
      <alignment horizontal="centerContinuous"/>
      <protection/>
    </xf>
    <xf numFmtId="37" fontId="0" fillId="0" borderId="0" xfId="0" applyFont="1" applyAlignment="1">
      <alignment horizontal="right"/>
    </xf>
    <xf numFmtId="37" fontId="0" fillId="0" borderId="0" xfId="0" applyFont="1" applyAlignment="1" applyProtection="1">
      <alignment/>
      <protection/>
    </xf>
    <xf numFmtId="37" fontId="1" fillId="4" borderId="0" xfId="0" applyFont="1" applyFill="1" applyAlignment="1">
      <alignment/>
    </xf>
    <xf numFmtId="37" fontId="1" fillId="4" borderId="5" xfId="0" applyFont="1" applyFill="1" applyBorder="1" applyAlignment="1">
      <alignment horizontal="centerContinuous"/>
    </xf>
    <xf numFmtId="37" fontId="1" fillId="4" borderId="5" xfId="0" applyFont="1" applyFill="1" applyBorder="1" applyAlignment="1">
      <alignment/>
    </xf>
    <xf numFmtId="37" fontId="1" fillId="4" borderId="5" xfId="0" applyFont="1" applyFill="1" applyBorder="1" applyAlignment="1" quotePrefix="1">
      <alignment/>
    </xf>
    <xf numFmtId="37" fontId="1" fillId="4" borderId="5" xfId="0" applyFont="1" applyFill="1" applyBorder="1" applyAlignment="1">
      <alignment horizontal="right"/>
    </xf>
    <xf numFmtId="37" fontId="1" fillId="4" borderId="4" xfId="0" applyFont="1" applyFill="1" applyBorder="1" applyAlignment="1">
      <alignment horizontal="centerContinuous"/>
    </xf>
    <xf numFmtId="37" fontId="1" fillId="4" borderId="4" xfId="0" applyFont="1" applyFill="1" applyBorder="1" applyAlignment="1">
      <alignment/>
    </xf>
    <xf numFmtId="37" fontId="1" fillId="4" borderId="4" xfId="0" applyFont="1" applyFill="1" applyBorder="1" applyAlignment="1">
      <alignment/>
    </xf>
    <xf numFmtId="37" fontId="1" fillId="3" borderId="15" xfId="0" applyFont="1" applyFill="1" applyBorder="1" applyAlignment="1">
      <alignment/>
    </xf>
    <xf numFmtId="37" fontId="5" fillId="3" borderId="5" xfId="0" applyFont="1" applyFill="1" applyBorder="1" applyAlignment="1">
      <alignment horizontal="centerContinuous"/>
    </xf>
    <xf numFmtId="37" fontId="5" fillId="3" borderId="13" xfId="0" applyFont="1" applyFill="1" applyBorder="1" applyAlignment="1">
      <alignment horizontal="centerContinuous"/>
    </xf>
    <xf numFmtId="37" fontId="5" fillId="3" borderId="15" xfId="0" applyFont="1" applyFill="1" applyBorder="1" applyAlignment="1">
      <alignment horizontal="centerContinuous"/>
    </xf>
    <xf numFmtId="37" fontId="5" fillId="3" borderId="9" xfId="0" applyFont="1" applyFill="1" applyBorder="1" applyAlignment="1">
      <alignment horizontal="centerContinuous"/>
    </xf>
    <xf numFmtId="37" fontId="5" fillId="3" borderId="4" xfId="0" applyFont="1" applyFill="1" applyBorder="1" applyAlignment="1">
      <alignment horizontal="centerContinuous"/>
    </xf>
    <xf numFmtId="37" fontId="5" fillId="3" borderId="10" xfId="0" applyFont="1" applyFill="1" applyBorder="1" applyAlignment="1">
      <alignment horizontal="centerContinuous"/>
    </xf>
    <xf numFmtId="37" fontId="5" fillId="4" borderId="1" xfId="0" applyFont="1" applyFill="1" applyBorder="1" applyAlignment="1">
      <alignment horizontal="centerContinuous"/>
    </xf>
    <xf numFmtId="37" fontId="5" fillId="4" borderId="8" xfId="0" applyFont="1" applyFill="1" applyBorder="1" applyAlignment="1">
      <alignment horizontal="centerContinuous"/>
    </xf>
    <xf numFmtId="37" fontId="5" fillId="4" borderId="8" xfId="0" applyFont="1" applyFill="1" applyBorder="1" applyAlignment="1">
      <alignment/>
    </xf>
    <xf numFmtId="37" fontId="5" fillId="0" borderId="14" xfId="0" applyFont="1" applyBorder="1" applyAlignment="1">
      <alignment horizontal="centerContinuous"/>
    </xf>
    <xf numFmtId="37" fontId="5" fillId="0" borderId="10" xfId="0" applyFont="1" applyBorder="1" applyAlignment="1">
      <alignment horizontal="centerContinuous"/>
    </xf>
    <xf numFmtId="37" fontId="5" fillId="0" borderId="0" xfId="0" applyFont="1" applyAlignment="1">
      <alignment/>
    </xf>
    <xf numFmtId="174" fontId="1" fillId="0" borderId="0" xfId="0" applyNumberFormat="1" applyFont="1" applyAlignment="1" applyProtection="1">
      <alignment/>
      <protection/>
    </xf>
    <xf numFmtId="37" fontId="1" fillId="4" borderId="0" xfId="0" applyFont="1" applyFill="1" applyAlignment="1">
      <alignment horizontal="center"/>
    </xf>
    <xf numFmtId="172" fontId="1" fillId="0" borderId="0" xfId="0" applyNumberFormat="1" applyFont="1" applyAlignment="1" applyProtection="1">
      <alignment/>
      <protection/>
    </xf>
    <xf numFmtId="37" fontId="1" fillId="4" borderId="0" xfId="0" applyFont="1" applyFill="1" applyAlignment="1" applyProtection="1">
      <alignment/>
      <protection/>
    </xf>
    <xf numFmtId="37" fontId="1" fillId="0" borderId="0" xfId="0" applyFont="1" applyAlignment="1">
      <alignment/>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6" xfId="0" applyFont="1" applyFill="1" applyBorder="1" applyAlignment="1" applyProtection="1">
      <alignment horizontal="centerContinuous"/>
      <protection/>
    </xf>
    <xf numFmtId="37" fontId="1" fillId="0" borderId="0" xfId="0" applyFont="1" applyAlignment="1" applyProtection="1">
      <alignment/>
      <protection/>
    </xf>
    <xf numFmtId="37" fontId="5" fillId="5" borderId="7"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1" fillId="0" borderId="12" xfId="0" applyFont="1" applyBorder="1" applyAlignment="1">
      <alignment/>
    </xf>
    <xf numFmtId="37" fontId="5" fillId="4" borderId="1" xfId="0" applyFont="1" applyFill="1" applyBorder="1" applyAlignment="1" applyProtection="1">
      <alignment horizontal="centerContinuous"/>
      <protection/>
    </xf>
    <xf numFmtId="37" fontId="5" fillId="0" borderId="14" xfId="0" applyFont="1" applyBorder="1" applyAlignment="1" applyProtection="1">
      <alignment horizontal="centerContinuous"/>
      <protection/>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174" fontId="1" fillId="0" borderId="0" xfId="20" applyNumberFormat="1" applyFont="1" applyAlignment="1">
      <alignment/>
    </xf>
    <xf numFmtId="37" fontId="1" fillId="3" borderId="2" xfId="0" applyFont="1" applyFill="1" applyBorder="1" applyAlignment="1">
      <alignment/>
    </xf>
    <xf numFmtId="174" fontId="5" fillId="3" borderId="2"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3" xfId="0" applyNumberFormat="1" applyFont="1" applyBorder="1" applyAlignment="1" applyProtection="1">
      <alignment/>
      <protection/>
    </xf>
    <xf numFmtId="37" fontId="1" fillId="0" borderId="3" xfId="0" applyFont="1" applyBorder="1" applyAlignment="1">
      <alignment horizontal="centerContinuous"/>
    </xf>
    <xf numFmtId="37" fontId="1" fillId="0" borderId="3"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5" fillId="5" borderId="15" xfId="0" applyFont="1" applyFill="1" applyBorder="1" applyAlignment="1">
      <alignment horizontal="centerContinuous"/>
    </xf>
    <xf numFmtId="37" fontId="1" fillId="5" borderId="5" xfId="0" applyFont="1" applyFill="1" applyBorder="1" applyAlignment="1">
      <alignment horizontal="centerContinuous"/>
    </xf>
    <xf numFmtId="37" fontId="1" fillId="5" borderId="13" xfId="0" applyFont="1" applyFill="1" applyBorder="1" applyAlignment="1">
      <alignment horizontal="centerContinuous"/>
    </xf>
    <xf numFmtId="37" fontId="5" fillId="5" borderId="7"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5" fillId="0" borderId="12" xfId="0" applyFont="1" applyBorder="1" applyAlignment="1">
      <alignment horizontal="center"/>
    </xf>
    <xf numFmtId="37" fontId="5" fillId="0" borderId="12"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4" xfId="0" applyFont="1" applyBorder="1" applyAlignment="1">
      <alignment horizontal="center"/>
    </xf>
    <xf numFmtId="37" fontId="1" fillId="0" borderId="0" xfId="0" applyFont="1" applyAlignment="1">
      <alignment/>
    </xf>
    <xf numFmtId="37" fontId="1" fillId="0" borderId="0" xfId="0" applyFont="1" applyAlignment="1">
      <alignment/>
    </xf>
    <xf numFmtId="37" fontId="5" fillId="0" borderId="11" xfId="0" applyFont="1" applyBorder="1" applyAlignment="1">
      <alignment horizontal="centerContinuous"/>
    </xf>
    <xf numFmtId="37" fontId="5" fillId="0" borderId="3" xfId="0" applyFont="1" applyBorder="1" applyAlignment="1">
      <alignment horizontal="centerContinuous"/>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0" borderId="0" xfId="0" applyFont="1" applyAlignment="1">
      <alignment horizontal="centerContinuous"/>
    </xf>
    <xf numFmtId="37" fontId="1" fillId="3" borderId="5" xfId="0" applyFont="1" applyFill="1" applyBorder="1" applyAlignment="1">
      <alignment horizontal="centerContinuous"/>
    </xf>
    <xf numFmtId="37" fontId="1" fillId="3" borderId="0" xfId="0" applyFont="1" applyFill="1" applyAlignment="1">
      <alignment horizontal="centerContinuous"/>
    </xf>
    <xf numFmtId="37" fontId="1" fillId="0" borderId="6" xfId="0" applyFont="1" applyBorder="1" applyAlignment="1">
      <alignment horizontal="centerContinuous"/>
    </xf>
    <xf numFmtId="37" fontId="5" fillId="0" borderId="6" xfId="0" applyFont="1" applyBorder="1" applyAlignment="1">
      <alignment horizontal="centerContinuous"/>
    </xf>
    <xf numFmtId="43" fontId="1" fillId="0" borderId="0" xfId="16" applyFont="1" applyAlignment="1">
      <alignment/>
    </xf>
    <xf numFmtId="37" fontId="1" fillId="0" borderId="0" xfId="0" applyFont="1" applyAlignment="1" quotePrefix="1">
      <alignment/>
    </xf>
    <xf numFmtId="37" fontId="1" fillId="0" borderId="16" xfId="0" applyFont="1" applyBorder="1" applyAlignment="1">
      <alignment horizontal="centerContinuous"/>
    </xf>
    <xf numFmtId="37" fontId="6" fillId="0" borderId="3" xfId="0" applyFont="1" applyBorder="1" applyAlignment="1" applyProtection="1">
      <alignment horizontal="centerContinuous"/>
      <protection locked="0"/>
    </xf>
    <xf numFmtId="37" fontId="1" fillId="5" borderId="4" xfId="0" applyFont="1" applyFill="1" applyBorder="1" applyAlignment="1">
      <alignment horizontal="centerContinuous"/>
    </xf>
    <xf numFmtId="37" fontId="1" fillId="5" borderId="10" xfId="0" applyFont="1" applyFill="1" applyBorder="1" applyAlignment="1">
      <alignment horizontal="centerContinuous"/>
    </xf>
    <xf numFmtId="37" fontId="1" fillId="0" borderId="4" xfId="0" applyFont="1" applyBorder="1" applyAlignment="1">
      <alignment horizontal="centerContinuous"/>
    </xf>
    <xf numFmtId="37" fontId="1" fillId="0" borderId="10" xfId="0" applyFont="1" applyBorder="1" applyAlignment="1">
      <alignment horizontal="centerContinuous"/>
    </xf>
    <xf numFmtId="37" fontId="1" fillId="4" borderId="0" xfId="0" applyFont="1" applyFill="1" applyAlignment="1">
      <alignment/>
    </xf>
    <xf numFmtId="37" fontId="5" fillId="3" borderId="12" xfId="0" applyFont="1" applyFill="1" applyBorder="1" applyAlignment="1">
      <alignment horizontal="centerContinuous"/>
    </xf>
    <xf numFmtId="37" fontId="5" fillId="3" borderId="12" xfId="0" applyFont="1" applyFill="1" applyBorder="1" applyAlignment="1">
      <alignment horizontal="center"/>
    </xf>
    <xf numFmtId="37" fontId="5" fillId="3" borderId="1" xfId="0" applyFont="1" applyFill="1" applyBorder="1" applyAlignment="1">
      <alignment horizontal="centerContinuous"/>
    </xf>
    <xf numFmtId="37" fontId="5" fillId="3" borderId="1" xfId="0" applyFont="1" applyFill="1" applyBorder="1" applyAlignment="1">
      <alignment horizontal="center"/>
    </xf>
    <xf numFmtId="37" fontId="5" fillId="3" borderId="14"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173" fontId="1" fillId="7" borderId="0" xfId="0" applyNumberFormat="1" applyFont="1" applyFill="1" applyBorder="1" applyAlignment="1" applyProtection="1">
      <alignment/>
      <protection/>
    </xf>
    <xf numFmtId="37" fontId="1" fillId="0" borderId="0" xfId="0" applyNumberFormat="1" applyFont="1" applyAlignment="1" applyProtection="1">
      <alignment/>
      <protection/>
    </xf>
    <xf numFmtId="37" fontId="9" fillId="0" borderId="4" xfId="0" applyFont="1" applyBorder="1" applyAlignment="1">
      <alignment horizontal="centerContinuous"/>
    </xf>
    <xf numFmtId="37" fontId="1" fillId="4" borderId="0" xfId="0" applyFont="1" applyFill="1" applyAlignment="1">
      <alignment horizontal="centerContinuous"/>
    </xf>
    <xf numFmtId="37" fontId="5" fillId="4" borderId="11" xfId="0" applyFont="1" applyFill="1" applyBorder="1" applyAlignment="1">
      <alignment horizontal="centerContinuous"/>
    </xf>
    <xf numFmtId="37" fontId="5" fillId="4" borderId="3" xfId="0" applyFont="1" applyFill="1" applyBorder="1" applyAlignment="1">
      <alignment horizontal="centerContinuous"/>
    </xf>
    <xf numFmtId="37" fontId="5" fillId="4" borderId="6" xfId="0" applyFont="1" applyFill="1" applyBorder="1" applyAlignment="1">
      <alignment horizontal="centerContinuous"/>
    </xf>
    <xf numFmtId="37" fontId="5" fillId="3" borderId="12" xfId="0" applyNumberFormat="1" applyFont="1" applyFill="1" applyBorder="1" applyAlignment="1" applyProtection="1">
      <alignment horizontal="centerContinuous"/>
      <protection/>
    </xf>
    <xf numFmtId="37" fontId="5" fillId="3" borderId="12" xfId="0" applyNumberFormat="1" applyFont="1" applyFill="1" applyBorder="1" applyAlignment="1" applyProtection="1">
      <alignment horizontal="center"/>
      <protection/>
    </xf>
    <xf numFmtId="37" fontId="5" fillId="3" borderId="12" xfId="0" applyFont="1" applyFill="1" applyBorder="1" applyAlignment="1">
      <alignment/>
    </xf>
    <xf numFmtId="37" fontId="5" fillId="3" borderId="1" xfId="0" applyNumberFormat="1" applyFont="1" applyFill="1" applyBorder="1" applyAlignment="1" applyProtection="1">
      <alignment horizontal="centerContinuous"/>
      <protection/>
    </xf>
    <xf numFmtId="37" fontId="5" fillId="3" borderId="1" xfId="0" applyNumberFormat="1" applyFont="1" applyFill="1" applyBorder="1" applyAlignment="1" applyProtection="1">
      <alignment/>
      <protection/>
    </xf>
    <xf numFmtId="37" fontId="5" fillId="3" borderId="1" xfId="0" applyFont="1" applyFill="1" applyBorder="1" applyAlignment="1">
      <alignment/>
    </xf>
    <xf numFmtId="37" fontId="5" fillId="3" borderId="14"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175" fontId="1" fillId="0" borderId="0" xfId="0" applyNumberFormat="1" applyFont="1" applyAlignment="1">
      <alignment/>
    </xf>
    <xf numFmtId="175" fontId="5" fillId="3" borderId="2" xfId="0" applyNumberFormat="1" applyFont="1" applyFill="1" applyBorder="1" applyAlignment="1" applyProtection="1">
      <alignment/>
      <protection/>
    </xf>
    <xf numFmtId="173" fontId="1" fillId="0" borderId="0" xfId="0" applyNumberFormat="1" applyFont="1" applyBorder="1" applyAlignment="1" applyProtection="1">
      <alignment/>
      <protection/>
    </xf>
    <xf numFmtId="177" fontId="1" fillId="0" borderId="0" xfId="0" applyNumberFormat="1" applyFont="1" applyAlignment="1" applyProtection="1">
      <alignment/>
      <protection/>
    </xf>
    <xf numFmtId="178" fontId="1" fillId="0" borderId="0" xfId="0" applyNumberFormat="1" applyFont="1" applyAlignment="1" applyProtection="1">
      <alignment/>
      <protection/>
    </xf>
    <xf numFmtId="37" fontId="1" fillId="0" borderId="3" xfId="0" applyFont="1" applyBorder="1" applyAlignment="1" quotePrefix="1">
      <alignment horizontal="centerContinuous"/>
    </xf>
    <xf numFmtId="37" fontId="10" fillId="0" borderId="4" xfId="0" applyFont="1" applyBorder="1" applyAlignment="1" applyProtection="1">
      <alignment horizontal="centerContinuous"/>
      <protection locked="0"/>
    </xf>
    <xf numFmtId="37" fontId="5" fillId="3" borderId="1" xfId="0" applyNumberFormat="1" applyFont="1" applyFill="1" applyBorder="1" applyAlignment="1" applyProtection="1">
      <alignment horizontal="center"/>
      <protection/>
    </xf>
    <xf numFmtId="37" fontId="1" fillId="3" borderId="1" xfId="0" applyNumberFormat="1" applyFont="1" applyFill="1" applyBorder="1" applyAlignment="1" applyProtection="1">
      <alignment/>
      <protection/>
    </xf>
    <xf numFmtId="37" fontId="1" fillId="0" borderId="0" xfId="0" applyFont="1" applyAlignment="1">
      <alignment horizontal="centerContinuous"/>
    </xf>
    <xf numFmtId="37" fontId="1" fillId="0" borderId="3" xfId="0" applyFont="1" applyBorder="1" applyAlignment="1">
      <alignment/>
    </xf>
    <xf numFmtId="37" fontId="1" fillId="0" borderId="4" xfId="0" applyFont="1" applyBorder="1" applyAlignment="1">
      <alignment/>
    </xf>
    <xf numFmtId="37" fontId="5" fillId="3" borderId="1" xfId="0" applyFont="1" applyFill="1" applyBorder="1" applyAlignment="1">
      <alignment/>
    </xf>
    <xf numFmtId="37" fontId="5" fillId="3" borderId="7" xfId="0" applyFont="1" applyFill="1" applyBorder="1" applyAlignment="1">
      <alignment horizontal="centerContinuous"/>
    </xf>
    <xf numFmtId="37" fontId="5" fillId="3" borderId="0" xfId="0" applyFont="1" applyFill="1" applyAlignment="1">
      <alignment horizontal="centerContinuous"/>
    </xf>
    <xf numFmtId="37" fontId="5" fillId="3" borderId="8" xfId="0" applyFont="1" applyFill="1" applyBorder="1" applyAlignment="1">
      <alignment horizontal="centerContinuous"/>
    </xf>
    <xf numFmtId="37" fontId="1" fillId="0" borderId="0" xfId="0" applyFont="1" applyBorder="1" applyAlignment="1" quotePrefix="1">
      <alignment horizontal="centerContinuous"/>
    </xf>
    <xf numFmtId="37" fontId="5" fillId="4" borderId="0" xfId="0" applyFont="1" applyFill="1" applyAlignment="1">
      <alignment/>
    </xf>
    <xf numFmtId="37" fontId="1" fillId="0" borderId="0" xfId="0" applyFont="1" applyAlignment="1">
      <alignment wrapText="1"/>
    </xf>
    <xf numFmtId="37" fontId="5" fillId="3" borderId="5" xfId="0" applyFont="1" applyFill="1" applyBorder="1" applyAlignment="1">
      <alignment/>
    </xf>
    <xf numFmtId="37" fontId="5" fillId="3" borderId="0" xfId="0" applyFont="1" applyFill="1" applyAlignment="1">
      <alignment/>
    </xf>
    <xf numFmtId="37" fontId="5" fillId="3" borderId="14" xfId="0" applyFont="1" applyFill="1" applyBorder="1" applyAlignment="1">
      <alignment horizontal="center"/>
    </xf>
    <xf numFmtId="37" fontId="5" fillId="4" borderId="2"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5" fillId="3" borderId="11" xfId="0" applyFont="1" applyFill="1" applyBorder="1" applyAlignment="1">
      <alignment horizontal="centerContinuous"/>
    </xf>
    <xf numFmtId="37" fontId="1" fillId="3" borderId="3" xfId="0" applyFont="1" applyFill="1" applyBorder="1" applyAlignment="1">
      <alignment horizontal="centerContinuous"/>
    </xf>
    <xf numFmtId="37" fontId="1" fillId="3" borderId="6" xfId="0" applyFont="1" applyFill="1" applyBorder="1" applyAlignment="1">
      <alignment/>
    </xf>
    <xf numFmtId="37" fontId="5" fillId="3" borderId="3" xfId="0" applyFont="1" applyFill="1" applyBorder="1" applyAlignment="1">
      <alignment horizontal="centerContinuous"/>
    </xf>
    <xf numFmtId="37" fontId="1" fillId="3" borderId="6" xfId="0" applyFont="1" applyFill="1" applyBorder="1" applyAlignment="1">
      <alignment horizontal="centerContinuous"/>
    </xf>
    <xf numFmtId="37" fontId="5" fillId="0" borderId="15" xfId="0" applyFont="1" applyBorder="1" applyAlignment="1">
      <alignment horizontal="centerContinuous"/>
    </xf>
    <xf numFmtId="37" fontId="5" fillId="0" borderId="7" xfId="0" applyFont="1" applyBorder="1" applyAlignment="1">
      <alignment horizontal="centerContinuous"/>
    </xf>
    <xf numFmtId="37" fontId="5" fillId="0" borderId="9" xfId="0" applyFont="1" applyBorder="1" applyAlignment="1">
      <alignment horizontal="centerContinuous"/>
    </xf>
    <xf numFmtId="174" fontId="1" fillId="0" borderId="0" xfId="20" applyNumberFormat="1" applyFont="1" applyAlignment="1">
      <alignment/>
    </xf>
    <xf numFmtId="172" fontId="1" fillId="0" borderId="5" xfId="0" applyNumberFormat="1" applyFont="1" applyBorder="1" applyAlignment="1" applyProtection="1">
      <alignment horizontal="centerContinuous"/>
      <protection/>
    </xf>
    <xf numFmtId="37" fontId="1" fillId="4" borderId="5" xfId="0" applyFont="1" applyFill="1" applyBorder="1" applyAlignment="1">
      <alignment horizontal="centerContinuous"/>
    </xf>
    <xf numFmtId="37" fontId="1" fillId="0" borderId="17" xfId="0" applyFont="1" applyBorder="1" applyAlignment="1">
      <alignment horizontal="centerContinuous"/>
    </xf>
    <xf numFmtId="172" fontId="1" fillId="0" borderId="4" xfId="0" applyNumberFormat="1" applyFont="1" applyBorder="1" applyAlignment="1" applyProtection="1">
      <alignment horizontal="centerContinuous"/>
      <protection/>
    </xf>
    <xf numFmtId="37" fontId="1" fillId="4" borderId="4" xfId="0" applyFont="1" applyFill="1" applyBorder="1" applyAlignment="1">
      <alignment horizontal="centerContinuous"/>
    </xf>
    <xf numFmtId="37" fontId="1" fillId="0" borderId="18" xfId="0" applyFont="1" applyBorder="1" applyAlignment="1">
      <alignment horizontal="centerContinuous"/>
    </xf>
    <xf numFmtId="37" fontId="1" fillId="3" borderId="15" xfId="0" applyFont="1" applyFill="1" applyBorder="1" applyAlignment="1">
      <alignment/>
    </xf>
    <xf numFmtId="37" fontId="1" fillId="3" borderId="13" xfId="0" applyFont="1" applyFill="1" applyBorder="1" applyAlignment="1">
      <alignment horizontal="centerContinuous"/>
    </xf>
    <xf numFmtId="37" fontId="5" fillId="4" borderId="13" xfId="0" applyFont="1" applyFill="1" applyBorder="1" applyAlignment="1">
      <alignment horizontal="centerContinuous"/>
    </xf>
    <xf numFmtId="37" fontId="5" fillId="4" borderId="12" xfId="0" applyFont="1" applyFill="1" applyBorder="1" applyAlignment="1">
      <alignment horizontal="centerContinuous"/>
    </xf>
    <xf numFmtId="0" fontId="1" fillId="4" borderId="5" xfId="0" applyNumberFormat="1" applyFont="1" applyFill="1" applyBorder="1" applyAlignment="1">
      <alignment/>
    </xf>
    <xf numFmtId="0" fontId="1" fillId="4" borderId="4" xfId="0" applyNumberFormat="1" applyFont="1" applyFill="1" applyBorder="1" applyAlignment="1">
      <alignment/>
    </xf>
    <xf numFmtId="37" fontId="1" fillId="3" borderId="10" xfId="0" applyFont="1" applyFill="1" applyBorder="1" applyAlignment="1">
      <alignment horizontal="centerContinuous"/>
    </xf>
    <xf numFmtId="37" fontId="1" fillId="4" borderId="1" xfId="0" applyFont="1" applyFill="1" applyBorder="1" applyAlignment="1">
      <alignment/>
    </xf>
    <xf numFmtId="37" fontId="5" fillId="0" borderId="13" xfId="0" applyFont="1" applyBorder="1" applyAlignment="1">
      <alignment horizontal="centerContinuous"/>
    </xf>
    <xf numFmtId="39" fontId="1" fillId="0" borderId="0" xfId="0" applyNumberFormat="1" applyFont="1" applyAlignment="1" applyProtection="1">
      <alignment/>
      <protection/>
    </xf>
    <xf numFmtId="37" fontId="1" fillId="4" borderId="5" xfId="0" applyFont="1" applyFill="1" applyBorder="1" applyAlignment="1">
      <alignment/>
    </xf>
    <xf numFmtId="37" fontId="1" fillId="4" borderId="4" xfId="0" applyFont="1" applyFill="1" applyBorder="1" applyAlignment="1">
      <alignment/>
    </xf>
    <xf numFmtId="37" fontId="1" fillId="3" borderId="4" xfId="0" applyFont="1" applyFill="1" applyBorder="1" applyAlignment="1">
      <alignment horizontal="centerContinuous"/>
    </xf>
    <xf numFmtId="37" fontId="1" fillId="4" borderId="7" xfId="0" applyFont="1" applyFill="1" applyBorder="1" applyAlignment="1">
      <alignment/>
    </xf>
    <xf numFmtId="37" fontId="1" fillId="4" borderId="5" xfId="0" applyFont="1" applyFill="1" applyBorder="1" applyAlignment="1">
      <alignment horizontal="right"/>
    </xf>
    <xf numFmtId="37" fontId="1" fillId="4" borderId="4" xfId="0" applyFont="1" applyFill="1" applyBorder="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5" fillId="0" borderId="2" xfId="0" applyFont="1" applyBorder="1" applyAlignment="1">
      <alignment horizontal="centerContinuous"/>
    </xf>
    <xf numFmtId="37" fontId="5" fillId="3" borderId="15" xfId="0" applyFont="1" applyFill="1" applyBorder="1" applyAlignment="1">
      <alignment/>
    </xf>
    <xf numFmtId="174" fontId="1" fillId="0" borderId="0" xfId="0" applyNumberFormat="1" applyFont="1" applyAlignment="1" applyProtection="1">
      <alignment/>
      <protection/>
    </xf>
    <xf numFmtId="37" fontId="5" fillId="4" borderId="11" xfId="0" applyFont="1" applyFill="1" applyBorder="1" applyAlignment="1">
      <alignment horizontal="left"/>
    </xf>
    <xf numFmtId="37" fontId="5" fillId="4" borderId="1" xfId="0" applyFont="1" applyFill="1" applyBorder="1" applyAlignment="1">
      <alignment/>
    </xf>
    <xf numFmtId="37" fontId="5" fillId="4" borderId="8" xfId="0" applyFont="1" applyFill="1" applyBorder="1" applyAlignment="1">
      <alignment horizontal="center"/>
    </xf>
    <xf numFmtId="37" fontId="5" fillId="4" borderId="0" xfId="0" applyFont="1" applyFill="1" applyAlignment="1">
      <alignment horizontal="centerContinuous"/>
    </xf>
    <xf numFmtId="37" fontId="1" fillId="0" borderId="17" xfId="0" applyFont="1" applyBorder="1" applyAlignment="1">
      <alignment/>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4" borderId="3" xfId="0" applyFont="1" applyFill="1" applyBorder="1" applyAlignment="1">
      <alignment/>
    </xf>
    <xf numFmtId="37" fontId="1" fillId="4" borderId="6" xfId="0" applyFont="1" applyFill="1" applyBorder="1" applyAlignment="1">
      <alignment/>
    </xf>
    <xf numFmtId="37" fontId="1" fillId="4" borderId="0" xfId="0" applyFont="1" applyFill="1" applyAlignment="1">
      <alignment horizontal="centerContinuous"/>
    </xf>
    <xf numFmtId="37" fontId="1" fillId="4" borderId="8" xfId="0" applyFont="1" applyFill="1" applyBorder="1" applyAlignment="1">
      <alignment/>
    </xf>
    <xf numFmtId="37" fontId="5" fillId="3" borderId="15" xfId="0" applyFont="1" applyFill="1" applyBorder="1" applyAlignment="1">
      <alignment horizontal="center"/>
    </xf>
    <xf numFmtId="37" fontId="1" fillId="4" borderId="5"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4" borderId="5" xfId="0" applyFont="1" applyFill="1" applyBorder="1" applyAlignment="1" applyProtection="1">
      <alignment/>
      <protection/>
    </xf>
    <xf numFmtId="37" fontId="1" fillId="4" borderId="4" xfId="0" applyFont="1" applyFill="1" applyBorder="1" applyAlignment="1" applyProtection="1">
      <alignment horizontal="center"/>
      <protection/>
    </xf>
    <xf numFmtId="37" fontId="1" fillId="4" borderId="3" xfId="0" applyFont="1" applyFill="1" applyBorder="1" applyAlignment="1" applyProtection="1">
      <alignment horizontal="centerContinuous"/>
      <protection/>
    </xf>
    <xf numFmtId="37" fontId="5" fillId="4" borderId="19" xfId="0" applyFont="1" applyFill="1" applyBorder="1" applyAlignment="1" applyProtection="1">
      <alignment horizontal="center"/>
      <protection/>
    </xf>
    <xf numFmtId="37" fontId="5" fillId="4" borderId="4"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1" fillId="0" borderId="1" xfId="0" applyFont="1" applyBorder="1" applyAlignment="1" applyProtection="1">
      <alignment/>
      <protection/>
    </xf>
    <xf numFmtId="37" fontId="1" fillId="0" borderId="8" xfId="0" applyFont="1" applyBorder="1" applyAlignment="1" applyProtection="1">
      <alignment/>
      <protection/>
    </xf>
    <xf numFmtId="37" fontId="5" fillId="0" borderId="19" xfId="0" applyFont="1" applyBorder="1" applyAlignment="1" applyProtection="1">
      <alignment horizontal="center"/>
      <protection/>
    </xf>
    <xf numFmtId="37" fontId="1" fillId="0" borderId="12" xfId="0" applyFont="1" applyBorder="1" applyAlignment="1" applyProtection="1">
      <alignment/>
      <protection/>
    </xf>
    <xf numFmtId="37" fontId="5" fillId="0" borderId="8" xfId="0" applyFont="1" applyBorder="1" applyAlignment="1" applyProtection="1">
      <alignment horizontal="center"/>
      <protection/>
    </xf>
    <xf numFmtId="37" fontId="5" fillId="0" borderId="20" xfId="0" applyFont="1" applyBorder="1" applyAlignment="1" applyProtection="1">
      <alignment horizontal="centerContinuous"/>
      <protection/>
    </xf>
    <xf numFmtId="37" fontId="5" fillId="0" borderId="14" xfId="0" applyFont="1" applyBorder="1" applyAlignment="1" applyProtection="1">
      <alignment horizontal="center"/>
      <protection/>
    </xf>
    <xf numFmtId="37" fontId="1" fillId="0" borderId="7" xfId="0" applyFont="1" applyBorder="1" applyAlignment="1">
      <alignment/>
    </xf>
    <xf numFmtId="172" fontId="1" fillId="0" borderId="5" xfId="0" applyNumberFormat="1" applyFont="1" applyBorder="1" applyAlignment="1" applyProtection="1">
      <alignment horizontal="centerContinuous"/>
      <protection/>
    </xf>
    <xf numFmtId="37" fontId="6" fillId="4" borderId="4" xfId="0" applyFont="1" applyFill="1" applyBorder="1" applyAlignment="1">
      <alignment horizontal="centerContinuous"/>
    </xf>
    <xf numFmtId="172" fontId="1" fillId="0" borderId="4" xfId="0" applyNumberFormat="1" applyFont="1" applyBorder="1" applyAlignment="1" applyProtection="1">
      <alignment horizontal="centerContinuous"/>
      <protection/>
    </xf>
    <xf numFmtId="37" fontId="5" fillId="4" borderId="14" xfId="0" applyFont="1" applyFill="1" applyBorder="1" applyAlignment="1">
      <alignment horizontal="centerContinuous"/>
    </xf>
    <xf numFmtId="37" fontId="5" fillId="4" borderId="10" xfId="0" applyFont="1" applyFill="1" applyBorder="1" applyAlignment="1">
      <alignment horizontal="centerContinuous"/>
    </xf>
    <xf numFmtId="37" fontId="1" fillId="4" borderId="17" xfId="0" applyFont="1" applyFill="1" applyBorder="1" applyAlignment="1">
      <alignment/>
    </xf>
    <xf numFmtId="37" fontId="1" fillId="4" borderId="17" xfId="0" applyFont="1" applyFill="1" applyBorder="1" applyAlignment="1">
      <alignment horizontal="centerContinuous"/>
    </xf>
    <xf numFmtId="37" fontId="6" fillId="0" borderId="4" xfId="0" applyFont="1" applyBorder="1" applyAlignment="1" applyProtection="1">
      <alignment/>
      <protection locked="0"/>
    </xf>
    <xf numFmtId="37" fontId="1" fillId="4" borderId="18" xfId="0" applyFont="1" applyFill="1" applyBorder="1" applyAlignment="1">
      <alignment horizontal="centerContinuous"/>
    </xf>
    <xf numFmtId="37" fontId="1" fillId="4" borderId="0" xfId="0" applyFont="1" applyFill="1" applyBorder="1" applyAlignment="1">
      <alignment/>
    </xf>
    <xf numFmtId="37" fontId="1" fillId="0" borderId="0" xfId="0" applyNumberFormat="1" applyFont="1" applyBorder="1" applyAlignment="1" applyProtection="1">
      <alignment/>
      <protection/>
    </xf>
    <xf numFmtId="37" fontId="5" fillId="3" borderId="6" xfId="0" applyFont="1" applyFill="1" applyBorder="1" applyAlignment="1">
      <alignment horizontal="centerContinuous"/>
    </xf>
    <xf numFmtId="37" fontId="5" fillId="4" borderId="13" xfId="0" applyFont="1" applyFill="1" applyBorder="1" applyAlignment="1">
      <alignment horizontal="right"/>
    </xf>
    <xf numFmtId="37" fontId="5" fillId="4" borderId="13" xfId="0" applyFont="1" applyFill="1" applyBorder="1" applyAlignment="1">
      <alignment/>
    </xf>
    <xf numFmtId="37" fontId="5" fillId="0" borderId="10"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4" borderId="4" xfId="0" applyFont="1" applyFill="1" applyBorder="1" applyAlignment="1" applyProtection="1" quotePrefix="1">
      <alignment horizontal="centerContinuous"/>
      <protection/>
    </xf>
    <xf numFmtId="182" fontId="1" fillId="4" borderId="0" xfId="0" applyNumberFormat="1" applyFont="1" applyFill="1" applyAlignment="1" applyProtection="1">
      <alignment/>
      <protection/>
    </xf>
    <xf numFmtId="37" fontId="5" fillId="5" borderId="11" xfId="0" applyFont="1" applyFill="1" applyBorder="1" applyAlignment="1" applyProtection="1">
      <alignment horizontal="centerContinuous"/>
      <protection/>
    </xf>
    <xf numFmtId="37" fontId="5" fillId="5" borderId="3" xfId="0" applyFont="1" applyFill="1" applyBorder="1" applyAlignment="1" applyProtection="1">
      <alignment horizontal="centerContinuous"/>
      <protection/>
    </xf>
    <xf numFmtId="37" fontId="5" fillId="5" borderId="6" xfId="0" applyFont="1" applyFill="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4" xfId="0" applyFont="1" applyBorder="1" applyAlignment="1" applyProtection="1">
      <alignment horizontal="centerContinuous"/>
      <protection/>
    </xf>
    <xf numFmtId="37" fontId="5" fillId="0" borderId="21" xfId="0" applyFont="1" applyBorder="1" applyAlignment="1" applyProtection="1">
      <alignment horizontal="centerContinuous"/>
      <protection/>
    </xf>
    <xf numFmtId="37" fontId="5" fillId="0" borderId="7" xfId="0" applyFont="1" applyBorder="1" applyAlignment="1" applyProtection="1">
      <alignment horizontal="center"/>
      <protection/>
    </xf>
    <xf numFmtId="37" fontId="5" fillId="0" borderId="7" xfId="0" applyFont="1" applyBorder="1" applyAlignment="1" applyProtection="1">
      <alignment/>
      <protection/>
    </xf>
    <xf numFmtId="37" fontId="5" fillId="0" borderId="22" xfId="0" applyFont="1" applyBorder="1" applyAlignment="1" applyProtection="1">
      <alignment horizontal="center"/>
      <protection/>
    </xf>
    <xf numFmtId="37" fontId="5" fillId="0" borderId="9" xfId="0" applyFont="1" applyBorder="1" applyAlignment="1" applyProtection="1">
      <alignment horizontal="center"/>
      <protection/>
    </xf>
    <xf numFmtId="37" fontId="5" fillId="0" borderId="21" xfId="0" applyFont="1" applyBorder="1" applyAlignment="1" applyProtection="1">
      <alignment horizontal="center"/>
      <protection/>
    </xf>
    <xf numFmtId="37" fontId="1" fillId="0" borderId="3" xfId="0" applyFont="1" applyBorder="1" applyAlignment="1">
      <alignment/>
    </xf>
    <xf numFmtId="37" fontId="5" fillId="0" borderId="0" xfId="0" applyFont="1" applyAlignment="1">
      <alignment horizontal="centerContinuous"/>
    </xf>
    <xf numFmtId="37" fontId="5" fillId="4" borderId="9" xfId="0" applyFont="1" applyFill="1" applyBorder="1" applyAlignment="1">
      <alignment horizontal="centerContinuous"/>
    </xf>
    <xf numFmtId="37" fontId="1" fillId="0" borderId="8" xfId="0" applyFont="1" applyBorder="1" applyAlignment="1">
      <alignment/>
    </xf>
    <xf numFmtId="37" fontId="1" fillId="0" borderId="8" xfId="0" applyNumberFormat="1" applyFont="1" applyBorder="1" applyAlignment="1" applyProtection="1">
      <alignment/>
      <protection/>
    </xf>
    <xf numFmtId="37" fontId="5" fillId="0" borderId="8" xfId="0" applyFont="1" applyBorder="1" applyAlignment="1">
      <alignment/>
    </xf>
    <xf numFmtId="37" fontId="5" fillId="0" borderId="2" xfId="0" applyNumberFormat="1" applyFont="1" applyBorder="1" applyAlignment="1" applyProtection="1">
      <alignment/>
      <protection/>
    </xf>
    <xf numFmtId="174" fontId="5" fillId="0" borderId="2" xfId="0" applyNumberFormat="1" applyFont="1" applyBorder="1" applyAlignment="1" applyProtection="1">
      <alignment/>
      <protection/>
    </xf>
    <xf numFmtId="37" fontId="5" fillId="3" borderId="13" xfId="0" applyFont="1" applyFill="1" applyBorder="1" applyAlignment="1">
      <alignment horizontal="center"/>
    </xf>
    <xf numFmtId="37" fontId="5" fillId="3" borderId="5" xfId="0" applyFont="1" applyFill="1" applyBorder="1" applyAlignment="1">
      <alignment horizontal="center"/>
    </xf>
    <xf numFmtId="172" fontId="1" fillId="0" borderId="7" xfId="0" applyNumberFormat="1" applyFont="1" applyBorder="1" applyAlignment="1" applyProtection="1">
      <alignment/>
      <protection/>
    </xf>
    <xf numFmtId="37" fontId="5" fillId="0" borderId="0" xfId="0" applyFont="1" applyAlignment="1">
      <alignment vertical="top"/>
    </xf>
    <xf numFmtId="37" fontId="5" fillId="0" borderId="0" xfId="0" applyFont="1" applyAlignment="1">
      <alignment wrapText="1"/>
    </xf>
    <xf numFmtId="37" fontId="1" fillId="0" borderId="7" xfId="0" applyNumberFormat="1" applyFont="1" applyBorder="1" applyAlignment="1" applyProtection="1">
      <alignment/>
      <protection/>
    </xf>
    <xf numFmtId="37" fontId="5" fillId="0" borderId="6" xfId="0" applyNumberFormat="1" applyFont="1" applyBorder="1" applyAlignment="1" applyProtection="1">
      <alignment/>
      <protection/>
    </xf>
    <xf numFmtId="37" fontId="5" fillId="0" borderId="3" xfId="0" applyNumberFormat="1" applyFont="1" applyBorder="1" applyAlignment="1" applyProtection="1">
      <alignment/>
      <protection/>
    </xf>
    <xf numFmtId="37" fontId="1" fillId="0" borderId="3" xfId="0" applyFont="1" applyBorder="1" applyAlignment="1">
      <alignment/>
    </xf>
    <xf numFmtId="37" fontId="1" fillId="4" borderId="5" xfId="0" applyFont="1" applyFill="1" applyBorder="1" applyAlignment="1">
      <alignment horizontal="center"/>
    </xf>
    <xf numFmtId="37" fontId="5" fillId="4" borderId="7" xfId="0" applyFont="1" applyFill="1" applyBorder="1" applyAlignment="1">
      <alignment horizontal="right"/>
    </xf>
    <xf numFmtId="37" fontId="5" fillId="4" borderId="0" xfId="0" applyFont="1" applyFill="1" applyAlignment="1">
      <alignment/>
    </xf>
    <xf numFmtId="37" fontId="5" fillId="3" borderId="2" xfId="0" applyFont="1" applyFill="1" applyBorder="1" applyAlignment="1">
      <alignment horizontal="center"/>
    </xf>
    <xf numFmtId="37" fontId="5" fillId="4" borderId="12" xfId="0" applyFont="1" applyFill="1" applyBorder="1" applyAlignment="1">
      <alignment horizontal="center"/>
    </xf>
    <xf numFmtId="175" fontId="1" fillId="0" borderId="0" xfId="0" applyNumberFormat="1" applyFont="1" applyAlignment="1" applyProtection="1">
      <alignment/>
      <protection/>
    </xf>
    <xf numFmtId="175" fontId="5"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4" borderId="0" xfId="0" applyFont="1" applyFill="1" applyBorder="1" applyAlignment="1">
      <alignment/>
    </xf>
    <xf numFmtId="37" fontId="1" fillId="0" borderId="0" xfId="0" applyFont="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5" fillId="7" borderId="0" xfId="0" applyNumberFormat="1" applyFont="1" applyFill="1" applyBorder="1" applyAlignment="1" applyProtection="1">
      <alignment/>
      <protection/>
    </xf>
    <xf numFmtId="37" fontId="1" fillId="6" borderId="0" xfId="0" applyFont="1" applyFill="1" applyBorder="1" applyAlignment="1">
      <alignment/>
    </xf>
    <xf numFmtId="43" fontId="0" fillId="0" borderId="0" xfId="16" applyFont="1" applyAlignment="1">
      <alignment horizontal="left"/>
    </xf>
    <xf numFmtId="37" fontId="0" fillId="0" borderId="0" xfId="0" applyNumberFormat="1" applyFont="1" applyAlignment="1" applyProtection="1">
      <alignment horizontal="right"/>
      <protection/>
    </xf>
    <xf numFmtId="37" fontId="1" fillId="0" borderId="4" xfId="0" applyFont="1" applyBorder="1" applyAlignment="1">
      <alignment/>
    </xf>
    <xf numFmtId="37" fontId="1" fillId="0" borderId="0" xfId="0" applyNumberFormat="1" applyFont="1" applyAlignment="1" applyProtection="1">
      <alignment horizontal="right"/>
      <protection/>
    </xf>
    <xf numFmtId="37" fontId="1" fillId="0" borderId="0" xfId="0" applyFont="1" applyAlignment="1" applyProtection="1">
      <alignment horizontal="right"/>
      <protection/>
    </xf>
    <xf numFmtId="37" fontId="13" fillId="4" borderId="0" xfId="0" applyFont="1" applyFill="1" applyAlignment="1" applyProtection="1">
      <alignment horizontal="centerContinuous"/>
      <protection locked="0"/>
    </xf>
    <xf numFmtId="37" fontId="13" fillId="4" borderId="0" xfId="0" applyFont="1" applyFill="1" applyAlignment="1">
      <alignment horizontal="centerContinuous"/>
    </xf>
    <xf numFmtId="37" fontId="13" fillId="0" borderId="0" xfId="0" applyFont="1" applyAlignment="1">
      <alignment horizontal="centerContinuous"/>
    </xf>
    <xf numFmtId="0" fontId="0" fillId="0" borderId="0" xfId="16" applyNumberFormat="1" applyAlignment="1">
      <alignment/>
    </xf>
    <xf numFmtId="1" fontId="0" fillId="0" borderId="0" xfId="0" applyNumberFormat="1" applyAlignment="1">
      <alignment/>
    </xf>
    <xf numFmtId="1" fontId="1" fillId="0" borderId="0" xfId="0" applyNumberFormat="1" applyFont="1" applyAlignment="1">
      <alignment/>
    </xf>
    <xf numFmtId="37" fontId="1" fillId="0" borderId="0" xfId="0" applyNumberFormat="1" applyFont="1" applyBorder="1" applyAlignment="1" applyProtection="1">
      <alignment/>
      <protection/>
    </xf>
    <xf numFmtId="37" fontId="1" fillId="4" borderId="23" xfId="0" applyNumberFormat="1" applyFont="1" applyFill="1" applyBorder="1" applyAlignment="1" applyProtection="1">
      <alignment/>
      <protection/>
    </xf>
    <xf numFmtId="174" fontId="1" fillId="4" borderId="23" xfId="0" applyNumberFormat="1" applyFont="1" applyFill="1" applyBorder="1" applyAlignment="1" applyProtection="1">
      <alignment/>
      <protection/>
    </xf>
    <xf numFmtId="37" fontId="1" fillId="0" borderId="23" xfId="0" applyNumberFormat="1" applyFont="1" applyBorder="1" applyAlignment="1" applyProtection="1">
      <alignment/>
      <protection/>
    </xf>
    <xf numFmtId="174" fontId="1" fillId="0" borderId="23" xfId="0" applyNumberFormat="1" applyFont="1" applyBorder="1" applyAlignment="1" applyProtection="1">
      <alignment/>
      <protection/>
    </xf>
    <xf numFmtId="37" fontId="1" fillId="0" borderId="23" xfId="0" applyFont="1" applyBorder="1" applyAlignment="1">
      <alignment/>
    </xf>
    <xf numFmtId="37" fontId="5" fillId="4" borderId="0" xfId="0" applyFont="1" applyFill="1" applyBorder="1" applyAlignment="1">
      <alignment/>
    </xf>
    <xf numFmtId="37" fontId="5" fillId="0" borderId="0" xfId="0" applyFont="1" applyBorder="1" applyAlignment="1">
      <alignment/>
    </xf>
    <xf numFmtId="37" fontId="5" fillId="0" borderId="0" xfId="0" applyFont="1" applyAlignment="1">
      <alignment horizontal="right"/>
    </xf>
    <xf numFmtId="37" fontId="16" fillId="4" borderId="11" xfId="0" applyFont="1" applyFill="1" applyBorder="1" applyAlignment="1" applyProtection="1">
      <alignment/>
      <protection/>
    </xf>
    <xf numFmtId="0" fontId="5" fillId="4" borderId="3" xfId="0" applyNumberFormat="1" applyFont="1" applyFill="1" applyBorder="1" applyAlignment="1" applyProtection="1">
      <alignment horizontal="centerContinuous"/>
      <protection/>
    </xf>
    <xf numFmtId="0" fontId="1" fillId="4" borderId="6" xfId="0" applyNumberFormat="1" applyFont="1" applyFill="1" applyBorder="1" applyAlignment="1" applyProtection="1">
      <alignment horizontal="centerContinuous"/>
      <protection/>
    </xf>
    <xf numFmtId="37" fontId="16" fillId="4" borderId="11" xfId="0" applyFont="1" applyFill="1" applyBorder="1" applyAlignment="1">
      <alignment horizontal="left"/>
    </xf>
    <xf numFmtId="37" fontId="16" fillId="4" borderId="11" xfId="0" applyFont="1" applyFill="1" applyBorder="1" applyAlignment="1">
      <alignment/>
    </xf>
    <xf numFmtId="0" fontId="1" fillId="4" borderId="3" xfId="0" applyNumberFormat="1" applyFont="1" applyFill="1" applyBorder="1" applyAlignment="1">
      <alignment horizontal="centerContinuous"/>
    </xf>
    <xf numFmtId="0" fontId="1" fillId="4" borderId="6" xfId="0" applyNumberFormat="1" applyFont="1" applyFill="1" applyBorder="1" applyAlignment="1">
      <alignment horizontal="centerContinuous"/>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1" fillId="0" borderId="3" xfId="0" applyFont="1" applyBorder="1" applyAlignment="1">
      <alignment horizontal="left"/>
    </xf>
    <xf numFmtId="175" fontId="1" fillId="3" borderId="1" xfId="0" applyNumberFormat="1" applyFont="1" applyFill="1" applyBorder="1" applyAlignment="1">
      <alignment/>
    </xf>
    <xf numFmtId="175" fontId="1" fillId="0" borderId="1" xfId="0" applyNumberFormat="1" applyFont="1" applyBorder="1" applyAlignment="1">
      <alignment/>
    </xf>
    <xf numFmtId="175" fontId="1" fillId="0" borderId="0" xfId="0" applyNumberFormat="1" applyFont="1" applyAlignment="1">
      <alignment/>
    </xf>
    <xf numFmtId="175" fontId="5" fillId="3" borderId="2" xfId="0" applyNumberFormat="1" applyFont="1" applyFill="1" applyBorder="1" applyAlignment="1">
      <alignment/>
    </xf>
    <xf numFmtId="175" fontId="1" fillId="3" borderId="8" xfId="0" applyNumberFormat="1" applyFont="1" applyFill="1" applyBorder="1" applyAlignment="1">
      <alignment/>
    </xf>
    <xf numFmtId="175" fontId="1" fillId="0" borderId="8" xfId="0" applyNumberFormat="1" applyFont="1" applyBorder="1" applyAlignment="1">
      <alignment/>
    </xf>
    <xf numFmtId="175" fontId="1" fillId="3" borderId="24" xfId="0" applyNumberFormat="1" applyFont="1" applyFill="1" applyBorder="1" applyAlignment="1">
      <alignment/>
    </xf>
    <xf numFmtId="175" fontId="1" fillId="0" borderId="24" xfId="0" applyNumberFormat="1" applyFont="1" applyBorder="1" applyAlignment="1">
      <alignment/>
    </xf>
    <xf numFmtId="175" fontId="5" fillId="3" borderId="6" xfId="0" applyNumberFormat="1" applyFont="1" applyFill="1" applyBorder="1" applyAlignment="1">
      <alignment/>
    </xf>
    <xf numFmtId="175" fontId="5" fillId="3" borderId="25" xfId="0" applyNumberFormat="1" applyFont="1" applyFill="1" applyBorder="1" applyAlignment="1">
      <alignment/>
    </xf>
    <xf numFmtId="37" fontId="1" fillId="0" borderId="0" xfId="0" applyFont="1" applyBorder="1" applyAlignment="1" quotePrefix="1">
      <alignment horizontal="left"/>
    </xf>
    <xf numFmtId="37" fontId="0" fillId="0" borderId="0" xfId="0" applyFont="1" applyAlignment="1" quotePrefix="1">
      <alignment horizontal="left"/>
    </xf>
    <xf numFmtId="174" fontId="1" fillId="3" borderId="1" xfId="20" applyNumberFormat="1" applyFont="1" applyFill="1" applyBorder="1" applyAlignment="1">
      <alignment/>
    </xf>
    <xf numFmtId="174" fontId="1" fillId="0" borderId="1" xfId="20" applyNumberFormat="1" applyFont="1" applyBorder="1" applyAlignment="1">
      <alignment/>
    </xf>
    <xf numFmtId="37" fontId="1" fillId="3" borderId="24" xfId="0" applyFont="1" applyFill="1" applyBorder="1" applyAlignment="1">
      <alignment/>
    </xf>
    <xf numFmtId="37" fontId="1" fillId="0" borderId="24" xfId="0" applyFont="1" applyBorder="1" applyAlignment="1">
      <alignment/>
    </xf>
    <xf numFmtId="37" fontId="5" fillId="3" borderId="25" xfId="0" applyFont="1" applyFill="1" applyBorder="1" applyAlignment="1">
      <alignment/>
    </xf>
    <xf numFmtId="37" fontId="16" fillId="4" borderId="11" xfId="0" applyFont="1" applyFill="1" applyBorder="1" applyAlignment="1">
      <alignment/>
    </xf>
    <xf numFmtId="39" fontId="1" fillId="3"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5" fillId="3" borderId="2" xfId="0" applyNumberFormat="1" applyFont="1" applyFill="1" applyBorder="1" applyAlignment="1">
      <alignment/>
    </xf>
    <xf numFmtId="0" fontId="1" fillId="3" borderId="1" xfId="0" applyNumberFormat="1" applyFont="1" applyFill="1" applyBorder="1" applyAlignment="1">
      <alignment/>
    </xf>
    <xf numFmtId="0" fontId="1" fillId="0" borderId="1" xfId="0" applyNumberFormat="1" applyFont="1" applyBorder="1" applyAlignment="1">
      <alignment/>
    </xf>
    <xf numFmtId="0" fontId="1" fillId="0" borderId="0" xfId="0" applyNumberFormat="1" applyFont="1" applyAlignment="1">
      <alignment/>
    </xf>
    <xf numFmtId="0" fontId="5" fillId="3" borderId="2" xfId="0" applyNumberFormat="1" applyFont="1" applyFill="1" applyBorder="1" applyAlignment="1">
      <alignment/>
    </xf>
    <xf numFmtId="37" fontId="1" fillId="0" borderId="0" xfId="0" applyFont="1" applyAlignment="1" quotePrefix="1">
      <alignment horizontal="left"/>
    </xf>
    <xf numFmtId="1" fontId="1" fillId="3" borderId="1" xfId="0" applyNumberFormat="1" applyFont="1" applyFill="1" applyBorder="1" applyAlignment="1">
      <alignment/>
    </xf>
    <xf numFmtId="1" fontId="1" fillId="0" borderId="1" xfId="0" applyNumberFormat="1" applyFont="1" applyBorder="1" applyAlignment="1">
      <alignment/>
    </xf>
    <xf numFmtId="37" fontId="0" fillId="0" borderId="0" xfId="0" applyFont="1" applyAlignment="1" quotePrefix="1">
      <alignment horizontal="right"/>
    </xf>
    <xf numFmtId="37" fontId="0" fillId="0" borderId="0" xfId="0" applyAlignment="1" quotePrefix="1">
      <alignment horizontal="right"/>
    </xf>
    <xf numFmtId="39" fontId="1" fillId="0" borderId="1" xfId="0" applyNumberFormat="1" applyFont="1" applyBorder="1" applyAlignment="1">
      <alignment horizontal="right"/>
    </xf>
    <xf numFmtId="39" fontId="1" fillId="3" borderId="1" xfId="0" applyNumberFormat="1" applyFont="1" applyFill="1" applyBorder="1" applyAlignment="1">
      <alignment horizontal="right"/>
    </xf>
    <xf numFmtId="37" fontId="5" fillId="0" borderId="2" xfId="0" applyFont="1" applyBorder="1" applyAlignment="1">
      <alignment horizontal="center"/>
    </xf>
    <xf numFmtId="37" fontId="1" fillId="0" borderId="1" xfId="0" applyFont="1" applyBorder="1" applyAlignment="1" quotePrefix="1">
      <alignment horizontal="left"/>
    </xf>
    <xf numFmtId="37" fontId="5" fillId="4" borderId="1" xfId="0" applyFont="1" applyFill="1" applyBorder="1" applyAlignment="1">
      <alignment horizontal="center"/>
    </xf>
    <xf numFmtId="37" fontId="5" fillId="6" borderId="1" xfId="0" applyFont="1" applyFill="1" applyBorder="1" applyAlignment="1">
      <alignment horizontal="center"/>
    </xf>
    <xf numFmtId="37" fontId="5" fillId="0" borderId="1" xfId="0" applyFont="1" applyBorder="1" applyAlignment="1" applyProtection="1">
      <alignment horizontal="center"/>
      <protection/>
    </xf>
    <xf numFmtId="37" fontId="5" fillId="5" borderId="2" xfId="0" applyFont="1" applyFill="1" applyBorder="1" applyAlignment="1" applyProtection="1">
      <alignment horizontal="center"/>
      <protection/>
    </xf>
    <xf numFmtId="37" fontId="5" fillId="5" borderId="15" xfId="0" applyFont="1" applyFill="1" applyBorder="1" applyAlignment="1" applyProtection="1">
      <alignment horizontal="centerContinuous"/>
      <protection/>
    </xf>
    <xf numFmtId="37" fontId="1" fillId="5" borderId="5" xfId="0" applyFont="1" applyFill="1" applyBorder="1" applyAlignment="1" applyProtection="1">
      <alignment horizontal="centerContinuous"/>
      <protection/>
    </xf>
    <xf numFmtId="37" fontId="1" fillId="5" borderId="13" xfId="0" applyFont="1" applyFill="1" applyBorder="1" applyAlignment="1" applyProtection="1">
      <alignment horizontal="centerContinuous"/>
      <protection/>
    </xf>
    <xf numFmtId="37" fontId="5" fillId="3" borderId="2" xfId="0" applyNumberFormat="1" applyFont="1" applyFill="1" applyBorder="1" applyAlignment="1">
      <alignment/>
    </xf>
    <xf numFmtId="37" fontId="1" fillId="4" borderId="3" xfId="0" applyFont="1" applyFill="1" applyBorder="1" applyAlignment="1" applyProtection="1" quotePrefix="1">
      <alignment horizontal="centerContinuous"/>
      <protection/>
    </xf>
    <xf numFmtId="37" fontId="1" fillId="0" borderId="3" xfId="0" applyFont="1" applyBorder="1" applyAlignment="1" quotePrefix="1">
      <alignment horizontal="centerContinuous"/>
    </xf>
    <xf numFmtId="37" fontId="1" fillId="0" borderId="4" xfId="0" applyFont="1" applyBorder="1" applyAlignment="1">
      <alignment horizontal="centerContinuous"/>
    </xf>
    <xf numFmtId="37" fontId="5" fillId="5" borderId="26" xfId="0" applyFont="1" applyFill="1" applyBorder="1" applyAlignment="1" applyProtection="1">
      <alignment horizontal="centerContinuous"/>
      <protection/>
    </xf>
    <xf numFmtId="37" fontId="1" fillId="0" borderId="0" xfId="0" applyFont="1" applyAlignment="1">
      <alignment horizontal="center"/>
    </xf>
    <xf numFmtId="49" fontId="0" fillId="0" borderId="0" xfId="0" applyNumberFormat="1" applyFont="1" applyAlignment="1">
      <alignment horizontal="right"/>
    </xf>
    <xf numFmtId="49" fontId="0" fillId="0" borderId="0" xfId="0" applyNumberFormat="1" applyFont="1" applyAlignment="1">
      <alignment/>
    </xf>
    <xf numFmtId="37" fontId="6" fillId="0" borderId="3" xfId="0" applyFont="1" applyBorder="1" applyAlignment="1" applyProtection="1">
      <alignment/>
      <protection locked="0"/>
    </xf>
    <xf numFmtId="37" fontId="5" fillId="5" borderId="5" xfId="0" applyFont="1" applyFill="1" applyBorder="1" applyAlignment="1">
      <alignment horizontal="centerContinuous"/>
    </xf>
    <xf numFmtId="37" fontId="5" fillId="5" borderId="0" xfId="0" applyFont="1" applyFill="1" applyBorder="1" applyAlignment="1">
      <alignment horizontal="centerContinuous"/>
    </xf>
    <xf numFmtId="0" fontId="5" fillId="4" borderId="13" xfId="0" applyNumberFormat="1" applyFont="1" applyFill="1" applyBorder="1" applyAlignment="1">
      <alignment/>
    </xf>
    <xf numFmtId="0" fontId="5" fillId="4" borderId="8" xfId="0" applyNumberFormat="1" applyFont="1" applyFill="1" applyBorder="1" applyAlignment="1">
      <alignment/>
    </xf>
    <xf numFmtId="37" fontId="5" fillId="8" borderId="12" xfId="0" applyFont="1" applyFill="1" applyBorder="1" applyAlignment="1">
      <alignment horizontal="center"/>
    </xf>
    <xf numFmtId="37" fontId="5" fillId="8" borderId="1" xfId="0" applyFont="1" applyFill="1" applyBorder="1" applyAlignment="1">
      <alignment horizontal="center"/>
    </xf>
    <xf numFmtId="37" fontId="5" fillId="8" borderId="14" xfId="0" applyFont="1" applyFill="1" applyBorder="1" applyAlignment="1">
      <alignment horizontal="center"/>
    </xf>
    <xf numFmtId="49" fontId="20" fillId="0" borderId="0" xfId="0" applyNumberFormat="1" applyFont="1" applyAlignment="1">
      <alignment/>
    </xf>
    <xf numFmtId="37" fontId="13" fillId="4" borderId="11" xfId="0" applyFont="1" applyFill="1" applyBorder="1" applyAlignment="1">
      <alignment horizontal="left"/>
    </xf>
    <xf numFmtId="37" fontId="1" fillId="3" borderId="1" xfId="0" applyFont="1" applyFill="1" applyBorder="1" applyAlignment="1" quotePrefix="1">
      <alignment/>
    </xf>
    <xf numFmtId="39" fontId="1" fillId="0" borderId="0" xfId="0" applyNumberFormat="1" applyFont="1" applyAlignment="1">
      <alignment/>
    </xf>
    <xf numFmtId="37" fontId="1" fillId="3" borderId="1" xfId="0" applyFont="1" applyFill="1" applyBorder="1" applyAlignment="1">
      <alignment horizontal="right"/>
    </xf>
    <xf numFmtId="37" fontId="1" fillId="0" borderId="1" xfId="0" applyFont="1" applyBorder="1" applyAlignment="1">
      <alignment horizontal="right"/>
    </xf>
    <xf numFmtId="37" fontId="1" fillId="0" borderId="6" xfId="0" applyFont="1" applyBorder="1" applyAlignment="1">
      <alignment/>
    </xf>
    <xf numFmtId="37" fontId="5" fillId="3" borderId="15" xfId="0" applyFont="1" applyFill="1" applyBorder="1" applyAlignment="1">
      <alignment/>
    </xf>
    <xf numFmtId="37" fontId="5" fillId="3" borderId="5" xfId="0" applyFont="1" applyFill="1" applyBorder="1" applyAlignment="1">
      <alignment/>
    </xf>
    <xf numFmtId="37" fontId="5" fillId="3" borderId="13" xfId="0" applyFont="1" applyFill="1" applyBorder="1" applyAlignment="1">
      <alignment/>
    </xf>
    <xf numFmtId="37" fontId="17" fillId="0" borderId="7" xfId="0" applyFont="1" applyBorder="1" applyAlignment="1">
      <alignment horizontal="right" textRotation="180"/>
    </xf>
    <xf numFmtId="49" fontId="1" fillId="0" borderId="0" xfId="0" applyNumberFormat="1" applyFont="1" applyAlignment="1">
      <alignment horizontal="right"/>
    </xf>
    <xf numFmtId="192" fontId="1" fillId="3" borderId="1" xfId="0" applyNumberFormat="1" applyFont="1" applyFill="1" applyBorder="1" applyAlignment="1">
      <alignment/>
    </xf>
    <xf numFmtId="192" fontId="1" fillId="0" borderId="1" xfId="0" applyNumberFormat="1" applyFont="1" applyBorder="1" applyAlignment="1">
      <alignment/>
    </xf>
    <xf numFmtId="192" fontId="1" fillId="0" borderId="0" xfId="0" applyNumberFormat="1" applyFont="1" applyAlignment="1">
      <alignment/>
    </xf>
    <xf numFmtId="192" fontId="5" fillId="3" borderId="2" xfId="0" applyNumberFormat="1" applyFont="1" applyFill="1" applyBorder="1" applyAlignment="1">
      <alignment/>
    </xf>
    <xf numFmtId="37" fontId="1" fillId="3" borderId="5" xfId="0" applyFont="1" applyFill="1" applyBorder="1" applyAlignment="1">
      <alignment/>
    </xf>
    <xf numFmtId="191" fontId="1" fillId="3" borderId="1" xfId="0" applyNumberFormat="1" applyFont="1" applyFill="1" applyBorder="1" applyAlignment="1">
      <alignment/>
    </xf>
    <xf numFmtId="191" fontId="1" fillId="0" borderId="1" xfId="0" applyNumberFormat="1" applyFont="1" applyBorder="1" applyAlignment="1">
      <alignment/>
    </xf>
    <xf numFmtId="191" fontId="1" fillId="0" borderId="0" xfId="0" applyNumberFormat="1" applyFont="1" applyAlignment="1">
      <alignment/>
    </xf>
    <xf numFmtId="191" fontId="5" fillId="3" borderId="2" xfId="0" applyNumberFormat="1" applyFont="1" applyFill="1" applyBorder="1" applyAlignment="1">
      <alignment/>
    </xf>
    <xf numFmtId="49" fontId="19" fillId="0" borderId="14" xfId="0" applyNumberFormat="1" applyFont="1" applyBorder="1" applyAlignment="1">
      <alignment horizontal="center"/>
    </xf>
    <xf numFmtId="195" fontId="1" fillId="0" borderId="0" xfId="0" applyNumberFormat="1" applyFont="1" applyAlignment="1">
      <alignment/>
    </xf>
    <xf numFmtId="37" fontId="5" fillId="4" borderId="15" xfId="0" applyFont="1" applyFill="1" applyBorder="1" applyAlignment="1">
      <alignment horizontal="centerContinuous"/>
    </xf>
    <xf numFmtId="37" fontId="24" fillId="0" borderId="0" xfId="0" applyFont="1" applyAlignment="1">
      <alignment/>
    </xf>
    <xf numFmtId="37" fontId="12" fillId="9" borderId="0" xfId="0" applyFont="1" applyFill="1" applyAlignment="1">
      <alignment/>
    </xf>
    <xf numFmtId="37" fontId="12" fillId="0" borderId="0" xfId="0" applyFont="1" applyAlignment="1">
      <alignment/>
    </xf>
    <xf numFmtId="37" fontId="15" fillId="9" borderId="0" xfId="0" applyFont="1" applyFill="1" applyAlignment="1">
      <alignment/>
    </xf>
    <xf numFmtId="37" fontId="12" fillId="9" borderId="0" xfId="0" applyFont="1" applyFill="1" applyAlignment="1">
      <alignment/>
    </xf>
    <xf numFmtId="37" fontId="14" fillId="9" borderId="0" xfId="0" applyFont="1" applyFill="1" applyAlignment="1" quotePrefix="1">
      <alignment horizontal="center"/>
    </xf>
    <xf numFmtId="37" fontId="15" fillId="9" borderId="0" xfId="0" applyFont="1" applyFill="1" applyAlignment="1">
      <alignment wrapText="1"/>
    </xf>
    <xf numFmtId="49" fontId="11" fillId="0" borderId="7" xfId="0" applyNumberFormat="1" applyFont="1" applyBorder="1" applyAlignment="1">
      <alignment horizontal="right" vertical="center" textRotation="180"/>
    </xf>
    <xf numFmtId="49" fontId="22" fillId="0" borderId="7" xfId="0" applyNumberFormat="1" applyFont="1" applyBorder="1" applyAlignment="1">
      <alignment horizontal="right" vertical="center"/>
    </xf>
    <xf numFmtId="49" fontId="11" fillId="0" borderId="27" xfId="0" applyNumberFormat="1" applyFont="1" applyBorder="1" applyAlignment="1">
      <alignment horizontal="right" vertical="top" textRotation="180"/>
    </xf>
    <xf numFmtId="37" fontId="22" fillId="0" borderId="27" xfId="0" applyFont="1" applyBorder="1" applyAlignment="1">
      <alignment horizontal="right" vertical="top" textRotation="180"/>
    </xf>
    <xf numFmtId="49" fontId="11" fillId="0" borderId="27" xfId="0" applyNumberFormat="1" applyFont="1" applyBorder="1" applyAlignment="1">
      <alignment horizontal="right" vertical="center" textRotation="180"/>
    </xf>
    <xf numFmtId="37" fontId="22" fillId="0" borderId="27" xfId="0" applyFont="1" applyBorder="1" applyAlignment="1">
      <alignment horizontal="right" vertical="center" textRotation="180"/>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8"/>
  <dimension ref="A1:C26"/>
  <sheetViews>
    <sheetView showGridLines="0" showRowColHeaders="0" tabSelected="1" workbookViewId="0" topLeftCell="A1">
      <selection activeCell="B1" sqref="B1"/>
    </sheetView>
  </sheetViews>
  <sheetFormatPr defaultColWidth="9.33203125" defaultRowHeight="12"/>
  <cols>
    <col min="1" max="1" width="9.33203125" style="432" customWidth="1"/>
    <col min="2" max="2" width="112.16015625" style="432" customWidth="1"/>
    <col min="3" max="16384" width="9.33203125" style="432" customWidth="1"/>
  </cols>
  <sheetData>
    <row r="1" spans="1:3" ht="0.75" customHeight="1">
      <c r="A1" s="431"/>
      <c r="B1" s="431"/>
      <c r="C1" s="431"/>
    </row>
    <row r="2" spans="1:3" ht="14.25">
      <c r="A2" s="431"/>
      <c r="B2" s="431"/>
      <c r="C2" s="431"/>
    </row>
    <row r="3" spans="1:3" ht="15">
      <c r="A3" s="431"/>
      <c r="B3" s="435" t="s">
        <v>518</v>
      </c>
      <c r="C3" s="431"/>
    </row>
    <row r="4" spans="1:3" ht="14.25">
      <c r="A4" s="431"/>
      <c r="B4" s="431"/>
      <c r="C4" s="431"/>
    </row>
    <row r="5" spans="1:3" ht="14.25">
      <c r="A5" s="431"/>
      <c r="B5" s="433" t="s">
        <v>513</v>
      </c>
      <c r="C5" s="434"/>
    </row>
    <row r="6" spans="1:3" ht="14.25">
      <c r="A6" s="431"/>
      <c r="B6" s="431"/>
      <c r="C6" s="431"/>
    </row>
    <row r="7" spans="1:3" ht="14.25">
      <c r="A7" s="431"/>
      <c r="B7" s="436" t="s">
        <v>514</v>
      </c>
      <c r="C7" s="431"/>
    </row>
    <row r="8" spans="1:3" ht="14.25">
      <c r="A8" s="431"/>
      <c r="B8" s="436"/>
      <c r="C8" s="431"/>
    </row>
    <row r="9" spans="1:3" ht="14.25">
      <c r="A9" s="431"/>
      <c r="B9" s="431"/>
      <c r="C9" s="431"/>
    </row>
    <row r="10" spans="1:3" ht="14.25" customHeight="1">
      <c r="A10" s="431"/>
      <c r="B10" s="436" t="s">
        <v>516</v>
      </c>
      <c r="C10" s="431"/>
    </row>
    <row r="11" spans="1:3" ht="14.25">
      <c r="A11" s="431"/>
      <c r="B11" s="436"/>
      <c r="C11" s="431"/>
    </row>
    <row r="12" spans="1:3" ht="14.25">
      <c r="A12" s="431"/>
      <c r="B12" s="436"/>
      <c r="C12" s="431"/>
    </row>
    <row r="13" spans="1:3" ht="14.25">
      <c r="A13" s="431"/>
      <c r="B13" s="431"/>
      <c r="C13" s="431"/>
    </row>
    <row r="14" spans="1:3" ht="14.25">
      <c r="A14" s="431"/>
      <c r="B14" s="436" t="s">
        <v>515</v>
      </c>
      <c r="C14" s="431"/>
    </row>
    <row r="15" spans="1:3" ht="14.25">
      <c r="A15" s="431"/>
      <c r="B15" s="436"/>
      <c r="C15" s="431"/>
    </row>
    <row r="16" spans="1:3" ht="14.25">
      <c r="A16" s="431"/>
      <c r="B16" s="431"/>
      <c r="C16" s="431"/>
    </row>
    <row r="17" spans="1:3" ht="14.25" customHeight="1">
      <c r="A17" s="431"/>
      <c r="B17" s="436" t="s">
        <v>517</v>
      </c>
      <c r="C17" s="431"/>
    </row>
    <row r="18" spans="1:3" ht="14.25">
      <c r="A18" s="431"/>
      <c r="B18" s="436"/>
      <c r="C18" s="431"/>
    </row>
    <row r="19" spans="1:3" ht="14.25">
      <c r="A19" s="431"/>
      <c r="B19" s="436"/>
      <c r="C19" s="431"/>
    </row>
    <row r="20" spans="1:3" ht="14.25">
      <c r="A20" s="431"/>
      <c r="B20" s="436"/>
      <c r="C20" s="431"/>
    </row>
    <row r="21" spans="1:3" ht="14.25">
      <c r="A21" s="431"/>
      <c r="B21" s="434"/>
      <c r="C21" s="431"/>
    </row>
    <row r="22" spans="1:3" ht="14.25">
      <c r="A22" s="431"/>
      <c r="B22" s="434"/>
      <c r="C22" s="431"/>
    </row>
    <row r="23" spans="1:3" ht="14.25">
      <c r="A23" s="431"/>
      <c r="B23" s="431"/>
      <c r="C23" s="431"/>
    </row>
    <row r="24" spans="1:3" ht="14.25">
      <c r="A24" s="431"/>
      <c r="B24" s="431"/>
      <c r="C24" s="431"/>
    </row>
    <row r="25" spans="1:3" ht="14.25">
      <c r="A25" s="431"/>
      <c r="B25" s="431"/>
      <c r="C25" s="431"/>
    </row>
    <row r="26" spans="1:3" ht="14.25">
      <c r="A26" s="431"/>
      <c r="B26" s="431"/>
      <c r="C26" s="431"/>
    </row>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O54"/>
  <sheetViews>
    <sheetView showGridLines="0" showZeros="0" workbookViewId="0" topLeftCell="A1">
      <selection activeCell="A1" sqref="A1"/>
    </sheetView>
  </sheetViews>
  <sheetFormatPr defaultColWidth="14.83203125" defaultRowHeight="12"/>
  <cols>
    <col min="1" max="1" width="6.83203125" style="82" customWidth="1"/>
    <col min="2" max="2" width="52.83203125" style="82" customWidth="1"/>
    <col min="3" max="3" width="23.83203125" style="82" customWidth="1"/>
    <col min="4" max="4" width="7.83203125" style="82" customWidth="1"/>
    <col min="5" max="5" width="16.83203125" style="82" customWidth="1"/>
    <col min="6" max="6" width="7.83203125" style="82" customWidth="1"/>
    <col min="7" max="7" width="16.83203125" style="82" customWidth="1"/>
    <col min="8" max="8" width="7.83203125" style="82" customWidth="1"/>
    <col min="9" max="9" width="12.83203125" style="82" customWidth="1"/>
    <col min="10" max="10" width="7.83203125" style="82" customWidth="1"/>
    <col min="11" max="11" width="16.83203125" style="82" customWidth="1"/>
    <col min="12" max="12" width="8.83203125" style="82" customWidth="1"/>
    <col min="13" max="13" width="6.83203125" style="82" customWidth="1"/>
    <col min="14" max="14" width="45.66015625" style="82" bestFit="1" customWidth="1"/>
    <col min="15" max="16384" width="14.83203125" style="82" customWidth="1"/>
  </cols>
  <sheetData>
    <row r="2" spans="1:12" ht="12.75">
      <c r="A2" s="175"/>
      <c r="B2" s="175"/>
      <c r="C2" s="175"/>
      <c r="D2" s="126" t="str">
        <f>YEAR</f>
        <v>OPERATING FUND BUDGET 2002/2003</v>
      </c>
      <c r="E2" s="126"/>
      <c r="F2" s="126"/>
      <c r="G2" s="107"/>
      <c r="H2" s="107"/>
      <c r="I2" s="107"/>
      <c r="J2" s="107"/>
      <c r="K2" s="286"/>
      <c r="L2" s="108" t="s">
        <v>260</v>
      </c>
    </row>
    <row r="3" spans="11:12" ht="12.75">
      <c r="K3" s="174"/>
      <c r="L3" s="174"/>
    </row>
    <row r="4" spans="3:12" ht="15.75">
      <c r="C4" s="324" t="s">
        <v>261</v>
      </c>
      <c r="D4" s="174"/>
      <c r="E4" s="174"/>
      <c r="F4" s="174"/>
      <c r="G4" s="174"/>
      <c r="H4" s="174"/>
      <c r="I4" s="174"/>
      <c r="J4" s="174"/>
      <c r="K4" s="174"/>
      <c r="L4" s="174"/>
    </row>
    <row r="5" spans="3:12" ht="15.75">
      <c r="C5" s="324" t="s">
        <v>262</v>
      </c>
      <c r="D5" s="174"/>
      <c r="E5" s="174"/>
      <c r="F5" s="174"/>
      <c r="G5" s="174"/>
      <c r="H5" s="174"/>
      <c r="I5" s="174"/>
      <c r="J5" s="174"/>
      <c r="K5" s="174"/>
      <c r="L5" s="174"/>
    </row>
    <row r="7" spans="3:10" ht="12.75">
      <c r="C7" s="125" t="s">
        <v>263</v>
      </c>
      <c r="D7" s="107"/>
      <c r="E7" s="107"/>
      <c r="F7" s="107"/>
      <c r="G7" s="107"/>
      <c r="H7" s="107"/>
      <c r="I7" s="107"/>
      <c r="J7" s="132"/>
    </row>
    <row r="8" ht="12.75">
      <c r="C8" s="287"/>
    </row>
    <row r="9" spans="1:12" ht="12.75">
      <c r="A9" s="142"/>
      <c r="B9" s="142"/>
      <c r="C9" s="68" t="s">
        <v>30</v>
      </c>
      <c r="D9" s="67"/>
      <c r="E9" s="66" t="s">
        <v>31</v>
      </c>
      <c r="F9" s="67"/>
      <c r="G9" s="66" t="s">
        <v>32</v>
      </c>
      <c r="H9" s="67"/>
      <c r="I9" s="184"/>
      <c r="J9" s="206"/>
      <c r="K9" s="130"/>
      <c r="L9" s="206"/>
    </row>
    <row r="10" spans="1:12" ht="12.75">
      <c r="A10" s="142"/>
      <c r="B10" s="142"/>
      <c r="C10" s="69" t="s">
        <v>45</v>
      </c>
      <c r="D10" s="71"/>
      <c r="E10" s="70" t="s">
        <v>66</v>
      </c>
      <c r="F10" s="71"/>
      <c r="G10" s="70" t="s">
        <v>67</v>
      </c>
      <c r="H10" s="71"/>
      <c r="I10" s="70" t="s">
        <v>68</v>
      </c>
      <c r="J10" s="211"/>
      <c r="K10" s="70" t="s">
        <v>69</v>
      </c>
      <c r="L10" s="211"/>
    </row>
    <row r="11" spans="1:12" ht="12.75">
      <c r="A11" s="142"/>
      <c r="B11" s="142"/>
      <c r="C11" s="288" t="s">
        <v>102</v>
      </c>
      <c r="D11" s="288" t="s">
        <v>103</v>
      </c>
      <c r="E11" s="288" t="s">
        <v>102</v>
      </c>
      <c r="F11" s="288" t="s">
        <v>103</v>
      </c>
      <c r="G11" s="288" t="s">
        <v>102</v>
      </c>
      <c r="H11" s="288" t="s">
        <v>103</v>
      </c>
      <c r="I11" s="288" t="s">
        <v>102</v>
      </c>
      <c r="J11" s="259" t="s">
        <v>103</v>
      </c>
      <c r="K11" s="288" t="s">
        <v>102</v>
      </c>
      <c r="L11" s="259" t="s">
        <v>103</v>
      </c>
    </row>
    <row r="12" spans="1:12" ht="4.5" customHeight="1">
      <c r="A12" s="142"/>
      <c r="B12" s="142"/>
      <c r="C12" s="142"/>
      <c r="D12" s="142"/>
      <c r="E12" s="142"/>
      <c r="F12" s="142"/>
      <c r="G12" s="142"/>
      <c r="H12" s="142"/>
      <c r="I12" s="142"/>
      <c r="J12" s="142"/>
      <c r="K12" s="142"/>
      <c r="L12" s="142"/>
    </row>
    <row r="13" spans="1:15" ht="12.75">
      <c r="A13" s="182">
        <v>300</v>
      </c>
      <c r="B13" s="334" t="s">
        <v>253</v>
      </c>
      <c r="C13" s="329">
        <f>SUM(C14:C21)</f>
        <v>49055342</v>
      </c>
      <c r="D13" s="330">
        <f>C13/$K$54</f>
        <v>0.036301371085534384</v>
      </c>
      <c r="E13" s="329">
        <f>SUM(E14:E21)</f>
        <v>24546595</v>
      </c>
      <c r="F13" s="330">
        <f>E13/$K$54</f>
        <v>0.018164689464020514</v>
      </c>
      <c r="G13" s="329">
        <f>SUM(G14:G21)</f>
        <v>68945904</v>
      </c>
      <c r="H13" s="330">
        <f>G13/$K$54</f>
        <v>0.05102055645502644</v>
      </c>
      <c r="I13" s="329"/>
      <c r="J13" s="330"/>
      <c r="K13" s="329">
        <f>SUM(G13,E13,C13,'- 12 -'!K13,'- 12 -'!I13,'- 12 -'!G13,'- 12 -'!E13,'- 12 -'!C13)</f>
        <v>1023322699.25</v>
      </c>
      <c r="L13" s="330">
        <f aca="true" t="shared" si="0" ref="L13:L21">K13/$K$54</f>
        <v>0.7572675172812974</v>
      </c>
      <c r="N13" s="82" t="s">
        <v>253</v>
      </c>
      <c r="O13" s="101">
        <f>L13</f>
        <v>0.7572675172812974</v>
      </c>
    </row>
    <row r="14" spans="1:15" ht="12.75">
      <c r="A14" s="142"/>
      <c r="B14" s="311" t="s">
        <v>265</v>
      </c>
      <c r="C14" s="329"/>
      <c r="D14" s="330"/>
      <c r="E14" s="329"/>
      <c r="F14" s="330"/>
      <c r="G14" s="329"/>
      <c r="H14" s="330"/>
      <c r="I14" s="329"/>
      <c r="J14" s="330"/>
      <c r="K14" s="329">
        <f>SUM(G14,E14,C14,'- 12 -'!K14,'- 12 -'!I14,'- 12 -'!G14,'- 12 -'!E14,'- 12 -'!C14)</f>
        <v>3092988</v>
      </c>
      <c r="L14" s="330">
        <f t="shared" si="0"/>
        <v>0.002288837475663809</v>
      </c>
      <c r="N14" s="82" t="s">
        <v>319</v>
      </c>
      <c r="O14" s="101">
        <f>L23</f>
        <v>0.059745948432722476</v>
      </c>
    </row>
    <row r="15" spans="1:15" ht="12.75">
      <c r="A15" s="142"/>
      <c r="B15" s="311" t="s">
        <v>266</v>
      </c>
      <c r="C15" s="329">
        <v>3092364</v>
      </c>
      <c r="D15" s="330">
        <f>C15/$K$54</f>
        <v>0.002288375710346642</v>
      </c>
      <c r="E15" s="329">
        <v>1671597</v>
      </c>
      <c r="F15" s="330">
        <f>E15/$K$54</f>
        <v>0.00123699602384723</v>
      </c>
      <c r="G15" s="329">
        <v>3243766</v>
      </c>
      <c r="H15" s="330">
        <f>G15/$K$54</f>
        <v>0.0024004144804584083</v>
      </c>
      <c r="I15" s="329"/>
      <c r="J15" s="330"/>
      <c r="K15" s="329">
        <f>SUM(G15,E15,C15,'- 12 -'!K15,'- 12 -'!I15,'- 12 -'!G15,'- 12 -'!E15,'- 12 -'!C15)</f>
        <v>81381942.25</v>
      </c>
      <c r="L15" s="330">
        <f t="shared" si="0"/>
        <v>0.0602233307287671</v>
      </c>
      <c r="N15" s="82" t="s">
        <v>228</v>
      </c>
      <c r="O15" s="101">
        <f>L25</f>
        <v>0.0977927728309732</v>
      </c>
    </row>
    <row r="16" spans="1:15" ht="12.75">
      <c r="A16" s="142"/>
      <c r="B16" s="311" t="s">
        <v>267</v>
      </c>
      <c r="C16" s="329">
        <v>31051366</v>
      </c>
      <c r="D16" s="330">
        <f>C16/$K$54</f>
        <v>0.022978275431832593</v>
      </c>
      <c r="E16" s="329"/>
      <c r="F16" s="330">
        <f>E16/$K$54</f>
        <v>0</v>
      </c>
      <c r="G16" s="329"/>
      <c r="H16" s="330">
        <f>G16/$K$54</f>
        <v>0</v>
      </c>
      <c r="I16" s="329"/>
      <c r="J16" s="330"/>
      <c r="K16" s="329">
        <f>SUM(G16,E16,C16,'- 12 -'!K16,'- 12 -'!I16,'- 12 -'!G16,'- 12 -'!E16,'- 12 -'!C16)</f>
        <v>683602239</v>
      </c>
      <c r="L16" s="330">
        <f t="shared" si="0"/>
        <v>0.5058714819038702</v>
      </c>
      <c r="N16" s="82" t="s">
        <v>320</v>
      </c>
      <c r="O16" s="101">
        <f>L42</f>
        <v>0.06749057386512017</v>
      </c>
    </row>
    <row r="17" spans="1:15" ht="12.75">
      <c r="A17" s="142"/>
      <c r="B17" s="311" t="s">
        <v>268</v>
      </c>
      <c r="C17" s="329">
        <v>6700079</v>
      </c>
      <c r="D17" s="330">
        <f>C17/$K$54</f>
        <v>0.004958115552051317</v>
      </c>
      <c r="E17" s="329">
        <v>135947</v>
      </c>
      <c r="F17" s="330">
        <f>E17/$K$54</f>
        <v>0.00010060193841814706</v>
      </c>
      <c r="G17" s="329"/>
      <c r="H17" s="330">
        <f>G17/$K$54</f>
        <v>0</v>
      </c>
      <c r="I17" s="329"/>
      <c r="J17" s="330"/>
      <c r="K17" s="329">
        <f>SUM(G17,E17,C17,'- 12 -'!K17,'- 12 -'!I17,'- 12 -'!G17,'- 12 -'!E17,'- 12 -'!C17)</f>
        <v>93258455</v>
      </c>
      <c r="L17" s="330">
        <f t="shared" si="0"/>
        <v>0.06901205136473434</v>
      </c>
      <c r="N17" s="82" t="s">
        <v>83</v>
      </c>
      <c r="O17" s="101">
        <f>L50</f>
        <v>0.0019692307554342783</v>
      </c>
    </row>
    <row r="18" spans="1:15" ht="12.75">
      <c r="A18" s="142"/>
      <c r="B18" s="311" t="s">
        <v>269</v>
      </c>
      <c r="C18" s="329">
        <v>4934517</v>
      </c>
      <c r="D18" s="330">
        <f>C18/$K$54</f>
        <v>0.003651584627518811</v>
      </c>
      <c r="E18" s="329">
        <v>21913579</v>
      </c>
      <c r="F18" s="330">
        <f>E18/$K$54</f>
        <v>0.01621623518782467</v>
      </c>
      <c r="G18" s="329">
        <v>64615421</v>
      </c>
      <c r="H18" s="330">
        <f>G18/$K$54</f>
        <v>0.04781596213454248</v>
      </c>
      <c r="I18" s="329"/>
      <c r="J18" s="330"/>
      <c r="K18" s="329">
        <f>SUM(G18,E18,C18,'- 12 -'!K18,'- 12 -'!I18,'- 12 -'!G18,'- 12 -'!E18,'- 12 -'!C18)</f>
        <v>98709969</v>
      </c>
      <c r="L18" s="330">
        <f t="shared" si="0"/>
        <v>0.07304621817763692</v>
      </c>
      <c r="N18" s="82" t="s">
        <v>114</v>
      </c>
      <c r="O18" s="101">
        <f>L49-O17</f>
        <v>0.01573395683445259</v>
      </c>
    </row>
    <row r="19" spans="2:15" ht="12.75">
      <c r="B19" s="312" t="s">
        <v>270</v>
      </c>
      <c r="C19" s="329">
        <v>2875518</v>
      </c>
      <c r="D19" s="332">
        <f>C19/$K$54</f>
        <v>0.0021279078225799274</v>
      </c>
      <c r="E19" s="329">
        <v>825472</v>
      </c>
      <c r="F19" s="332">
        <f>E19/$K$54</f>
        <v>0.0006108563139304633</v>
      </c>
      <c r="G19" s="329">
        <v>1074717</v>
      </c>
      <c r="H19" s="332">
        <f>G19/$K$54</f>
        <v>0.0007952997377723359</v>
      </c>
      <c r="I19" s="331"/>
      <c r="J19" s="332"/>
      <c r="K19" s="329">
        <f>SUM(G19,E19,C19,'- 12 -'!K19,'- 12 -'!I19,'- 12 -'!G19,'- 12 -'!E19,'- 12 -'!C19)</f>
        <v>42145678</v>
      </c>
      <c r="L19" s="332">
        <f t="shared" si="0"/>
        <v>0.031188160847588072</v>
      </c>
      <c r="O19" s="101"/>
    </row>
    <row r="20" spans="2:15" ht="12.75">
      <c r="B20" s="358" t="s">
        <v>313</v>
      </c>
      <c r="C20" s="331"/>
      <c r="D20" s="332"/>
      <c r="E20" s="331"/>
      <c r="F20" s="332"/>
      <c r="G20" s="331"/>
      <c r="H20" s="332"/>
      <c r="I20" s="331"/>
      <c r="J20" s="332"/>
      <c r="K20" s="329">
        <f>SUM(G20,E20,C20,'- 12 -'!K20,'- 12 -'!I20,'- 12 -'!G20,'- 12 -'!E20,'- 12 -'!C20)</f>
        <v>15147925</v>
      </c>
      <c r="L20" s="332">
        <f t="shared" si="0"/>
        <v>0.011209593577002143</v>
      </c>
      <c r="O20" s="101">
        <f>SUM(O13:O18)</f>
        <v>1.0000000000000002</v>
      </c>
    </row>
    <row r="21" spans="2:15" ht="12.75">
      <c r="B21" s="358" t="s">
        <v>341</v>
      </c>
      <c r="C21" s="331">
        <v>401498</v>
      </c>
      <c r="D21" s="332">
        <f>C21/'- 13 -'!$K$54</f>
        <v>0.0002971119412050962</v>
      </c>
      <c r="E21" s="331">
        <v>0</v>
      </c>
      <c r="F21" s="332">
        <f>E21/'- 13 -'!$K$54</f>
        <v>0</v>
      </c>
      <c r="G21" s="331">
        <v>12000</v>
      </c>
      <c r="H21" s="332">
        <f>G21/'- 13 -'!$K$54</f>
        <v>8.880102253214596E-06</v>
      </c>
      <c r="I21" s="331"/>
      <c r="J21" s="332"/>
      <c r="K21" s="329">
        <f>SUM(G21,E21,C21,'- 12 -'!K21,'- 12 -'!I21,'- 12 -'!G21,'- 12 -'!E21,'- 12 -'!C21)</f>
        <v>5983503</v>
      </c>
      <c r="L21" s="332">
        <f t="shared" si="0"/>
        <v>0.004427843206034692</v>
      </c>
      <c r="O21" s="101"/>
    </row>
    <row r="22" spans="3:12" ht="4.5" customHeight="1">
      <c r="C22" s="331"/>
      <c r="D22" s="332"/>
      <c r="E22" s="331"/>
      <c r="F22" s="332"/>
      <c r="G22" s="331"/>
      <c r="H22" s="332"/>
      <c r="I22" s="331"/>
      <c r="J22" s="332"/>
      <c r="K22" s="331"/>
      <c r="L22" s="332"/>
    </row>
    <row r="23" spans="1:12" ht="12.75">
      <c r="A23" s="77">
        <v>400</v>
      </c>
      <c r="B23" s="335" t="s">
        <v>271</v>
      </c>
      <c r="C23" s="329">
        <v>3885148.76</v>
      </c>
      <c r="D23" s="332">
        <f>C23/$K$54</f>
        <v>0.0028750431881458243</v>
      </c>
      <c r="E23" s="329">
        <v>3264698.19</v>
      </c>
      <c r="F23" s="332">
        <f>E23/$K$54</f>
        <v>0.0024159044794237177</v>
      </c>
      <c r="G23" s="329">
        <v>10213374.21</v>
      </c>
      <c r="H23" s="332">
        <f>G23/$K$54</f>
        <v>0.007557983944595405</v>
      </c>
      <c r="I23" s="331"/>
      <c r="J23" s="332"/>
      <c r="K23" s="329">
        <f>SUM(G23,E23,C23,'- 12 -'!K23,'- 12 -'!I23,'- 12 -'!G23,'- 12 -'!E23,'- 12 -'!C23)</f>
        <v>80736838.4675</v>
      </c>
      <c r="L23" s="332">
        <f>K23/$K$54</f>
        <v>0.059745948432722476</v>
      </c>
    </row>
    <row r="24" spans="3:12" ht="4.5" customHeight="1">
      <c r="C24" s="331"/>
      <c r="D24" s="332"/>
      <c r="E24" s="331"/>
      <c r="F24" s="332"/>
      <c r="G24" s="331"/>
      <c r="H24" s="332"/>
      <c r="I24" s="331"/>
      <c r="J24" s="332"/>
      <c r="K24" s="331"/>
      <c r="L24" s="332"/>
    </row>
    <row r="25" spans="1:15" ht="12.75">
      <c r="A25" s="336" t="s">
        <v>272</v>
      </c>
      <c r="B25" s="335" t="s">
        <v>228</v>
      </c>
      <c r="C25" s="331">
        <f>SUM(C26:C40)</f>
        <v>8257490</v>
      </c>
      <c r="D25" s="332">
        <f aca="true" t="shared" si="1" ref="D25:D40">C25/$K$54</f>
        <v>0.006110612962908084</v>
      </c>
      <c r="E25" s="331">
        <f>SUM(E26:E40)</f>
        <v>15211206</v>
      </c>
      <c r="F25" s="332">
        <f aca="true" t="shared" si="2" ref="F25:F40">E25/$K$54</f>
        <v>0.01125642205622595</v>
      </c>
      <c r="G25" s="331">
        <f>SUM(G26:G40)</f>
        <v>69168245</v>
      </c>
      <c r="H25" s="332">
        <f aca="true" t="shared" si="3" ref="H25:H40">G25/$K$54</f>
        <v>0.0511850906896166</v>
      </c>
      <c r="I25" s="331"/>
      <c r="J25" s="332"/>
      <c r="K25" s="329">
        <f>SUM(G25,E25,C25,'- 12 -'!K25,'- 12 -'!I25,'- 12 -'!G25,'- 12 -'!E25,'- 12 -'!C25)</f>
        <v>132150874</v>
      </c>
      <c r="L25" s="332">
        <f aca="true" t="shared" si="4" ref="L25:L40">K25/$K$54</f>
        <v>0.0977927728309732</v>
      </c>
      <c r="N25" s="82" t="s">
        <v>62</v>
      </c>
      <c r="O25" s="101">
        <f>'- 12 -'!D54</f>
        <v>0.5860887687430237</v>
      </c>
    </row>
    <row r="26" spans="2:15" ht="12.75">
      <c r="B26" s="312" t="s">
        <v>273</v>
      </c>
      <c r="C26" s="329">
        <v>1767950</v>
      </c>
      <c r="D26" s="332">
        <f t="shared" si="1"/>
        <v>0.0013082980648808954</v>
      </c>
      <c r="E26" s="329">
        <v>933698</v>
      </c>
      <c r="F26" s="332">
        <f t="shared" si="2"/>
        <v>0.0006909444761351635</v>
      </c>
      <c r="G26" s="329">
        <v>2648592</v>
      </c>
      <c r="H26" s="332">
        <f t="shared" si="3"/>
        <v>0.001959980648920513</v>
      </c>
      <c r="I26" s="331"/>
      <c r="J26" s="332"/>
      <c r="K26" s="329">
        <f>SUM(G26,E26,C26,'- 12 -'!K26,'- 12 -'!I26,'- 12 -'!G26,'- 12 -'!E26,'- 12 -'!C26)</f>
        <v>17905819</v>
      </c>
      <c r="L26" s="332">
        <f t="shared" si="4"/>
        <v>0.013250458637296061</v>
      </c>
      <c r="N26" s="82" t="s">
        <v>63</v>
      </c>
      <c r="O26" s="101">
        <f>'- 12 -'!F54</f>
        <v>0.14029440326363204</v>
      </c>
    </row>
    <row r="27" spans="2:15" ht="12.75">
      <c r="B27" s="312" t="s">
        <v>274</v>
      </c>
      <c r="C27" s="329">
        <v>130152</v>
      </c>
      <c r="D27" s="332">
        <f t="shared" si="1"/>
        <v>9.631358903836551E-05</v>
      </c>
      <c r="E27" s="329">
        <v>204718</v>
      </c>
      <c r="F27" s="332">
        <f t="shared" si="2"/>
        <v>0.00015149306442279882</v>
      </c>
      <c r="G27" s="329">
        <v>499068</v>
      </c>
      <c r="H27" s="332">
        <f t="shared" si="3"/>
        <v>0.00036931457260894185</v>
      </c>
      <c r="I27" s="331"/>
      <c r="J27" s="332"/>
      <c r="K27" s="329">
        <f>SUM(G27,E27,C27,'- 12 -'!K27,'- 12 -'!I27,'- 12 -'!G27,'- 12 -'!E27,'- 12 -'!C27)</f>
        <v>5699888</v>
      </c>
      <c r="L27" s="332">
        <f t="shared" si="4"/>
        <v>0.00421796568932257</v>
      </c>
      <c r="N27" s="82" t="s">
        <v>445</v>
      </c>
      <c r="O27" s="101">
        <f>'- 12 -'!H54</f>
        <v>0.0023646655568142338</v>
      </c>
    </row>
    <row r="28" spans="2:15" ht="12.75">
      <c r="B28" s="312" t="s">
        <v>275</v>
      </c>
      <c r="C28" s="331"/>
      <c r="D28" s="332">
        <f t="shared" si="1"/>
        <v>0</v>
      </c>
      <c r="E28" s="331"/>
      <c r="F28" s="332">
        <f t="shared" si="2"/>
        <v>0</v>
      </c>
      <c r="G28" s="329">
        <v>39892975</v>
      </c>
      <c r="H28" s="332">
        <f t="shared" si="3"/>
        <v>0.029521141432077798</v>
      </c>
      <c r="I28" s="331"/>
      <c r="J28" s="332"/>
      <c r="K28" s="329">
        <f>SUM(G28,E28,C28,'- 12 -'!K28,'- 12 -'!I28,'- 12 -'!G28,'- 12 -'!E28,'- 12 -'!C28)</f>
        <v>39912375</v>
      </c>
      <c r="L28" s="332">
        <f t="shared" si="4"/>
        <v>0.02953549759738716</v>
      </c>
      <c r="M28" s="441" t="s">
        <v>458</v>
      </c>
      <c r="N28" s="82" t="s">
        <v>65</v>
      </c>
      <c r="O28" s="101">
        <f>'- 12 -'!J54</f>
        <v>0.006644973115995272</v>
      </c>
    </row>
    <row r="29" spans="2:15" ht="12.75" customHeight="1">
      <c r="B29" s="312" t="s">
        <v>276</v>
      </c>
      <c r="C29" s="329">
        <v>634084</v>
      </c>
      <c r="D29" s="332">
        <f t="shared" si="1"/>
        <v>0.00046922756309394366</v>
      </c>
      <c r="E29" s="329">
        <v>597077</v>
      </c>
      <c r="F29" s="332">
        <f t="shared" si="2"/>
        <v>0.000441842067753551</v>
      </c>
      <c r="G29" s="329">
        <v>692764</v>
      </c>
      <c r="H29" s="332">
        <f t="shared" si="3"/>
        <v>0.0005126512631121631</v>
      </c>
      <c r="I29" s="331"/>
      <c r="J29" s="332"/>
      <c r="K29" s="329">
        <f>SUM(G29,E29,C29,'- 12 -'!K29,'- 12 -'!I29,'- 12 -'!G29,'- 12 -'!E29,'- 12 -'!C29)</f>
        <v>7100364</v>
      </c>
      <c r="L29" s="332">
        <f t="shared" si="4"/>
        <v>0.005254329862920317</v>
      </c>
      <c r="M29" s="442"/>
      <c r="N29" s="82" t="s">
        <v>335</v>
      </c>
      <c r="O29" s="101">
        <f>'- 12 -'!L54</f>
        <v>0.03573993420566223</v>
      </c>
    </row>
    <row r="30" spans="2:15" ht="12.75" customHeight="1">
      <c r="B30" s="312" t="s">
        <v>277</v>
      </c>
      <c r="C30" s="331"/>
      <c r="D30" s="332">
        <f t="shared" si="1"/>
        <v>0</v>
      </c>
      <c r="E30" s="329">
        <v>10780102</v>
      </c>
      <c r="F30" s="332">
        <f t="shared" si="2"/>
        <v>0.007977367338340265</v>
      </c>
      <c r="G30" s="331"/>
      <c r="H30" s="332">
        <f t="shared" si="3"/>
        <v>0</v>
      </c>
      <c r="I30" s="331"/>
      <c r="J30" s="332"/>
      <c r="K30" s="329">
        <f>SUM(G30,E30,C30,'- 12 -'!K30,'- 12 -'!I30,'- 12 -'!G30,'- 12 -'!E30,'- 12 -'!C30)</f>
        <v>10780102</v>
      </c>
      <c r="L30" s="332">
        <f t="shared" si="4"/>
        <v>0.007977367338340265</v>
      </c>
      <c r="M30" s="442"/>
      <c r="N30" s="82" t="s">
        <v>322</v>
      </c>
      <c r="O30" s="101">
        <f>D54</f>
        <v>0.05044069374038321</v>
      </c>
    </row>
    <row r="31" spans="2:15" ht="12.75" customHeight="1">
      <c r="B31" s="312" t="s">
        <v>278</v>
      </c>
      <c r="C31" s="331"/>
      <c r="D31" s="332">
        <f t="shared" si="1"/>
        <v>0</v>
      </c>
      <c r="E31" s="331"/>
      <c r="F31" s="332">
        <f t="shared" si="2"/>
        <v>0</v>
      </c>
      <c r="G31" s="331"/>
      <c r="H31" s="332">
        <f t="shared" si="3"/>
        <v>0</v>
      </c>
      <c r="I31" s="331"/>
      <c r="J31" s="332"/>
      <c r="K31" s="329">
        <f>SUM(G31,E31,C31,'- 12 -'!K31,'- 12 -'!I31,'- 12 -'!G31,'- 12 -'!E31,'- 12 -'!C31)</f>
        <v>329800</v>
      </c>
      <c r="L31" s="332">
        <f t="shared" si="4"/>
        <v>0.00024405481025918115</v>
      </c>
      <c r="N31" s="82" t="s">
        <v>258</v>
      </c>
      <c r="O31" s="101">
        <f>F54</f>
        <v>0.040050107872347585</v>
      </c>
    </row>
    <row r="32" spans="2:15" ht="12.75" customHeight="1">
      <c r="B32" s="312" t="s">
        <v>279</v>
      </c>
      <c r="C32" s="329">
        <v>144353</v>
      </c>
      <c r="D32" s="332">
        <f t="shared" si="1"/>
        <v>0.0001068224500465239</v>
      </c>
      <c r="E32" s="331"/>
      <c r="F32" s="332">
        <f t="shared" si="2"/>
        <v>0</v>
      </c>
      <c r="G32" s="331"/>
      <c r="H32" s="332">
        <f t="shared" si="3"/>
        <v>0</v>
      </c>
      <c r="I32" s="331"/>
      <c r="J32" s="332"/>
      <c r="K32" s="329">
        <f>SUM(G32,E32,C32,'- 12 -'!K32,'- 12 -'!I32,'- 12 -'!G32,'- 12 -'!E32,'- 12 -'!C32)</f>
        <v>1383501</v>
      </c>
      <c r="L32" s="332">
        <f t="shared" si="4"/>
        <v>0.001023802528952054</v>
      </c>
      <c r="N32" s="82" t="s">
        <v>321</v>
      </c>
      <c r="O32" s="101">
        <f>H54</f>
        <v>0.12067326591225483</v>
      </c>
    </row>
    <row r="33" spans="2:15" ht="12.75" customHeight="1">
      <c r="B33" s="312" t="s">
        <v>280</v>
      </c>
      <c r="C33" s="329">
        <v>5798</v>
      </c>
      <c r="D33" s="332">
        <f t="shared" si="1"/>
        <v>4.2905694053448524E-06</v>
      </c>
      <c r="E33" s="329">
        <v>806037</v>
      </c>
      <c r="F33" s="332">
        <f t="shared" si="2"/>
        <v>0.0005964742483228611</v>
      </c>
      <c r="G33" s="329">
        <v>4383788</v>
      </c>
      <c r="H33" s="332">
        <f t="shared" si="3"/>
        <v>0.0032440404747012593</v>
      </c>
      <c r="I33" s="331"/>
      <c r="J33" s="332"/>
      <c r="K33" s="329">
        <f>SUM(G33,E33,C33,'- 12 -'!K33,'- 12 -'!I33,'- 12 -'!G33,'- 12 -'!E33,'- 12 -'!C33)</f>
        <v>5872396</v>
      </c>
      <c r="L33" s="332">
        <f t="shared" si="4"/>
        <v>0.004345623079280699</v>
      </c>
      <c r="N33" s="82" t="s">
        <v>68</v>
      </c>
      <c r="O33" s="101">
        <f>J54</f>
        <v>0.017703187589886867</v>
      </c>
    </row>
    <row r="34" spans="2:15" ht="12.75">
      <c r="B34" s="312" t="s">
        <v>281</v>
      </c>
      <c r="C34" s="329">
        <v>128431</v>
      </c>
      <c r="D34" s="332">
        <f t="shared" si="1"/>
        <v>9.504003437355032E-05</v>
      </c>
      <c r="E34" s="329">
        <v>1417816</v>
      </c>
      <c r="F34" s="332">
        <f t="shared" si="2"/>
        <v>0.0010491959213536422</v>
      </c>
      <c r="G34" s="329">
        <v>15072557</v>
      </c>
      <c r="H34" s="332">
        <f t="shared" si="3"/>
        <v>0.011153820614783786</v>
      </c>
      <c r="I34" s="331"/>
      <c r="J34" s="332"/>
      <c r="K34" s="329">
        <f>SUM(G34,E34,C34,'- 12 -'!K34,'- 12 -'!I34,'- 12 -'!G34,'- 12 -'!E34,'- 12 -'!C34)</f>
        <v>19721717</v>
      </c>
      <c r="L34" s="332">
        <f t="shared" si="4"/>
        <v>0.014594238630746718</v>
      </c>
      <c r="O34" s="101"/>
    </row>
    <row r="35" spans="2:15" ht="12.75">
      <c r="B35" s="312" t="s">
        <v>282</v>
      </c>
      <c r="C35" s="329">
        <v>75857</v>
      </c>
      <c r="D35" s="332">
        <f t="shared" si="1"/>
        <v>5.613482638517497E-05</v>
      </c>
      <c r="E35" s="329">
        <v>293858</v>
      </c>
      <c r="F35" s="332">
        <f t="shared" si="2"/>
        <v>0.00021745742399376124</v>
      </c>
      <c r="G35" s="329">
        <v>1498960</v>
      </c>
      <c r="H35" s="332">
        <f t="shared" si="3"/>
        <v>0.0011092431727898794</v>
      </c>
      <c r="I35" s="331"/>
      <c r="J35" s="332"/>
      <c r="K35" s="329">
        <f>SUM(G35,E35,C35,'- 12 -'!K35,'- 12 -'!I35,'- 12 -'!G35,'- 12 -'!E35,'- 12 -'!C35)</f>
        <v>5175085</v>
      </c>
      <c r="L35" s="332">
        <f t="shared" si="4"/>
        <v>0.0038296069974230883</v>
      </c>
      <c r="O35" s="101">
        <f>SUM(O25:O33)</f>
        <v>1</v>
      </c>
    </row>
    <row r="36" spans="1:12" ht="12.75">
      <c r="A36" s="151"/>
      <c r="B36" s="328" t="s">
        <v>283</v>
      </c>
      <c r="C36" s="331"/>
      <c r="D36" s="332">
        <f t="shared" si="1"/>
        <v>0</v>
      </c>
      <c r="E36" s="331"/>
      <c r="F36" s="332">
        <f t="shared" si="2"/>
        <v>0</v>
      </c>
      <c r="G36" s="329">
        <v>4264168</v>
      </c>
      <c r="H36" s="332">
        <f t="shared" si="3"/>
        <v>0.0031555206554071315</v>
      </c>
      <c r="I36" s="331"/>
      <c r="J36" s="332"/>
      <c r="K36" s="329">
        <f>SUM(G36,E36,C36,'- 12 -'!K36,'- 12 -'!I36,'- 12 -'!G36,'- 12 -'!E36,'- 12 -'!C36)</f>
        <v>4267168</v>
      </c>
      <c r="L36" s="332">
        <f t="shared" si="4"/>
        <v>0.0031577406809704354</v>
      </c>
    </row>
    <row r="37" spans="2:12" ht="12.75">
      <c r="B37" s="312" t="s">
        <v>284</v>
      </c>
      <c r="C37" s="329">
        <v>4500</v>
      </c>
      <c r="D37" s="332">
        <f>C37/K54</f>
        <v>3.3300383449554736E-06</v>
      </c>
      <c r="E37" s="329">
        <v>18050</v>
      </c>
      <c r="F37" s="332">
        <f>E37/K54</f>
        <v>1.3357153805876956E-05</v>
      </c>
      <c r="G37" s="329">
        <v>18975</v>
      </c>
      <c r="H37" s="332">
        <f>G37/K54</f>
        <v>1.404166168789558E-05</v>
      </c>
      <c r="I37" s="331"/>
      <c r="J37" s="332"/>
      <c r="K37" s="329">
        <f>SUM(G37,E37,C37,'- 12 -'!K37,'- 12 -'!I37,'- 12 -'!G37,'- 12 -'!E37,'- 12 -'!C37)</f>
        <v>1014567</v>
      </c>
      <c r="L37" s="332">
        <f t="shared" si="4"/>
        <v>0.0007507882252280978</v>
      </c>
    </row>
    <row r="38" spans="2:12" ht="12.75">
      <c r="B38" s="312" t="s">
        <v>285</v>
      </c>
      <c r="C38" s="329">
        <v>144898</v>
      </c>
      <c r="D38" s="332">
        <f t="shared" si="1"/>
        <v>0.00010722575469052405</v>
      </c>
      <c r="E38" s="329">
        <v>32450</v>
      </c>
      <c r="F38" s="332">
        <f t="shared" si="2"/>
        <v>2.401327650973447E-05</v>
      </c>
      <c r="G38" s="329">
        <v>36705</v>
      </c>
      <c r="H38" s="332">
        <f t="shared" si="3"/>
        <v>2.7162012767020146E-05</v>
      </c>
      <c r="I38" s="331"/>
      <c r="J38" s="332"/>
      <c r="K38" s="329">
        <f>SUM(G38,E38,C38,'- 12 -'!K38,'- 12 -'!I38,'- 12 -'!G38,'- 12 -'!E38,'- 12 -'!C38)</f>
        <v>2370914</v>
      </c>
      <c r="L38" s="332">
        <f t="shared" si="4"/>
        <v>0.0017544965627981693</v>
      </c>
    </row>
    <row r="39" spans="2:12" ht="12.75">
      <c r="B39" s="358" t="s">
        <v>342</v>
      </c>
      <c r="C39" s="331">
        <v>4866206</v>
      </c>
      <c r="D39" s="332">
        <f>C39/'- 13 -'!$K$54</f>
        <v>0.003601033905433866</v>
      </c>
      <c r="E39" s="331">
        <v>124150</v>
      </c>
      <c r="F39" s="332">
        <f>E39/'- 13 -'!$K$54</f>
        <v>9.187205789471602E-05</v>
      </c>
      <c r="G39" s="331">
        <v>133913</v>
      </c>
      <c r="H39" s="332">
        <f>G39/'- 13 -'!$K$54</f>
        <v>9.909676108622719E-05</v>
      </c>
      <c r="I39" s="331"/>
      <c r="J39" s="332"/>
      <c r="K39" s="329">
        <f>SUM(G39,E39,C39,'- 12 -'!K39,'- 12 -'!I39,'- 12 -'!G39,'- 12 -'!E39,'- 12 -'!C39)</f>
        <v>6452247</v>
      </c>
      <c r="L39" s="332">
        <f t="shared" si="4"/>
        <v>0.00477471776024976</v>
      </c>
    </row>
    <row r="40" spans="2:12" ht="12.75">
      <c r="B40" s="312" t="s">
        <v>286</v>
      </c>
      <c r="C40" s="329">
        <v>355261</v>
      </c>
      <c r="D40" s="332">
        <f t="shared" si="1"/>
        <v>0.00026289616721493925</v>
      </c>
      <c r="E40" s="329">
        <v>3250</v>
      </c>
      <c r="F40" s="332">
        <f t="shared" si="2"/>
        <v>2.405027693578953E-06</v>
      </c>
      <c r="G40" s="329">
        <v>25780</v>
      </c>
      <c r="H40" s="332">
        <f t="shared" si="3"/>
        <v>1.9077419673989358E-05</v>
      </c>
      <c r="I40" s="331"/>
      <c r="J40" s="332"/>
      <c r="K40" s="329">
        <f>SUM(G40,E40,C40,'- 12 -'!K40,'- 12 -'!I40,'- 12 -'!G40,'- 12 -'!E40,'- 12 -'!C40)</f>
        <v>4164931</v>
      </c>
      <c r="L40" s="332">
        <f t="shared" si="4"/>
        <v>0.0030820844297986105</v>
      </c>
    </row>
    <row r="41" spans="3:12" ht="4.5" customHeight="1">
      <c r="C41" s="333"/>
      <c r="D41" s="333"/>
      <c r="E41" s="333"/>
      <c r="F41" s="333"/>
      <c r="G41" s="333"/>
      <c r="H41" s="333"/>
      <c r="I41" s="333"/>
      <c r="J41" s="333"/>
      <c r="K41" s="333"/>
      <c r="L41" s="333"/>
    </row>
    <row r="42" spans="1:12" ht="12.75">
      <c r="A42" s="77">
        <v>700</v>
      </c>
      <c r="B42" s="335" t="s">
        <v>287</v>
      </c>
      <c r="C42" s="331">
        <f>SUM(C43:C47)</f>
        <v>6964334</v>
      </c>
      <c r="D42" s="332">
        <f aca="true" t="shared" si="5" ref="D42:D47">C42/$K$54</f>
        <v>0.005153666503794918</v>
      </c>
      <c r="E42" s="331">
        <f>SUM(E43:E47)</f>
        <v>11098645</v>
      </c>
      <c r="F42" s="332">
        <f aca="true" t="shared" si="6" ref="F42:F47">E42/$K$54</f>
        <v>0.00821309187267741</v>
      </c>
      <c r="G42" s="331">
        <f>SUM(G43:G47)</f>
        <v>14742580</v>
      </c>
      <c r="H42" s="332">
        <f aca="true" t="shared" si="7" ref="H42:H47">G42/$K$54</f>
        <v>0.01090963482301637</v>
      </c>
      <c r="I42" s="331"/>
      <c r="J42" s="332"/>
      <c r="K42" s="329">
        <f>SUM(G42,E42,C42,'- 12 -'!K42,'- 12 -'!I42,'- 12 -'!G42,'- 12 -'!E42,'- 12 -'!C42)</f>
        <v>91202428</v>
      </c>
      <c r="L42" s="332">
        <f aca="true" t="shared" si="8" ref="L42:L47">K42/$K$54</f>
        <v>0.06749057386512017</v>
      </c>
    </row>
    <row r="43" spans="2:12" ht="12.75">
      <c r="B43" s="312" t="s">
        <v>288</v>
      </c>
      <c r="C43" s="329">
        <v>3279431</v>
      </c>
      <c r="D43" s="332">
        <f t="shared" si="5"/>
        <v>0.002426806884363483</v>
      </c>
      <c r="E43" s="329">
        <v>10536827</v>
      </c>
      <c r="F43" s="332">
        <f t="shared" si="6"/>
        <v>0.007797341765369366</v>
      </c>
      <c r="G43" s="329">
        <v>12666214</v>
      </c>
      <c r="H43" s="332">
        <f t="shared" si="7"/>
        <v>0.009373106290091523</v>
      </c>
      <c r="I43" s="331"/>
      <c r="J43" s="332"/>
      <c r="K43" s="329">
        <f>SUM(G43,E43,C43,'- 12 -'!K43,'- 12 -'!I43,'- 12 -'!G43,'- 12 -'!E43,'- 12 -'!C43)</f>
        <v>51757350</v>
      </c>
      <c r="L43" s="332">
        <f t="shared" si="8"/>
        <v>0.03830088002961804</v>
      </c>
    </row>
    <row r="44" spans="2:12" ht="12.75">
      <c r="B44" s="312" t="s">
        <v>348</v>
      </c>
      <c r="C44" s="329">
        <v>2983530</v>
      </c>
      <c r="D44" s="332">
        <f t="shared" si="5"/>
        <v>0.002207837622961112</v>
      </c>
      <c r="E44" s="329">
        <v>22725</v>
      </c>
      <c r="F44" s="332">
        <f t="shared" si="6"/>
        <v>1.681669364202514E-05</v>
      </c>
      <c r="G44" s="329">
        <v>10550</v>
      </c>
      <c r="H44" s="332">
        <f t="shared" si="7"/>
        <v>7.807089897617833E-06</v>
      </c>
      <c r="I44" s="331"/>
      <c r="J44" s="332"/>
      <c r="K44" s="329">
        <f>SUM(G44,E44,C44,'- 12 -'!K44,'- 12 -'!I44,'- 12 -'!G44,'- 12 -'!E44,'- 12 -'!C44)</f>
        <v>14082783</v>
      </c>
      <c r="L44" s="332">
        <f t="shared" si="8"/>
        <v>0.010421379420819351</v>
      </c>
    </row>
    <row r="45" spans="2:12" ht="12.75">
      <c r="B45" s="312" t="s">
        <v>289</v>
      </c>
      <c r="C45" s="329">
        <v>224555</v>
      </c>
      <c r="D45" s="332">
        <f t="shared" si="5"/>
        <v>0.00016617261345588363</v>
      </c>
      <c r="E45" s="329">
        <v>514393</v>
      </c>
      <c r="F45" s="332">
        <f t="shared" si="6"/>
        <v>0.000380655203194818</v>
      </c>
      <c r="G45" s="329">
        <v>2013016</v>
      </c>
      <c r="H45" s="332">
        <f t="shared" si="7"/>
        <v>0.0014896489931130862</v>
      </c>
      <c r="I45" s="331"/>
      <c r="J45" s="332"/>
      <c r="K45" s="329">
        <f>SUM(G45,E45,C45,'- 12 -'!K45,'- 12 -'!I45,'- 12 -'!G45,'- 12 -'!E45,'- 12 -'!C45)</f>
        <v>11248042</v>
      </c>
      <c r="L45" s="332">
        <f t="shared" si="8"/>
        <v>0.008323646925704368</v>
      </c>
    </row>
    <row r="46" spans="2:12" ht="12.75">
      <c r="B46" s="312" t="s">
        <v>290</v>
      </c>
      <c r="C46" s="331"/>
      <c r="D46" s="332">
        <f t="shared" si="5"/>
        <v>0</v>
      </c>
      <c r="E46" s="329">
        <v>0</v>
      </c>
      <c r="F46" s="332">
        <f t="shared" si="6"/>
        <v>0</v>
      </c>
      <c r="G46" s="329">
        <v>10000</v>
      </c>
      <c r="H46" s="332">
        <f t="shared" si="7"/>
        <v>7.400085211012164E-06</v>
      </c>
      <c r="I46" s="331"/>
      <c r="J46" s="332"/>
      <c r="K46" s="329">
        <f>SUM(G46,E46,C46,'- 12 -'!K46,'- 12 -'!I46,'- 12 -'!G46,'- 12 -'!E46,'- 12 -'!C46)</f>
        <v>30000</v>
      </c>
      <c r="L46" s="332">
        <f t="shared" si="8"/>
        <v>2.2200255633036492E-05</v>
      </c>
    </row>
    <row r="47" spans="2:12" ht="12.75">
      <c r="B47" s="312" t="s">
        <v>291</v>
      </c>
      <c r="C47" s="329">
        <v>476818</v>
      </c>
      <c r="D47" s="332">
        <f t="shared" si="5"/>
        <v>0.0003528493830144398</v>
      </c>
      <c r="E47" s="329">
        <v>24700</v>
      </c>
      <c r="F47" s="332">
        <f t="shared" si="6"/>
        <v>1.8278210471200046E-05</v>
      </c>
      <c r="G47" s="329">
        <v>42800</v>
      </c>
      <c r="H47" s="332">
        <f t="shared" si="7"/>
        <v>3.167236470313206E-05</v>
      </c>
      <c r="I47" s="331"/>
      <c r="J47" s="332"/>
      <c r="K47" s="329">
        <f>SUM(G47,E47,C47,'- 12 -'!K47,'- 12 -'!I47,'- 12 -'!G47,'- 12 -'!E47,'- 12 -'!C47)</f>
        <v>14084253</v>
      </c>
      <c r="L47" s="332">
        <f t="shared" si="8"/>
        <v>0.01042246723334537</v>
      </c>
    </row>
    <row r="48" spans="3:12" ht="4.5" customHeight="1">
      <c r="C48" s="333"/>
      <c r="D48" s="333"/>
      <c r="E48" s="333"/>
      <c r="F48" s="333"/>
      <c r="G48" s="333"/>
      <c r="H48" s="333"/>
      <c r="I48" s="333"/>
      <c r="J48" s="333"/>
      <c r="K48" s="333"/>
      <c r="L48" s="333"/>
    </row>
    <row r="49" spans="1:12" ht="12.75">
      <c r="A49" s="77">
        <v>900</v>
      </c>
      <c r="B49" s="335" t="s">
        <v>114</v>
      </c>
      <c r="C49" s="331"/>
      <c r="D49" s="332"/>
      <c r="E49" s="331"/>
      <c r="F49" s="332"/>
      <c r="G49" s="331"/>
      <c r="H49" s="332"/>
      <c r="I49" s="331">
        <f>SUM(I50:I52)</f>
        <v>23922951</v>
      </c>
      <c r="J49" s="332">
        <f>I49/$K$54</f>
        <v>0.017703187589886867</v>
      </c>
      <c r="K49" s="331">
        <f>SUM(I49,E49)</f>
        <v>23922951</v>
      </c>
      <c r="L49" s="332">
        <f>K49/$K$54</f>
        <v>0.017703187589886867</v>
      </c>
    </row>
    <row r="50" spans="2:12" ht="12.75">
      <c r="B50" s="312" t="s">
        <v>292</v>
      </c>
      <c r="C50" s="331"/>
      <c r="D50" s="332"/>
      <c r="E50" s="331"/>
      <c r="F50" s="332"/>
      <c r="G50" s="331"/>
      <c r="H50" s="332"/>
      <c r="I50" s="331">
        <f>'- 10 -'!G27</f>
        <v>2661092</v>
      </c>
      <c r="J50" s="332">
        <f>I50/$K$54</f>
        <v>0.0019692307554342783</v>
      </c>
      <c r="K50" s="331">
        <f>I50</f>
        <v>2661092</v>
      </c>
      <c r="L50" s="332">
        <f>K50/$K$54</f>
        <v>0.0019692307554342783</v>
      </c>
    </row>
    <row r="51" spans="2:12" ht="12.75">
      <c r="B51" s="312" t="s">
        <v>293</v>
      </c>
      <c r="C51" s="331"/>
      <c r="D51" s="332"/>
      <c r="E51" s="331"/>
      <c r="F51" s="332"/>
      <c r="G51" s="331"/>
      <c r="H51" s="332"/>
      <c r="I51" s="331">
        <f>'- 10 -'!H27</f>
        <v>21261859</v>
      </c>
      <c r="J51" s="332">
        <f>I51/$K$54</f>
        <v>0.015733956834452587</v>
      </c>
      <c r="K51" s="331">
        <f>I51</f>
        <v>21261859</v>
      </c>
      <c r="L51" s="332">
        <f>K51/$K$54</f>
        <v>0.015733956834452587</v>
      </c>
    </row>
    <row r="52" spans="2:12" ht="12.75">
      <c r="B52" s="312" t="s">
        <v>294</v>
      </c>
      <c r="C52" s="331"/>
      <c r="D52" s="332"/>
      <c r="E52" s="331"/>
      <c r="F52" s="332"/>
      <c r="G52" s="331"/>
      <c r="H52" s="332"/>
      <c r="I52" s="331"/>
      <c r="J52" s="332"/>
      <c r="K52" s="331"/>
      <c r="L52" s="332"/>
    </row>
    <row r="53" spans="3:12" ht="4.5" customHeight="1">
      <c r="C53" s="151"/>
      <c r="D53" s="226"/>
      <c r="E53" s="151"/>
      <c r="F53" s="226"/>
      <c r="G53" s="151"/>
      <c r="H53" s="226"/>
      <c r="I53" s="151"/>
      <c r="J53" s="226"/>
      <c r="K53" s="151"/>
      <c r="L53" s="151"/>
    </row>
    <row r="54" spans="2:12" ht="12.75">
      <c r="B54" s="291" t="s">
        <v>295</v>
      </c>
      <c r="C54" s="292">
        <f>SUM(C49,C42,C25,C23,C13)</f>
        <v>68162314.75999999</v>
      </c>
      <c r="D54" s="293">
        <f>C54/$K$54</f>
        <v>0.05044069374038321</v>
      </c>
      <c r="E54" s="292">
        <f>SUM(E49,E42,E25,E23,E13)</f>
        <v>54121144.19</v>
      </c>
      <c r="F54" s="293">
        <f>E54/$K$54</f>
        <v>0.040050107872347585</v>
      </c>
      <c r="G54" s="292">
        <f>SUM(G49,G42,G25,G23,G13)</f>
        <v>163070103.21</v>
      </c>
      <c r="H54" s="293">
        <f>G54/$K$54</f>
        <v>0.12067326591225483</v>
      </c>
      <c r="I54" s="292">
        <f>SUM(I49,I42,I25,I23,I13)</f>
        <v>23922951</v>
      </c>
      <c r="J54" s="293">
        <f>I54/$K$54</f>
        <v>0.017703187589886867</v>
      </c>
      <c r="K54" s="292">
        <f>SUM(K49,K42,K25,K23,K13)</f>
        <v>1351335790.7175</v>
      </c>
      <c r="L54" s="293">
        <f>K54/$K$54</f>
        <v>1</v>
      </c>
    </row>
    <row r="55" ht="6" customHeight="1"/>
  </sheetData>
  <mergeCells count="1">
    <mergeCell ref="M28:M30"/>
  </mergeCells>
  <printOptions verticalCentered="1"/>
  <pageMargins left="0.5" right="0" top="0.3" bottom="0.3" header="0" footer="0"/>
  <pageSetup fitToHeight="1" fitToWidth="1" horizontalDpi="300" verticalDpi="300" orientation="landscape" scale="83"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2.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4.83203125" style="82" customWidth="1"/>
    <col min="10" max="10" width="7.83203125" style="82" customWidth="1"/>
    <col min="11" max="11" width="9.83203125" style="82" customWidth="1"/>
    <col min="12" max="16384" width="15.83203125" style="82" customWidth="1"/>
  </cols>
  <sheetData>
    <row r="1" spans="1:11" ht="6.75" customHeight="1">
      <c r="A1" s="18"/>
      <c r="B1" s="22"/>
      <c r="C1" s="57"/>
      <c r="D1" s="57"/>
      <c r="E1" s="57"/>
      <c r="F1" s="57"/>
      <c r="G1" s="57"/>
      <c r="H1" s="57"/>
      <c r="I1" s="57"/>
      <c r="J1" s="57"/>
      <c r="K1" s="57"/>
    </row>
    <row r="2" spans="1:11" ht="12.75">
      <c r="A2" s="9"/>
      <c r="B2" s="24"/>
      <c r="C2" s="58" t="s">
        <v>1</v>
      </c>
      <c r="D2" s="58"/>
      <c r="E2" s="58"/>
      <c r="F2" s="58"/>
      <c r="G2" s="58"/>
      <c r="H2" s="58"/>
      <c r="I2" s="59"/>
      <c r="J2" s="60"/>
      <c r="K2" s="61" t="s">
        <v>2</v>
      </c>
    </row>
    <row r="3" spans="1:11" ht="12.75">
      <c r="A3" s="10"/>
      <c r="B3" s="28"/>
      <c r="C3" s="62" t="str">
        <f>YEAR</f>
        <v>OPERATING FUND BUDGET 2002/2003</v>
      </c>
      <c r="D3" s="62"/>
      <c r="E3" s="62"/>
      <c r="F3" s="62"/>
      <c r="G3" s="62"/>
      <c r="H3" s="62"/>
      <c r="I3" s="63"/>
      <c r="J3" s="64"/>
      <c r="K3" s="64"/>
    </row>
    <row r="4" spans="1:11" ht="12.75">
      <c r="A4" s="11"/>
      <c r="B4" s="18"/>
      <c r="C4" s="57"/>
      <c r="D4" s="57"/>
      <c r="E4" s="57"/>
      <c r="F4" s="57"/>
      <c r="G4" s="57"/>
      <c r="H4" s="57"/>
      <c r="I4" s="57"/>
      <c r="J4" s="57"/>
      <c r="K4"/>
    </row>
    <row r="5" spans="1:11" ht="12.75">
      <c r="A5" s="11"/>
      <c r="B5" s="18"/>
      <c r="C5" s="57"/>
      <c r="D5" s="57"/>
      <c r="E5" s="57"/>
      <c r="F5" s="57"/>
      <c r="G5" s="57"/>
      <c r="H5" s="57"/>
      <c r="I5" s="57"/>
      <c r="J5" s="57"/>
      <c r="K5"/>
    </row>
    <row r="6" spans="1:11" ht="12.75">
      <c r="A6" s="11"/>
      <c r="B6" s="18"/>
      <c r="C6" s="65"/>
      <c r="D6" s="66"/>
      <c r="E6" s="67"/>
      <c r="F6" s="68"/>
      <c r="G6" s="66"/>
      <c r="H6" s="67"/>
      <c r="I6" s="68" t="s">
        <v>420</v>
      </c>
      <c r="J6" s="66"/>
      <c r="K6" s="67"/>
    </row>
    <row r="7" spans="1:11" ht="16.5">
      <c r="A7" s="18"/>
      <c r="B7" s="18"/>
      <c r="C7" s="69" t="s">
        <v>62</v>
      </c>
      <c r="D7" s="70"/>
      <c r="E7" s="71"/>
      <c r="F7" s="69" t="s">
        <v>63</v>
      </c>
      <c r="G7" s="70"/>
      <c r="H7" s="71"/>
      <c r="I7" s="69" t="s">
        <v>460</v>
      </c>
      <c r="J7" s="70"/>
      <c r="K7" s="71"/>
    </row>
    <row r="8" spans="1:11" ht="12.75">
      <c r="A8" s="45"/>
      <c r="B8" s="46"/>
      <c r="C8" s="74" t="s">
        <v>3</v>
      </c>
      <c r="D8" s="72"/>
      <c r="E8" s="73" t="s">
        <v>75</v>
      </c>
      <c r="F8" s="74"/>
      <c r="G8" s="73"/>
      <c r="H8" s="73" t="s">
        <v>75</v>
      </c>
      <c r="I8" s="74"/>
      <c r="J8" s="73"/>
      <c r="K8" s="73" t="s">
        <v>75</v>
      </c>
    </row>
    <row r="9" spans="1:11" ht="12.75">
      <c r="A9" s="52" t="s">
        <v>100</v>
      </c>
      <c r="B9" s="53" t="s">
        <v>101</v>
      </c>
      <c r="C9" s="76" t="s">
        <v>102</v>
      </c>
      <c r="D9" s="76" t="s">
        <v>103</v>
      </c>
      <c r="E9" s="76" t="s">
        <v>104</v>
      </c>
      <c r="F9" s="76" t="s">
        <v>102</v>
      </c>
      <c r="G9" s="76" t="s">
        <v>103</v>
      </c>
      <c r="H9" s="76" t="s">
        <v>104</v>
      </c>
      <c r="I9" s="76" t="s">
        <v>102</v>
      </c>
      <c r="J9" s="76" t="s">
        <v>103</v>
      </c>
      <c r="K9" s="76" t="s">
        <v>104</v>
      </c>
    </row>
    <row r="10" spans="1:11" ht="4.5" customHeight="1">
      <c r="A10" s="77"/>
      <c r="B10" s="77"/>
      <c r="C10" s="18"/>
      <c r="D10" s="18"/>
      <c r="E10" s="18"/>
      <c r="F10" s="18"/>
      <c r="G10" s="18"/>
      <c r="H10" s="18"/>
      <c r="I10" s="18"/>
      <c r="J10" s="18"/>
      <c r="K10" s="18"/>
    </row>
    <row r="11" spans="1:11" ht="12.75">
      <c r="A11" s="14">
        <v>1</v>
      </c>
      <c r="B11" s="15" t="s">
        <v>115</v>
      </c>
      <c r="C11" s="408">
        <f>SUM('- 18 -'!C11,'- 18 -'!F11,'- 19 -'!C11,'- 19 -'!F11,'- 19 -'!I11,'- 20 -'!C11)</f>
        <v>137790900</v>
      </c>
      <c r="D11" s="360">
        <f>C11/'- 3 -'!E11</f>
        <v>0.5421476840148334</v>
      </c>
      <c r="E11" s="15">
        <f>C11/'- 7 -'!D11</f>
        <v>4609.007894032647</v>
      </c>
      <c r="F11" s="408">
        <f>SUM('- 21 -'!C11,'- 21 -'!F11,'- 21 -'!I11,'- 22 -'!C11,'- 22 -'!F11,'- 22 -'!I11)</f>
        <v>49339900</v>
      </c>
      <c r="G11" s="360">
        <f>F11/'- 3 -'!E11</f>
        <v>0.1941311981743604</v>
      </c>
      <c r="H11" s="15">
        <f>F11/'- 7 -'!G11</f>
        <v>1595.830907561938</v>
      </c>
      <c r="I11" s="408">
        <f>SUM('- 23 -'!F11,'- 23 -'!C11)</f>
        <v>0</v>
      </c>
      <c r="J11" s="360">
        <f>I11/'- 3 -'!E11</f>
        <v>0</v>
      </c>
      <c r="K11" s="15">
        <f>IF(AND(I11&gt;0,'- 7 -'!I11=0),"N/A ",IF(I11&gt;0,I11/'- 7 -'!I11,0))</f>
        <v>0</v>
      </c>
    </row>
    <row r="12" spans="1:11" ht="12.75">
      <c r="A12" s="16">
        <v>2</v>
      </c>
      <c r="B12" s="17" t="s">
        <v>116</v>
      </c>
      <c r="C12" s="17">
        <f>SUM('- 18 -'!C12,'- 18 -'!F12,'- 19 -'!C12,'- 19 -'!F12,'- 19 -'!I12,'- 20 -'!C12)</f>
        <v>41033411</v>
      </c>
      <c r="D12" s="361">
        <f>C12/'- 3 -'!E12</f>
        <v>0.6532736014197545</v>
      </c>
      <c r="E12" s="17">
        <f>C12/'- 7 -'!D12</f>
        <v>4545.671281012793</v>
      </c>
      <c r="F12" s="17">
        <f>SUM('- 21 -'!C12,'- 21 -'!F12,'- 21 -'!I12,'- 22 -'!C12,'- 22 -'!F12,'- 22 -'!I12)</f>
        <v>7432272</v>
      </c>
      <c r="G12" s="361">
        <f>F12/'- 3 -'!E12</f>
        <v>0.11832570039500742</v>
      </c>
      <c r="H12" s="17">
        <f>F12/'- 7 -'!G12</f>
        <v>812.6431804762842</v>
      </c>
      <c r="I12" s="17">
        <f>SUM('- 23 -'!F12,'- 23 -'!C12)</f>
        <v>0</v>
      </c>
      <c r="J12" s="361">
        <f>I12/'- 3 -'!E12</f>
        <v>0</v>
      </c>
      <c r="K12" s="17">
        <f>IF(AND(I12&gt;0,'- 7 -'!I12=0),"N/A ",IF(I12&gt;0,I12/'- 7 -'!I12,0))</f>
        <v>0</v>
      </c>
    </row>
    <row r="13" spans="1:11" ht="12.75">
      <c r="A13" s="14">
        <v>3</v>
      </c>
      <c r="B13" s="15" t="s">
        <v>117</v>
      </c>
      <c r="C13" s="15">
        <f>SUM('- 18 -'!C13,'- 18 -'!F13,'- 19 -'!C13,'- 19 -'!F13,'- 19 -'!I13,'- 20 -'!C13)</f>
        <v>26325274</v>
      </c>
      <c r="D13" s="360">
        <f>C13/'- 3 -'!E13</f>
        <v>0.5938751255922842</v>
      </c>
      <c r="E13" s="15">
        <f>C13/'- 7 -'!D13</f>
        <v>4581.8943521016445</v>
      </c>
      <c r="F13" s="15">
        <f>SUM('- 21 -'!C13,'- 21 -'!F13,'- 21 -'!I13,'- 22 -'!C13,'- 22 -'!F13,'- 22 -'!I13)</f>
        <v>6883560</v>
      </c>
      <c r="G13" s="360">
        <f>F13/'- 3 -'!E13</f>
        <v>0.15528708493298202</v>
      </c>
      <c r="H13" s="15">
        <f>F13/'- 7 -'!G13</f>
        <v>1198.0784962144287</v>
      </c>
      <c r="I13" s="15">
        <f>SUM('- 23 -'!F13,'- 23 -'!C13)</f>
        <v>0</v>
      </c>
      <c r="J13" s="360">
        <f>I13/'- 3 -'!E13</f>
        <v>0</v>
      </c>
      <c r="K13" s="15">
        <f>IF(AND(I13&gt;0,'- 7 -'!I13=0),"N/A ",IF(I13&gt;0,I13/'- 7 -'!I13,0))</f>
        <v>0</v>
      </c>
    </row>
    <row r="14" spans="1:11" ht="12.75">
      <c r="A14" s="16">
        <v>4</v>
      </c>
      <c r="B14" s="17" t="s">
        <v>118</v>
      </c>
      <c r="C14" s="17">
        <f>SUM('- 18 -'!C14,'- 18 -'!F14,'- 19 -'!C14,'- 19 -'!F14,'- 19 -'!I14,'- 20 -'!C14)</f>
        <v>25985614</v>
      </c>
      <c r="D14" s="361">
        <f>C14/'- 3 -'!E14</f>
        <v>0.5967038979516007</v>
      </c>
      <c r="E14" s="17">
        <f>C14/'- 7 -'!D14</f>
        <v>4248.097760340036</v>
      </c>
      <c r="F14" s="17">
        <f>SUM('- 21 -'!C14,'- 21 -'!F14,'- 21 -'!I14,'- 22 -'!C14,'- 22 -'!F14,'- 22 -'!I14)</f>
        <v>6559678</v>
      </c>
      <c r="G14" s="361">
        <f>F14/'- 3 -'!E14</f>
        <v>0.15062893768480362</v>
      </c>
      <c r="H14" s="17">
        <f>F14/'- 7 -'!G14</f>
        <v>1053.0868518221223</v>
      </c>
      <c r="I14" s="17">
        <f>SUM('- 23 -'!F14,'- 23 -'!C14)</f>
        <v>0</v>
      </c>
      <c r="J14" s="361">
        <f>I14/'- 3 -'!E14</f>
        <v>0</v>
      </c>
      <c r="K14" s="17">
        <f>IF(AND(I14&gt;0,'- 7 -'!I14=0),"N/A ",IF(I14&gt;0,I14/'- 7 -'!I14,0))</f>
        <v>0</v>
      </c>
    </row>
    <row r="15" spans="1:11" ht="12.75">
      <c r="A15" s="14">
        <v>5</v>
      </c>
      <c r="B15" s="15" t="s">
        <v>119</v>
      </c>
      <c r="C15" s="15">
        <f>SUM('- 18 -'!C15,'- 18 -'!F15,'- 19 -'!C15,'- 19 -'!F15,'- 19 -'!I15,'- 20 -'!C15)</f>
        <v>33587179</v>
      </c>
      <c r="D15" s="360">
        <f>C15/'- 3 -'!E15</f>
        <v>0.6196177303479407</v>
      </c>
      <c r="E15" s="15">
        <f>C15/'- 7 -'!D15</f>
        <v>4674.950100911685</v>
      </c>
      <c r="F15" s="15">
        <f>SUM('- 21 -'!C15,'- 21 -'!F15,'- 21 -'!I15,'- 22 -'!C15,'- 22 -'!F15,'- 22 -'!I15)</f>
        <v>7201438</v>
      </c>
      <c r="G15" s="360">
        <f>F15/'- 3 -'!E15</f>
        <v>0.1328524395812287</v>
      </c>
      <c r="H15" s="15">
        <f>F15/'- 7 -'!G15</f>
        <v>996.2562080652971</v>
      </c>
      <c r="I15" s="15">
        <f>SUM('- 23 -'!F15,'- 23 -'!C15)</f>
        <v>0</v>
      </c>
      <c r="J15" s="360">
        <f>I15/'- 3 -'!E15</f>
        <v>0</v>
      </c>
      <c r="K15" s="15">
        <f>IF(AND(I15&gt;0,'- 7 -'!I15=0),"N/A ",IF(I15&gt;0,I15/'- 7 -'!I15,0))</f>
        <v>0</v>
      </c>
    </row>
    <row r="16" spans="1:11" ht="12.75">
      <c r="A16" s="16">
        <v>6</v>
      </c>
      <c r="B16" s="17" t="s">
        <v>120</v>
      </c>
      <c r="C16" s="17">
        <f>SUM('- 18 -'!C16,'- 18 -'!F16,'- 19 -'!C16,'- 19 -'!F16,'- 19 -'!I16,'- 20 -'!C16)</f>
        <v>37758003</v>
      </c>
      <c r="D16" s="361">
        <f>C16/'- 3 -'!E16</f>
        <v>0.6059202729147626</v>
      </c>
      <c r="E16" s="17">
        <f>C16/'- 7 -'!D16</f>
        <v>4284.596085106383</v>
      </c>
      <c r="F16" s="17">
        <f>SUM('- 21 -'!C16,'- 21 -'!F16,'- 21 -'!I16,'- 22 -'!C16,'- 22 -'!F16,'- 22 -'!I16)</f>
        <v>8447375</v>
      </c>
      <c r="G16" s="361">
        <f>F16/'- 3 -'!E16</f>
        <v>0.13555896389470976</v>
      </c>
      <c r="H16" s="17">
        <f>F16/'- 7 -'!G16</f>
        <v>950.478199718706</v>
      </c>
      <c r="I16" s="17">
        <f>SUM('- 23 -'!F16,'- 23 -'!C16)</f>
        <v>0</v>
      </c>
      <c r="J16" s="361">
        <f>I16/'- 3 -'!E16</f>
        <v>0</v>
      </c>
      <c r="K16" s="17">
        <f>IF(AND(I16&gt;0,'- 7 -'!I16=0),"N/A ",IF(I16&gt;0,I16/'- 7 -'!I16,0))</f>
        <v>0</v>
      </c>
    </row>
    <row r="17" spans="1:11" ht="12.75">
      <c r="A17" s="14">
        <v>9</v>
      </c>
      <c r="B17" s="15" t="s">
        <v>121</v>
      </c>
      <c r="C17" s="15">
        <f>SUM('- 18 -'!C17,'- 18 -'!F17,'- 19 -'!C17,'- 19 -'!F17,'- 19 -'!I17,'- 20 -'!C17)</f>
        <v>51424971</v>
      </c>
      <c r="D17" s="360">
        <f>C17/'- 3 -'!E17</f>
        <v>0.6130352016395807</v>
      </c>
      <c r="E17" s="15">
        <f>C17/'- 7 -'!D17</f>
        <v>4207.918419114639</v>
      </c>
      <c r="F17" s="15">
        <f>SUM('- 21 -'!C17,'- 21 -'!F17,'- 21 -'!I17,'- 22 -'!C17,'- 22 -'!F17,'- 22 -'!I17)</f>
        <v>11775525</v>
      </c>
      <c r="G17" s="360">
        <f>F17/'- 3 -'!E17</f>
        <v>0.14037560357179246</v>
      </c>
      <c r="H17" s="15">
        <f>F17/'- 7 -'!G17</f>
        <v>949.2563482466747</v>
      </c>
      <c r="I17" s="15">
        <f>SUM('- 23 -'!F17,'- 23 -'!C17)</f>
        <v>0</v>
      </c>
      <c r="J17" s="360">
        <f>I17/'- 3 -'!E17</f>
        <v>0</v>
      </c>
      <c r="K17" s="15">
        <f>IF(AND(I17&gt;0,'- 7 -'!I17=0),"N/A ",IF(I17&gt;0,I17/'- 7 -'!I17,0))</f>
        <v>0</v>
      </c>
    </row>
    <row r="18" spans="1:11" ht="12.75">
      <c r="A18" s="16">
        <v>10</v>
      </c>
      <c r="B18" s="17" t="s">
        <v>122</v>
      </c>
      <c r="C18" s="17">
        <f>SUM('- 18 -'!C18,'- 18 -'!F18,'- 19 -'!C18,'- 19 -'!F18,'- 19 -'!I18,'- 20 -'!C18)</f>
        <v>38166223</v>
      </c>
      <c r="D18" s="361">
        <f>C18/'- 3 -'!E18</f>
        <v>0.6161171335691555</v>
      </c>
      <c r="E18" s="17">
        <f>C18/'- 7 -'!D18</f>
        <v>4444.910382577302</v>
      </c>
      <c r="F18" s="17">
        <f>SUM('- 21 -'!C18,'- 21 -'!F18,'- 21 -'!I18,'- 22 -'!C18,'- 22 -'!F18,'- 22 -'!I18)</f>
        <v>8135101</v>
      </c>
      <c r="G18" s="361">
        <f>F18/'- 3 -'!E18</f>
        <v>0.13132489189238272</v>
      </c>
      <c r="H18" s="17">
        <f>F18/'- 7 -'!G18</f>
        <v>943.2547973795582</v>
      </c>
      <c r="I18" s="17">
        <f>SUM('- 23 -'!F18,'- 23 -'!C18)</f>
        <v>0</v>
      </c>
      <c r="J18" s="361">
        <f>I18/'- 3 -'!E18</f>
        <v>0</v>
      </c>
      <c r="K18" s="17">
        <f>IF(AND(I18&gt;0,'- 7 -'!I18=0),"N/A ",IF(I18&gt;0,I18/'- 7 -'!I18,0))</f>
        <v>0</v>
      </c>
    </row>
    <row r="19" spans="1:11" ht="12.75">
      <c r="A19" s="14">
        <v>11</v>
      </c>
      <c r="B19" s="15" t="s">
        <v>123</v>
      </c>
      <c r="C19" s="15">
        <f>SUM('- 18 -'!C19,'- 18 -'!F19,'- 19 -'!C19,'- 19 -'!F19,'- 19 -'!I19,'- 20 -'!C19)</f>
        <v>20504030</v>
      </c>
      <c r="D19" s="360">
        <f>C19/'- 3 -'!E19</f>
        <v>0.6147465808069467</v>
      </c>
      <c r="E19" s="15">
        <f>C19/'- 7 -'!D19</f>
        <v>4377.461571306576</v>
      </c>
      <c r="F19" s="15">
        <f>SUM('- 21 -'!C19,'- 21 -'!F19,'- 21 -'!I19,'- 22 -'!C19,'- 22 -'!F19,'- 22 -'!I19)</f>
        <v>4116640</v>
      </c>
      <c r="G19" s="360">
        <f>F19/'- 3 -'!E19</f>
        <v>0.1234240470977222</v>
      </c>
      <c r="H19" s="15">
        <f>F19/'- 7 -'!G19</f>
        <v>876.440281030445</v>
      </c>
      <c r="I19" s="15">
        <f>SUM('- 23 -'!F19,'- 23 -'!C19)</f>
        <v>238720</v>
      </c>
      <c r="J19" s="360">
        <f>I19/'- 3 -'!E19</f>
        <v>0.007157241955373373</v>
      </c>
      <c r="K19" s="15">
        <f>IF(AND(I19&gt;0,'- 7 -'!I19=0),"N/A ",IF(I19&gt;0,I19/'- 7 -'!I19,0))</f>
        <v>2057.9310344827586</v>
      </c>
    </row>
    <row r="20" spans="1:11" ht="12.75">
      <c r="A20" s="16">
        <v>12</v>
      </c>
      <c r="B20" s="17" t="s">
        <v>124</v>
      </c>
      <c r="C20" s="17">
        <f>SUM('- 18 -'!C20,'- 18 -'!F20,'- 19 -'!C20,'- 19 -'!F20,'- 19 -'!I20,'- 20 -'!C20)</f>
        <v>32378532</v>
      </c>
      <c r="D20" s="361">
        <f>C20/'- 3 -'!E20</f>
        <v>0.6185086030844615</v>
      </c>
      <c r="E20" s="17">
        <f>C20/'- 7 -'!D20</f>
        <v>4259.212312549329</v>
      </c>
      <c r="F20" s="17">
        <f>SUM('- 21 -'!C20,'- 21 -'!F20,'- 21 -'!I20,'- 22 -'!C20,'- 22 -'!F20,'- 22 -'!I20)</f>
        <v>7415144</v>
      </c>
      <c r="G20" s="361">
        <f>F20/'- 3 -'!E20</f>
        <v>0.14164726050922033</v>
      </c>
      <c r="H20" s="17">
        <f>F20/'- 7 -'!G20</f>
        <v>971.3314121037464</v>
      </c>
      <c r="I20" s="17">
        <f>SUM('- 23 -'!F20,'- 23 -'!C20)</f>
        <v>0</v>
      </c>
      <c r="J20" s="361">
        <f>I20/'- 3 -'!E20</f>
        <v>0</v>
      </c>
      <c r="K20" s="17">
        <f>IF(AND(I20&gt;0,'- 7 -'!I20=0),"N/A ",IF(I20&gt;0,I20/'- 7 -'!I20,0))</f>
        <v>0</v>
      </c>
    </row>
    <row r="21" spans="1:11" ht="12.75">
      <c r="A21" s="14">
        <v>13</v>
      </c>
      <c r="B21" s="15" t="s">
        <v>125</v>
      </c>
      <c r="C21" s="15">
        <f>SUM('- 18 -'!C21,'- 18 -'!F21,'- 19 -'!C21,'- 19 -'!F21,'- 19 -'!I21,'- 20 -'!C21)</f>
        <v>11876048</v>
      </c>
      <c r="D21" s="360">
        <f>C21/'- 3 -'!E21</f>
        <v>0.5651462631258211</v>
      </c>
      <c r="E21" s="15">
        <f>C21/'- 7 -'!D21</f>
        <v>4565.9546328335255</v>
      </c>
      <c r="F21" s="15">
        <f>SUM('- 21 -'!C21,'- 21 -'!F21,'- 21 -'!I21,'- 22 -'!C21,'- 22 -'!F21,'- 22 -'!I21)</f>
        <v>2575050</v>
      </c>
      <c r="G21" s="360">
        <f>F21/'- 3 -'!E21</f>
        <v>0.12253907064556707</v>
      </c>
      <c r="H21" s="15">
        <f>F21/'- 7 -'!G21</f>
        <v>982.8435114503817</v>
      </c>
      <c r="I21" s="15">
        <f>SUM('- 23 -'!F21,'- 23 -'!C21)</f>
        <v>1100000</v>
      </c>
      <c r="J21" s="360">
        <f>I21/'- 3 -'!E21</f>
        <v>0.05234577103750365</v>
      </c>
      <c r="K21" s="15">
        <f>IF(AND(I21&gt;0,'- 7 -'!I21=0),"N/A ",IF(I21&gt;0,I21/'- 7 -'!I21,0))</f>
        <v>7096.774193548387</v>
      </c>
    </row>
    <row r="22" spans="1:11" ht="12.75">
      <c r="A22" s="16">
        <v>14</v>
      </c>
      <c r="B22" s="17" t="s">
        <v>126</v>
      </c>
      <c r="C22" s="17">
        <f>SUM('- 18 -'!C22,'- 18 -'!F22,'- 19 -'!C22,'- 19 -'!F22,'- 19 -'!I22,'- 20 -'!C22)</f>
        <v>14095093</v>
      </c>
      <c r="D22" s="361">
        <f>C22/'- 3 -'!E22</f>
        <v>0.5920952881078015</v>
      </c>
      <c r="E22" s="17">
        <f>C22/'- 7 -'!D22</f>
        <v>4116.557535046729</v>
      </c>
      <c r="F22" s="17">
        <f>SUM('- 21 -'!C22,'- 21 -'!F22,'- 21 -'!I22,'- 22 -'!C22,'- 22 -'!F22,'- 22 -'!I22)</f>
        <v>2916493</v>
      </c>
      <c r="G22" s="361">
        <f>F22/'- 3 -'!E22</f>
        <v>0.12251368352797576</v>
      </c>
      <c r="H22" s="17">
        <f>F22/'- 7 -'!G22</f>
        <v>851.7794976635514</v>
      </c>
      <c r="I22" s="17">
        <f>SUM('- 23 -'!F22,'- 23 -'!C22)</f>
        <v>0</v>
      </c>
      <c r="J22" s="361">
        <f>I22/'- 3 -'!E22</f>
        <v>0</v>
      </c>
      <c r="K22" s="17">
        <f>IF(AND(I22&gt;0,'- 7 -'!I22=0),"N/A ",IF(I22&gt;0,I22/'- 7 -'!I22,0))</f>
        <v>0</v>
      </c>
    </row>
    <row r="23" spans="1:11" ht="12.75">
      <c r="A23" s="14">
        <v>15</v>
      </c>
      <c r="B23" s="15" t="s">
        <v>127</v>
      </c>
      <c r="C23" s="15">
        <f>SUM('- 18 -'!C23,'- 18 -'!F23,'- 19 -'!C23,'- 19 -'!F23,'- 19 -'!I23,'- 20 -'!C23)</f>
        <v>21663580</v>
      </c>
      <c r="D23" s="360">
        <f>C23/'- 3 -'!E23</f>
        <v>0.637359918363156</v>
      </c>
      <c r="E23" s="15">
        <f>C23/'- 7 -'!D23</f>
        <v>3567.7832674571805</v>
      </c>
      <c r="F23" s="15">
        <f>SUM('- 21 -'!C23,'- 21 -'!F23,'- 21 -'!I23,'- 22 -'!C23,'- 22 -'!F23,'- 22 -'!I23)</f>
        <v>3693559</v>
      </c>
      <c r="G23" s="360">
        <f>F23/'- 3 -'!E23</f>
        <v>0.10866747152176602</v>
      </c>
      <c r="H23" s="15">
        <f>F23/'- 7 -'!G23</f>
        <v>608.2936429512516</v>
      </c>
      <c r="I23" s="15">
        <f>SUM('- 23 -'!F23,'- 23 -'!C23)</f>
        <v>0</v>
      </c>
      <c r="J23" s="360">
        <f>I23/'- 3 -'!E23</f>
        <v>0</v>
      </c>
      <c r="K23" s="15">
        <f>IF(AND(I23&gt;0,'- 7 -'!I23=0),"N/A ",IF(I23&gt;0,I23/'- 7 -'!I23,0))</f>
        <v>0</v>
      </c>
    </row>
    <row r="24" spans="1:11" ht="12.75">
      <c r="A24" s="16">
        <v>16</v>
      </c>
      <c r="B24" s="17" t="s">
        <v>128</v>
      </c>
      <c r="C24" s="17">
        <f>SUM('- 18 -'!C24,'- 18 -'!F24,'- 19 -'!C24,'- 19 -'!F24,'- 19 -'!I24,'- 20 -'!C24)</f>
        <v>3756157</v>
      </c>
      <c r="D24" s="361">
        <f>C24/'- 3 -'!E24</f>
        <v>0.6018869874620131</v>
      </c>
      <c r="E24" s="17">
        <f>C24/'- 7 -'!D24</f>
        <v>4514.611778846154</v>
      </c>
      <c r="F24" s="17">
        <f>SUM('- 21 -'!C24,'- 21 -'!F24,'- 21 -'!I24,'- 22 -'!C24,'- 22 -'!F24,'- 22 -'!I24)</f>
        <v>662370</v>
      </c>
      <c r="G24" s="361">
        <f>F24/'- 3 -'!E24</f>
        <v>0.10613823753512262</v>
      </c>
      <c r="H24" s="17">
        <f>F24/'- 7 -'!G24</f>
        <v>796.1177884615385</v>
      </c>
      <c r="I24" s="17">
        <f>SUM('- 23 -'!F24,'- 23 -'!C24)</f>
        <v>0</v>
      </c>
      <c r="J24" s="361">
        <f>I24/'- 3 -'!E24</f>
        <v>0</v>
      </c>
      <c r="K24" s="17">
        <f>IF(AND(I24&gt;0,'- 7 -'!I24=0),"N/A ",IF(I24&gt;0,I24/'- 7 -'!I24,0))</f>
        <v>0</v>
      </c>
    </row>
    <row r="25" spans="1:11" ht="12.75">
      <c r="A25" s="14">
        <v>17</v>
      </c>
      <c r="B25" s="15" t="s">
        <v>129</v>
      </c>
      <c r="C25" s="15">
        <f>SUM('- 18 -'!C25,'- 18 -'!F25,'- 19 -'!C25,'- 19 -'!F25,'- 19 -'!I25,'- 20 -'!C25)</f>
        <v>2506854</v>
      </c>
      <c r="D25" s="360">
        <f>C25/'- 3 -'!E25</f>
        <v>0.5630357095932094</v>
      </c>
      <c r="E25" s="15">
        <f>C25/'- 7 -'!D25</f>
        <v>5180.520768753875</v>
      </c>
      <c r="F25" s="15">
        <f>SUM('- 21 -'!C25,'- 21 -'!F25,'- 21 -'!I25,'- 22 -'!C25,'- 22 -'!F25,'- 22 -'!I25)</f>
        <v>503850</v>
      </c>
      <c r="G25" s="360">
        <f>F25/'- 3 -'!E25</f>
        <v>0.11316396658063795</v>
      </c>
      <c r="H25" s="15">
        <f>F25/'- 7 -'!G25</f>
        <v>1028.4751990202083</v>
      </c>
      <c r="I25" s="15">
        <f>SUM('- 23 -'!F25,'- 23 -'!C25)</f>
        <v>0</v>
      </c>
      <c r="J25" s="360">
        <f>I25/'- 3 -'!E25</f>
        <v>0</v>
      </c>
      <c r="K25" s="15">
        <f>IF(AND(I25&gt;0,'- 7 -'!I25=0),"N/A ",IF(I25&gt;0,I25/'- 7 -'!I25,0))</f>
        <v>0</v>
      </c>
    </row>
    <row r="26" spans="1:11" ht="12.75">
      <c r="A26" s="16">
        <v>18</v>
      </c>
      <c r="B26" s="17" t="s">
        <v>130</v>
      </c>
      <c r="C26" s="17">
        <f>SUM('- 18 -'!C26,'- 18 -'!F26,'- 19 -'!C26,'- 19 -'!F26,'- 19 -'!I26,'- 20 -'!C26)</f>
        <v>5529920.74</v>
      </c>
      <c r="D26" s="361">
        <f>C26/'- 3 -'!E26</f>
        <v>0.5641401192474185</v>
      </c>
      <c r="E26" s="17">
        <f>C26/'- 7 -'!D26</f>
        <v>3949.943385714286</v>
      </c>
      <c r="F26" s="17">
        <f>SUM('- 21 -'!C26,'- 21 -'!F26,'- 21 -'!I26,'- 22 -'!C26,'- 22 -'!F26,'- 22 -'!I26)</f>
        <v>1278455.3675</v>
      </c>
      <c r="G26" s="361">
        <f>F26/'- 3 -'!E26</f>
        <v>0.13042283920220385</v>
      </c>
      <c r="H26" s="17">
        <f>F26/'- 7 -'!G26</f>
        <v>913.1824053571428</v>
      </c>
      <c r="I26" s="17">
        <f>SUM('- 23 -'!F26,'- 23 -'!C26)</f>
        <v>335653.2</v>
      </c>
      <c r="J26" s="361">
        <f>I26/'- 3 -'!E26</f>
        <v>0.03424198016150546</v>
      </c>
      <c r="K26" s="17">
        <f>IF(AND(I26&gt;0,'- 7 -'!I26=0),"N/A ",IF(I26&gt;0,I26/'- 7 -'!I26,0))</f>
        <v>2685.2256</v>
      </c>
    </row>
    <row r="27" spans="1:11" ht="12.75">
      <c r="A27" s="14">
        <v>19</v>
      </c>
      <c r="B27" s="15" t="s">
        <v>131</v>
      </c>
      <c r="C27" s="15">
        <f>SUM('- 18 -'!C27,'- 18 -'!F27,'- 19 -'!C27,'- 19 -'!F27,'- 19 -'!I27,'- 20 -'!C27)</f>
        <v>7438285</v>
      </c>
      <c r="D27" s="360">
        <f>C27/'- 3 -'!E27</f>
        <v>0.5989977359268507</v>
      </c>
      <c r="E27" s="15">
        <f>C27/'- 7 -'!D27</f>
        <v>4101.618417424869</v>
      </c>
      <c r="F27" s="15">
        <f>SUM('- 21 -'!C27,'- 21 -'!F27,'- 21 -'!I27,'- 22 -'!C27,'- 22 -'!F27,'- 22 -'!I27)</f>
        <v>1355000</v>
      </c>
      <c r="G27" s="360">
        <f>F27/'- 3 -'!E27</f>
        <v>0.10911681014923234</v>
      </c>
      <c r="H27" s="15">
        <f>F27/'- 7 -'!G27</f>
        <v>747.1739729804245</v>
      </c>
      <c r="I27" s="15">
        <f>SUM('- 23 -'!F27,'- 23 -'!C27)</f>
        <v>0</v>
      </c>
      <c r="J27" s="360">
        <f>I27/'- 3 -'!E27</f>
        <v>0</v>
      </c>
      <c r="K27" s="15">
        <f>IF(AND(I27&gt;0,'- 7 -'!I27=0),"N/A ",IF(I27&gt;0,I27/'- 7 -'!I27,0))</f>
        <v>0</v>
      </c>
    </row>
    <row r="28" spans="1:11" ht="12.75">
      <c r="A28" s="16">
        <v>20</v>
      </c>
      <c r="B28" s="17" t="s">
        <v>132</v>
      </c>
      <c r="C28" s="17">
        <f>SUM('- 18 -'!C28,'- 18 -'!F28,'- 19 -'!C28,'- 19 -'!F28,'- 19 -'!I28,'- 20 -'!C28)</f>
        <v>4939750</v>
      </c>
      <c r="D28" s="361">
        <f>C28/'- 3 -'!E28</f>
        <v>0.6250435749544259</v>
      </c>
      <c r="E28" s="17">
        <f>C28/'- 7 -'!D28</f>
        <v>5283.720183976895</v>
      </c>
      <c r="F28" s="17">
        <f>SUM('- 21 -'!C28,'- 21 -'!F28,'- 21 -'!I28,'- 22 -'!C28,'- 22 -'!F28,'- 22 -'!I28)</f>
        <v>741584</v>
      </c>
      <c r="G28" s="361">
        <f>F28/'- 3 -'!E28</f>
        <v>0.09383517677797519</v>
      </c>
      <c r="H28" s="17">
        <f>F28/'- 7 -'!G28</f>
        <v>778.2390597124567</v>
      </c>
      <c r="I28" s="17">
        <f>SUM('- 23 -'!F28,'- 23 -'!C28)</f>
        <v>0</v>
      </c>
      <c r="J28" s="361">
        <f>I28/'- 3 -'!E28</f>
        <v>0</v>
      </c>
      <c r="K28" s="17">
        <f>IF(AND(I28&gt;0,'- 7 -'!I28=0),"N/A ",IF(I28&gt;0,I28/'- 7 -'!I28,0))</f>
        <v>0</v>
      </c>
    </row>
    <row r="29" spans="1:11" ht="12.75">
      <c r="A29" s="14">
        <v>21</v>
      </c>
      <c r="B29" s="15" t="s">
        <v>133</v>
      </c>
      <c r="C29" s="15">
        <f>SUM('- 18 -'!C29,'- 18 -'!F29,'- 19 -'!C29,'- 19 -'!F29,'- 19 -'!I29,'- 20 -'!C29)</f>
        <v>13917500</v>
      </c>
      <c r="D29" s="360">
        <f>C29/'- 3 -'!E29</f>
        <v>0.5923348655090228</v>
      </c>
      <c r="E29" s="15">
        <f>C29/'- 7 -'!D29</f>
        <v>4178.174722305614</v>
      </c>
      <c r="F29" s="15">
        <f>SUM('- 21 -'!C29,'- 21 -'!F29,'- 21 -'!I29,'- 22 -'!C29,'- 22 -'!F29,'- 22 -'!I29)</f>
        <v>2666000</v>
      </c>
      <c r="G29" s="360">
        <f>F29/'- 3 -'!E29</f>
        <v>0.11346612189308819</v>
      </c>
      <c r="H29" s="15">
        <f>F29/'- 7 -'!G29</f>
        <v>795.583407937929</v>
      </c>
      <c r="I29" s="15">
        <f>SUM('- 23 -'!F29,'- 23 -'!C29)</f>
        <v>272000</v>
      </c>
      <c r="J29" s="360">
        <f>I29/'- 3 -'!E29</f>
        <v>0.011576438542730678</v>
      </c>
      <c r="K29" s="15">
        <f>IF(AND(I29&gt;0,'- 7 -'!I29=0),"N/A ",IF(I29&gt;0,I29/'- 7 -'!I29,0))</f>
        <v>3200</v>
      </c>
    </row>
    <row r="30" spans="1:11" ht="12.75">
      <c r="A30" s="16">
        <v>22</v>
      </c>
      <c r="B30" s="17" t="s">
        <v>134</v>
      </c>
      <c r="C30" s="17">
        <f>SUM('- 18 -'!C30,'- 18 -'!F30,'- 19 -'!C30,'- 19 -'!F30,'- 19 -'!I30,'- 20 -'!C30)</f>
        <v>7063204</v>
      </c>
      <c r="D30" s="361">
        <f>C30/'- 3 -'!E30</f>
        <v>0.5671562045040521</v>
      </c>
      <c r="E30" s="17">
        <f>C30/'- 7 -'!D30</f>
        <v>4282.027280994241</v>
      </c>
      <c r="F30" s="17">
        <f>SUM('- 21 -'!C30,'- 21 -'!F30,'- 21 -'!I30,'- 22 -'!C30,'- 22 -'!F30,'- 22 -'!I30)</f>
        <v>1402100</v>
      </c>
      <c r="G30" s="361">
        <f>F30/'- 3 -'!E30</f>
        <v>0.11258484312999194</v>
      </c>
      <c r="H30" s="17">
        <f>F30/'- 7 -'!G30</f>
        <v>850.0151561079115</v>
      </c>
      <c r="I30" s="17">
        <f>SUM('- 23 -'!F30,'- 23 -'!C30)</f>
        <v>0</v>
      </c>
      <c r="J30" s="361">
        <f>I30/'- 3 -'!E30</f>
        <v>0</v>
      </c>
      <c r="K30" s="17">
        <f>IF(AND(I30&gt;0,'- 7 -'!I30=0),"N/A ",IF(I30&gt;0,I30/'- 7 -'!I30,0))</f>
        <v>0</v>
      </c>
    </row>
    <row r="31" spans="1:11" ht="12.75">
      <c r="A31" s="14">
        <v>23</v>
      </c>
      <c r="B31" s="15" t="s">
        <v>135</v>
      </c>
      <c r="C31" s="15">
        <f>SUM('- 18 -'!C31,'- 18 -'!F31,'- 19 -'!C31,'- 19 -'!F31,'- 19 -'!I31,'- 20 -'!C31)</f>
        <v>5839026</v>
      </c>
      <c r="D31" s="360">
        <f>C31/'- 3 -'!E31</f>
        <v>0.5708979444539013</v>
      </c>
      <c r="E31" s="15">
        <f>C31/'- 7 -'!D31</f>
        <v>4129.43847241867</v>
      </c>
      <c r="F31" s="15">
        <f>SUM('- 21 -'!C31,'- 21 -'!F31,'- 21 -'!I31,'- 22 -'!C31,'- 22 -'!F31,'- 22 -'!I31)</f>
        <v>1276139</v>
      </c>
      <c r="G31" s="360">
        <f>F31/'- 3 -'!E31</f>
        <v>0.12477168828113748</v>
      </c>
      <c r="H31" s="15">
        <f>F31/'- 7 -'!G31</f>
        <v>902.502828854314</v>
      </c>
      <c r="I31" s="15">
        <f>SUM('- 23 -'!F31,'- 23 -'!C31)</f>
        <v>0</v>
      </c>
      <c r="J31" s="360">
        <f>I31/'- 3 -'!E31</f>
        <v>0</v>
      </c>
      <c r="K31" s="15">
        <f>IF(AND(I31&gt;0,'- 7 -'!I31=0),"N/A ",IF(I31&gt;0,I31/'- 7 -'!I31,0))</f>
        <v>0</v>
      </c>
    </row>
    <row r="32" spans="1:11" ht="12.75">
      <c r="A32" s="16">
        <v>24</v>
      </c>
      <c r="B32" s="17" t="s">
        <v>136</v>
      </c>
      <c r="C32" s="17">
        <f>SUM('- 18 -'!C32,'- 18 -'!F32,'- 19 -'!C32,'- 19 -'!F32,'- 19 -'!I32,'- 20 -'!C32)</f>
        <v>14104336</v>
      </c>
      <c r="D32" s="361">
        <f>C32/'- 3 -'!E32</f>
        <v>0.6032381535107868</v>
      </c>
      <c r="E32" s="17">
        <f>C32/'- 7 -'!D32</f>
        <v>4162.6585603399935</v>
      </c>
      <c r="F32" s="17">
        <f>SUM('- 21 -'!C32,'- 21 -'!F32,'- 21 -'!I32,'- 22 -'!C32,'- 22 -'!F32,'- 22 -'!I32)</f>
        <v>3258470</v>
      </c>
      <c r="G32" s="361">
        <f>F32/'- 3 -'!E32</f>
        <v>0.13936376913243512</v>
      </c>
      <c r="H32" s="17">
        <f>F32/'- 7 -'!G32</f>
        <v>931.7101764218111</v>
      </c>
      <c r="I32" s="17">
        <f>SUM('- 23 -'!F32,'- 23 -'!C32)</f>
        <v>193844</v>
      </c>
      <c r="J32" s="361">
        <f>I32/'- 3 -'!E32</f>
        <v>0.008290648820982778</v>
      </c>
      <c r="K32" s="17">
        <f>IF(AND(I32&gt;0,'- 7 -'!I32=0),"N/A ",IF(I32&gt;0,I32/'- 7 -'!I32,0))</f>
        <v>2696.022253129346</v>
      </c>
    </row>
    <row r="33" spans="1:11" ht="12.75">
      <c r="A33" s="14">
        <v>25</v>
      </c>
      <c r="B33" s="15" t="s">
        <v>137</v>
      </c>
      <c r="C33" s="15">
        <f>SUM('- 18 -'!C33,'- 18 -'!F33,'- 19 -'!C33,'- 19 -'!F33,'- 19 -'!I33,'- 20 -'!C33)</f>
        <v>6377597</v>
      </c>
      <c r="D33" s="360">
        <f>C33/'- 3 -'!E33</f>
        <v>0.5996600583299813</v>
      </c>
      <c r="E33" s="15">
        <f>C33/'- 7 -'!D33</f>
        <v>4561.943490701002</v>
      </c>
      <c r="F33" s="15">
        <f>SUM('- 21 -'!C33,'- 21 -'!F33,'- 21 -'!I33,'- 22 -'!C33,'- 22 -'!F33,'- 22 -'!I33)</f>
        <v>1029452</v>
      </c>
      <c r="G33" s="360">
        <f>F33/'- 3 -'!E33</f>
        <v>0.09679527357528485</v>
      </c>
      <c r="H33" s="15">
        <f>F33/'- 7 -'!G33</f>
        <v>736.3748211731045</v>
      </c>
      <c r="I33" s="15">
        <f>SUM('- 23 -'!F33,'- 23 -'!C33)</f>
        <v>251190</v>
      </c>
      <c r="J33" s="360">
        <f>I33/'- 3 -'!E33</f>
        <v>0.02361839577695298</v>
      </c>
      <c r="K33" s="15">
        <f>IF(AND(I33&gt;0,'- 7 -'!I33=0),"N/A ",IF(I33&gt;0,I33/'- 7 -'!I33,0))</f>
        <v>2511.9</v>
      </c>
    </row>
    <row r="34" spans="1:11" ht="12.75">
      <c r="A34" s="16">
        <v>26</v>
      </c>
      <c r="B34" s="17" t="s">
        <v>138</v>
      </c>
      <c r="C34" s="17">
        <f>SUM('- 18 -'!C34,'- 18 -'!F34,'- 19 -'!C34,'- 19 -'!F34,'- 19 -'!I34,'- 20 -'!C34)</f>
        <v>11284300</v>
      </c>
      <c r="D34" s="361">
        <f>C34/'- 3 -'!E34</f>
        <v>0.6507013421367509</v>
      </c>
      <c r="E34" s="17">
        <f>C34/'- 7 -'!D34</f>
        <v>3885.7782369146007</v>
      </c>
      <c r="F34" s="17">
        <f>SUM('- 21 -'!C34,'- 21 -'!F34,'- 21 -'!I34,'- 22 -'!C34,'- 22 -'!F34,'- 22 -'!I34)</f>
        <v>2284200</v>
      </c>
      <c r="G34" s="361">
        <f>F34/'- 3 -'!E34</f>
        <v>0.1317168105871668</v>
      </c>
      <c r="H34" s="17">
        <f>F34/'- 7 -'!G34</f>
        <v>771.6891891891892</v>
      </c>
      <c r="I34" s="17">
        <f>SUM('- 23 -'!F34,'- 23 -'!C34)</f>
        <v>0</v>
      </c>
      <c r="J34" s="361">
        <f>I34/'- 3 -'!E34</f>
        <v>0</v>
      </c>
      <c r="K34" s="17">
        <f>IF(AND(I34&gt;0,'- 7 -'!I34=0),"N/A ",IF(I34&gt;0,I34/'- 7 -'!I34,0))</f>
        <v>0</v>
      </c>
    </row>
    <row r="35" spans="1:11" ht="12.75">
      <c r="A35" s="14">
        <v>28</v>
      </c>
      <c r="B35" s="15" t="s">
        <v>139</v>
      </c>
      <c r="C35" s="15">
        <f>SUM('- 18 -'!C35,'- 18 -'!F35,'- 19 -'!C35,'- 19 -'!F35,'- 19 -'!I35,'- 20 -'!C35)</f>
        <v>4031162</v>
      </c>
      <c r="D35" s="360">
        <f>C35/'- 3 -'!E35</f>
        <v>0.6295102416622526</v>
      </c>
      <c r="E35" s="15">
        <f>C35/'- 7 -'!D35</f>
        <v>4919.050640634533</v>
      </c>
      <c r="F35" s="15">
        <f>SUM('- 21 -'!C35,'- 21 -'!F35,'- 21 -'!I35,'- 22 -'!C35,'- 22 -'!F35,'- 22 -'!I35)</f>
        <v>554890</v>
      </c>
      <c r="G35" s="360">
        <f>F35/'- 3 -'!E35</f>
        <v>0.08665217076266528</v>
      </c>
      <c r="H35" s="15">
        <f>F35/'- 7 -'!G35</f>
        <v>677.1079926784624</v>
      </c>
      <c r="I35" s="15">
        <f>SUM('- 23 -'!F35,'- 23 -'!C35)</f>
        <v>0</v>
      </c>
      <c r="J35" s="360">
        <f>I35/'- 3 -'!E35</f>
        <v>0</v>
      </c>
      <c r="K35" s="15">
        <f>IF(AND(I35&gt;0,'- 7 -'!I35=0),"N/A ",IF(I35&gt;0,I35/'- 7 -'!I35,0))</f>
        <v>0</v>
      </c>
    </row>
    <row r="36" spans="1:11" ht="12.75">
      <c r="A36" s="16">
        <v>30</v>
      </c>
      <c r="B36" s="17" t="s">
        <v>140</v>
      </c>
      <c r="C36" s="17">
        <f>SUM('- 18 -'!C36,'- 18 -'!F36,'- 19 -'!C36,'- 19 -'!F36,'- 19 -'!I36,'- 20 -'!C36)</f>
        <v>5676296</v>
      </c>
      <c r="D36" s="361">
        <f>C36/'- 3 -'!E36</f>
        <v>0.579555637962427</v>
      </c>
      <c r="E36" s="17">
        <f>C36/'- 7 -'!D36</f>
        <v>4361.014136447449</v>
      </c>
      <c r="F36" s="17">
        <f>SUM('- 21 -'!C36,'- 21 -'!F36,'- 21 -'!I36,'- 22 -'!C36,'- 22 -'!F36,'- 22 -'!I36)</f>
        <v>1220120</v>
      </c>
      <c r="G36" s="361">
        <f>F36/'- 3 -'!E36</f>
        <v>0.12457550222728281</v>
      </c>
      <c r="H36" s="17">
        <f>F36/'- 7 -'!G36</f>
        <v>937.4001229256301</v>
      </c>
      <c r="I36" s="17">
        <f>SUM('- 23 -'!F36,'- 23 -'!C36)</f>
        <v>0</v>
      </c>
      <c r="J36" s="361">
        <f>I36/'- 3 -'!E36</f>
        <v>0</v>
      </c>
      <c r="K36" s="17">
        <f>IF(AND(I36&gt;0,'- 7 -'!I36=0),"N/A ",IF(I36&gt;0,I36/'- 7 -'!I36,0))</f>
        <v>0</v>
      </c>
    </row>
    <row r="37" spans="1:11" ht="12.75">
      <c r="A37" s="14">
        <v>31</v>
      </c>
      <c r="B37" s="15" t="s">
        <v>141</v>
      </c>
      <c r="C37" s="15">
        <f>SUM('- 18 -'!C37,'- 18 -'!F37,'- 19 -'!C37,'- 19 -'!F37,'- 19 -'!I37,'- 20 -'!C37)</f>
        <v>6576362</v>
      </c>
      <c r="D37" s="360">
        <f>C37/'- 3 -'!E37</f>
        <v>0.6005159623806956</v>
      </c>
      <c r="E37" s="15">
        <f>C37/'- 7 -'!D37</f>
        <v>4167.529784537389</v>
      </c>
      <c r="F37" s="15">
        <f>SUM('- 21 -'!C37,'- 21 -'!F37,'- 21 -'!I37,'- 22 -'!C37,'- 22 -'!F37,'- 22 -'!I37)</f>
        <v>1311482</v>
      </c>
      <c r="G37" s="360">
        <f>F37/'- 3 -'!E37</f>
        <v>0.11975707471318632</v>
      </c>
      <c r="H37" s="15">
        <f>F37/'- 7 -'!G37</f>
        <v>809.5567901234568</v>
      </c>
      <c r="I37" s="15">
        <f>SUM('- 23 -'!F37,'- 23 -'!C37)</f>
        <v>0</v>
      </c>
      <c r="J37" s="360">
        <f>I37/'- 3 -'!E37</f>
        <v>0</v>
      </c>
      <c r="K37" s="15">
        <f>IF(AND(I37&gt;0,'- 7 -'!I37=0),"N/A ",IF(I37&gt;0,I37/'- 7 -'!I37,0))</f>
        <v>0</v>
      </c>
    </row>
    <row r="38" spans="1:11" ht="12.75">
      <c r="A38" s="16">
        <v>32</v>
      </c>
      <c r="B38" s="17" t="s">
        <v>142</v>
      </c>
      <c r="C38" s="17">
        <f>SUM('- 18 -'!C38,'- 18 -'!F38,'- 19 -'!C38,'- 19 -'!F38,'- 19 -'!I38,'- 20 -'!C38)</f>
        <v>3787404</v>
      </c>
      <c r="D38" s="361">
        <f>C38/'- 3 -'!E38</f>
        <v>0.5509207701303915</v>
      </c>
      <c r="E38" s="17">
        <f>C38/'- 7 -'!D38</f>
        <v>4511.499702203692</v>
      </c>
      <c r="F38" s="17">
        <f>SUM('- 21 -'!C38,'- 21 -'!F38,'- 21 -'!I38,'- 22 -'!C38,'- 22 -'!F38,'- 22 -'!I38)</f>
        <v>959117</v>
      </c>
      <c r="G38" s="361">
        <f>F38/'- 3 -'!E38</f>
        <v>0.13951442103487</v>
      </c>
      <c r="H38" s="17">
        <f>F38/'- 7 -'!G38</f>
        <v>1142.4860035735558</v>
      </c>
      <c r="I38" s="17">
        <f>SUM('- 23 -'!F38,'- 23 -'!C38)</f>
        <v>0</v>
      </c>
      <c r="J38" s="361">
        <f>I38/'- 3 -'!E38</f>
        <v>0</v>
      </c>
      <c r="K38" s="17">
        <f>IF(AND(I38&gt;0,'- 7 -'!I38=0),"N/A ",IF(I38&gt;0,I38/'- 7 -'!I38,0))</f>
        <v>0</v>
      </c>
    </row>
    <row r="39" spans="1:11" ht="12.75">
      <c r="A39" s="14">
        <v>33</v>
      </c>
      <c r="B39" s="15" t="s">
        <v>143</v>
      </c>
      <c r="C39" s="15">
        <f>SUM('- 18 -'!C39,'- 18 -'!F39,'- 19 -'!C39,'- 19 -'!F39,'- 19 -'!I39,'- 20 -'!C39)</f>
        <v>7902012</v>
      </c>
      <c r="D39" s="360">
        <f>C39/'- 3 -'!E39</f>
        <v>0.5770353426673392</v>
      </c>
      <c r="E39" s="15">
        <f>C39/'- 7 -'!D39</f>
        <v>4261.912518202902</v>
      </c>
      <c r="F39" s="15">
        <f>SUM('- 21 -'!C39,'- 21 -'!F39,'- 21 -'!I39,'- 22 -'!C39,'- 22 -'!F39,'- 22 -'!I39)</f>
        <v>1980226</v>
      </c>
      <c r="G39" s="360">
        <f>F39/'- 3 -'!E39</f>
        <v>0.14460372731258503</v>
      </c>
      <c r="H39" s="15">
        <f>F39/'- 7 -'!G39</f>
        <v>1058.8877600128335</v>
      </c>
      <c r="I39" s="15">
        <f>SUM('- 23 -'!F39,'- 23 -'!C39)</f>
        <v>0</v>
      </c>
      <c r="J39" s="360">
        <f>I39/'- 3 -'!E39</f>
        <v>0</v>
      </c>
      <c r="K39" s="15">
        <f>IF(AND(I39&gt;0,'- 7 -'!I39=0),"N/A ",IF(I39&gt;0,I39/'- 7 -'!I39,0))</f>
        <v>0</v>
      </c>
    </row>
    <row r="40" spans="1:11" ht="12.75">
      <c r="A40" s="16">
        <v>34</v>
      </c>
      <c r="B40" s="17" t="s">
        <v>144</v>
      </c>
      <c r="C40" s="17">
        <f>SUM('- 18 -'!C40,'- 18 -'!F40,'- 19 -'!C40,'- 19 -'!F40,'- 19 -'!I40,'- 20 -'!C40)</f>
        <v>3410535</v>
      </c>
      <c r="D40" s="361">
        <f>C40/'- 3 -'!E40</f>
        <v>0.5917967967125553</v>
      </c>
      <c r="E40" s="17">
        <f>C40/'- 7 -'!D40</f>
        <v>4668.767967145791</v>
      </c>
      <c r="F40" s="17">
        <f>SUM('- 21 -'!C40,'- 21 -'!F40,'- 21 -'!I40,'- 22 -'!C40,'- 22 -'!F40,'- 22 -'!I40)</f>
        <v>471600</v>
      </c>
      <c r="G40" s="361">
        <f>F40/'- 3 -'!E40</f>
        <v>0.08183213757655061</v>
      </c>
      <c r="H40" s="17">
        <f>F40/'- 7 -'!G40</f>
        <v>645.5852156057495</v>
      </c>
      <c r="I40" s="17">
        <f>SUM('- 23 -'!F40,'- 23 -'!C40)</f>
        <v>0</v>
      </c>
      <c r="J40" s="361">
        <f>I40/'- 3 -'!E40</f>
        <v>0</v>
      </c>
      <c r="K40" s="17">
        <f>IF(AND(I40&gt;0,'- 7 -'!I40=0),"N/A ",IF(I40&gt;0,I40/'- 7 -'!I40,0))</f>
        <v>0</v>
      </c>
    </row>
    <row r="41" spans="1:11" ht="12.75">
      <c r="A41" s="14">
        <v>35</v>
      </c>
      <c r="B41" s="15" t="s">
        <v>145</v>
      </c>
      <c r="C41" s="15">
        <f>SUM('- 18 -'!C41,'- 18 -'!F41,'- 19 -'!C41,'- 19 -'!F41,'- 19 -'!I41,'- 20 -'!C41)</f>
        <v>8644245</v>
      </c>
      <c r="D41" s="360">
        <f>C41/'- 3 -'!E41</f>
        <v>0.5872477772989108</v>
      </c>
      <c r="E41" s="15">
        <f>C41/'- 7 -'!D41</f>
        <v>4514.437539168582</v>
      </c>
      <c r="F41" s="15">
        <f>SUM('- 21 -'!C41,'- 21 -'!F41,'- 21 -'!I41,'- 22 -'!C41,'- 22 -'!F41,'- 22 -'!I41)</f>
        <v>1670314</v>
      </c>
      <c r="G41" s="360">
        <f>F41/'- 3 -'!E41</f>
        <v>0.11347297350910955</v>
      </c>
      <c r="H41" s="15">
        <f>F41/'- 7 -'!G41</f>
        <v>872.3177355337373</v>
      </c>
      <c r="I41" s="15">
        <f>SUM('- 23 -'!F41,'- 23 -'!C41)</f>
        <v>0</v>
      </c>
      <c r="J41" s="360">
        <f>I41/'- 3 -'!E41</f>
        <v>0</v>
      </c>
      <c r="K41" s="15">
        <f>IF(AND(I41&gt;0,'- 7 -'!I41=0),"N/A ",IF(I41&gt;0,I41/'- 7 -'!I41,0))</f>
        <v>0</v>
      </c>
    </row>
    <row r="42" spans="1:11" ht="12.75">
      <c r="A42" s="16">
        <v>36</v>
      </c>
      <c r="B42" s="17" t="s">
        <v>146</v>
      </c>
      <c r="C42" s="17">
        <f>SUM('- 18 -'!C42,'- 18 -'!F42,'- 19 -'!C42,'- 19 -'!F42,'- 19 -'!I42,'- 20 -'!C42)</f>
        <v>4425483</v>
      </c>
      <c r="D42" s="361">
        <f>C42/'- 3 -'!E42</f>
        <v>0.5794033778476041</v>
      </c>
      <c r="E42" s="17">
        <f>C42/'- 7 -'!D42</f>
        <v>4733.136898395722</v>
      </c>
      <c r="F42" s="17">
        <f>SUM('- 21 -'!C42,'- 21 -'!F42,'- 21 -'!I42,'- 22 -'!C42,'- 22 -'!F42,'- 22 -'!I42)</f>
        <v>634102</v>
      </c>
      <c r="G42" s="361">
        <f>F42/'- 3 -'!E42</f>
        <v>0.08301937680020947</v>
      </c>
      <c r="H42" s="17">
        <f>F42/'- 7 -'!G42</f>
        <v>678.1839572192513</v>
      </c>
      <c r="I42" s="17">
        <f>SUM('- 23 -'!F42,'- 23 -'!C42)</f>
        <v>0</v>
      </c>
      <c r="J42" s="361">
        <f>I42/'- 3 -'!E42</f>
        <v>0</v>
      </c>
      <c r="K42" s="17">
        <f>IF(AND(I42&gt;0,'- 7 -'!I42=0),"N/A ",IF(I42&gt;0,I42/'- 7 -'!I42,0))</f>
        <v>0</v>
      </c>
    </row>
    <row r="43" spans="1:11" ht="12.75">
      <c r="A43" s="14">
        <v>37</v>
      </c>
      <c r="B43" s="15" t="s">
        <v>147</v>
      </c>
      <c r="C43" s="15">
        <f>SUM('- 18 -'!C43,'- 18 -'!F43,'- 19 -'!C43,'- 19 -'!F43,'- 19 -'!I43,'- 20 -'!C43)</f>
        <v>4136676</v>
      </c>
      <c r="D43" s="360">
        <f>C43/'- 3 -'!E43</f>
        <v>0.597339271093706</v>
      </c>
      <c r="E43" s="15">
        <f>C43/'- 7 -'!D43</f>
        <v>4486.487424487273</v>
      </c>
      <c r="F43" s="15">
        <f>SUM('- 21 -'!C43,'- 21 -'!F43,'- 21 -'!I43,'- 22 -'!C43,'- 22 -'!F43,'- 22 -'!I43)</f>
        <v>580810</v>
      </c>
      <c r="G43" s="360">
        <f>F43/'- 3 -'!E43</f>
        <v>0.0838694212560847</v>
      </c>
      <c r="H43" s="15">
        <f>F43/'- 7 -'!G43</f>
        <v>629.92527358112</v>
      </c>
      <c r="I43" s="15">
        <f>SUM('- 23 -'!F43,'- 23 -'!C43)</f>
        <v>0</v>
      </c>
      <c r="J43" s="360">
        <f>I43/'- 3 -'!E43</f>
        <v>0</v>
      </c>
      <c r="K43" s="15">
        <f>IF(AND(I43&gt;0,'- 7 -'!I43=0),"N/A ",IF(I43&gt;0,I43/'- 7 -'!I43,0))</f>
        <v>0</v>
      </c>
    </row>
    <row r="44" spans="1:11" ht="12.75">
      <c r="A44" s="16">
        <v>38</v>
      </c>
      <c r="B44" s="17" t="s">
        <v>148</v>
      </c>
      <c r="C44" s="17">
        <f>SUM('- 18 -'!C44,'- 18 -'!F44,'- 19 -'!C44,'- 19 -'!F44,'- 19 -'!I44,'- 20 -'!C44)</f>
        <v>5061182</v>
      </c>
      <c r="D44" s="361">
        <f>C44/'- 3 -'!E44</f>
        <v>0.5651076390292333</v>
      </c>
      <c r="E44" s="17">
        <f>C44/'- 7 -'!D44</f>
        <v>4333.203767123287</v>
      </c>
      <c r="F44" s="17">
        <f>SUM('- 21 -'!C44,'- 21 -'!F44,'- 21 -'!I44,'- 22 -'!C44,'- 22 -'!F44,'- 22 -'!I44)</f>
        <v>995550</v>
      </c>
      <c r="G44" s="361">
        <f>F44/'- 3 -'!E44</f>
        <v>0.11115840332071704</v>
      </c>
      <c r="H44" s="17">
        <f>F44/'- 7 -'!G44</f>
        <v>852.3544520547945</v>
      </c>
      <c r="I44" s="17">
        <f>SUM('- 23 -'!F44,'- 23 -'!C44)</f>
        <v>0</v>
      </c>
      <c r="J44" s="361">
        <f>I44/'- 3 -'!E44</f>
        <v>0</v>
      </c>
      <c r="K44" s="17">
        <f>IF(AND(I44&gt;0,'- 7 -'!I44=0),"N/A ",IF(I44&gt;0,I44/'- 7 -'!I44,0))</f>
        <v>0</v>
      </c>
    </row>
    <row r="45" spans="1:11" ht="12.75">
      <c r="A45" s="14">
        <v>39</v>
      </c>
      <c r="B45" s="15" t="s">
        <v>149</v>
      </c>
      <c r="C45" s="15">
        <f>SUM('- 18 -'!C45,'- 18 -'!F45,'- 19 -'!C45,'- 19 -'!F45,'- 19 -'!I45,'- 20 -'!C45)</f>
        <v>10024250</v>
      </c>
      <c r="D45" s="360">
        <f>C45/'- 3 -'!E45</f>
        <v>0.6294603190550796</v>
      </c>
      <c r="E45" s="15">
        <f>C45/'- 7 -'!D45</f>
        <v>4773.452380952381</v>
      </c>
      <c r="F45" s="15">
        <f>SUM('- 21 -'!C45,'- 21 -'!F45,'- 21 -'!I45,'- 22 -'!C45,'- 22 -'!F45,'- 22 -'!I45)</f>
        <v>1376500</v>
      </c>
      <c r="G45" s="360">
        <f>F45/'- 3 -'!E45</f>
        <v>0.08643560657199462</v>
      </c>
      <c r="H45" s="15">
        <f>F45/'- 7 -'!G45</f>
        <v>655.4761904761905</v>
      </c>
      <c r="I45" s="15">
        <f>SUM('- 23 -'!F45,'- 23 -'!C45)</f>
        <v>0</v>
      </c>
      <c r="J45" s="360">
        <f>I45/'- 3 -'!E45</f>
        <v>0</v>
      </c>
      <c r="K45" s="15">
        <f>IF(AND(I45&gt;0,'- 7 -'!I45=0),"N/A ",IF(I45&gt;0,I45/'- 7 -'!I45,0))</f>
        <v>0</v>
      </c>
    </row>
    <row r="46" spans="1:11" ht="12.75">
      <c r="A46" s="16">
        <v>40</v>
      </c>
      <c r="B46" s="17" t="s">
        <v>150</v>
      </c>
      <c r="C46" s="17">
        <f>SUM('- 18 -'!C46,'- 18 -'!F46,'- 19 -'!C46,'- 19 -'!F46,'- 19 -'!I46,'- 20 -'!C46)</f>
        <v>28893400</v>
      </c>
      <c r="D46" s="361">
        <f>C46/'- 3 -'!E46</f>
        <v>0.618351470792805</v>
      </c>
      <c r="E46" s="17">
        <f>C46/'- 7 -'!D46</f>
        <v>4016.598317925905</v>
      </c>
      <c r="F46" s="17">
        <f>SUM('- 21 -'!C46,'- 21 -'!F46,'- 21 -'!I46,'- 22 -'!C46,'- 22 -'!F46,'- 22 -'!I46)</f>
        <v>6767600</v>
      </c>
      <c r="G46" s="361">
        <f>F46/'- 3 -'!E46</f>
        <v>0.14483430173456177</v>
      </c>
      <c r="H46" s="17">
        <f>F46/'- 7 -'!G46</f>
        <v>914.3551982706208</v>
      </c>
      <c r="I46" s="17">
        <f>SUM('- 23 -'!F46,'- 23 -'!C46)</f>
        <v>0</v>
      </c>
      <c r="J46" s="361">
        <f>I46/'- 3 -'!E46</f>
        <v>0</v>
      </c>
      <c r="K46" s="17">
        <f>IF(AND(I46&gt;0,'- 7 -'!I46=0),"N/A ",IF(I46&gt;0,I46/'- 7 -'!I46,0))</f>
        <v>0</v>
      </c>
    </row>
    <row r="47" spans="1:11" ht="12.75">
      <c r="A47" s="14">
        <v>41</v>
      </c>
      <c r="B47" s="15" t="s">
        <v>151</v>
      </c>
      <c r="C47" s="15">
        <f>SUM('- 18 -'!C47,'- 18 -'!F47,'- 19 -'!C47,'- 19 -'!F47,'- 19 -'!I47,'- 20 -'!C47)</f>
        <v>7220947</v>
      </c>
      <c r="D47" s="360">
        <f>C47/'- 3 -'!E47</f>
        <v>0.5879098118072306</v>
      </c>
      <c r="E47" s="15">
        <f>C47/'- 7 -'!D47</f>
        <v>4574.562559391828</v>
      </c>
      <c r="F47" s="15">
        <f>SUM('- 21 -'!C47,'- 21 -'!F47,'- 21 -'!I47,'- 22 -'!C47,'- 22 -'!F47,'- 22 -'!I47)</f>
        <v>1347350</v>
      </c>
      <c r="G47" s="360">
        <f>F47/'- 3 -'!E47</f>
        <v>0.10969756251340332</v>
      </c>
      <c r="H47" s="15">
        <f>F47/'- 7 -'!G47</f>
        <v>853.5635096610706</v>
      </c>
      <c r="I47" s="15">
        <f>SUM('- 23 -'!F47,'- 23 -'!C47)</f>
        <v>85050</v>
      </c>
      <c r="J47" s="360">
        <f>I47/'- 3 -'!E47</f>
        <v>0.006924539052039153</v>
      </c>
      <c r="K47" s="410" t="s">
        <v>344</v>
      </c>
    </row>
    <row r="48" spans="1:11" ht="12.75">
      <c r="A48" s="16">
        <v>42</v>
      </c>
      <c r="B48" s="17" t="s">
        <v>152</v>
      </c>
      <c r="C48" s="17">
        <f>SUM('- 18 -'!C48,'- 18 -'!F48,'- 19 -'!C48,'- 19 -'!F48,'- 19 -'!I48,'- 20 -'!C48)</f>
        <v>4642143</v>
      </c>
      <c r="D48" s="361">
        <f>C48/'- 3 -'!E48</f>
        <v>0.5783048192909169</v>
      </c>
      <c r="E48" s="17">
        <f>C48/'- 7 -'!D48</f>
        <v>4461.454108601633</v>
      </c>
      <c r="F48" s="17">
        <f>SUM('- 21 -'!C48,'- 21 -'!F48,'- 21 -'!I48,'- 22 -'!C48,'- 22 -'!F48,'- 22 -'!I48)</f>
        <v>988947</v>
      </c>
      <c r="G48" s="361">
        <f>F48/'- 3 -'!E48</f>
        <v>0.12320017201609137</v>
      </c>
      <c r="H48" s="17">
        <f>F48/'- 7 -'!G48</f>
        <v>950.4536280634311</v>
      </c>
      <c r="I48" s="17">
        <f>SUM('- 23 -'!F48,'- 23 -'!C48)</f>
        <v>0</v>
      </c>
      <c r="J48" s="361">
        <f>I48/'- 3 -'!E48</f>
        <v>0</v>
      </c>
      <c r="K48" s="17">
        <f>IF(AND(I48&gt;0,'- 7 -'!I48=0),"N/A ",IF(I48&gt;0,I48/'- 7 -'!I48,0))</f>
        <v>0</v>
      </c>
    </row>
    <row r="49" spans="1:11" ht="12.75">
      <c r="A49" s="14">
        <v>43</v>
      </c>
      <c r="B49" s="15" t="s">
        <v>153</v>
      </c>
      <c r="C49" s="15">
        <f>SUM('- 18 -'!C49,'- 18 -'!F49,'- 19 -'!C49,'- 19 -'!F49,'- 19 -'!I49,'- 20 -'!C49)</f>
        <v>3824500</v>
      </c>
      <c r="D49" s="360">
        <f>C49/'- 3 -'!E49</f>
        <v>0.5972981414961737</v>
      </c>
      <c r="E49" s="15">
        <f>C49/'- 7 -'!D49</f>
        <v>4925.305859626529</v>
      </c>
      <c r="F49" s="15">
        <f>SUM('- 21 -'!C49,'- 21 -'!F49,'- 21 -'!I49,'- 22 -'!C49,'- 22 -'!F49,'- 22 -'!I49)</f>
        <v>589700</v>
      </c>
      <c r="G49" s="360">
        <f>F49/'- 3 -'!E49</f>
        <v>0.09209745431828831</v>
      </c>
      <c r="H49" s="15">
        <f>F49/'- 7 -'!G49</f>
        <v>759.4333547971668</v>
      </c>
      <c r="I49" s="15">
        <f>SUM('- 23 -'!F49,'- 23 -'!C49)</f>
        <v>21000</v>
      </c>
      <c r="J49" s="360">
        <f>I49/'- 3 -'!E49</f>
        <v>0.003279712634702483</v>
      </c>
      <c r="K49" s="15">
        <f>IF(AND(I49&gt;0,'- 7 -'!I49=0),"N/A ",IF(I49&gt;0,I49/'- 7 -'!I49,0))</f>
        <v>2100</v>
      </c>
    </row>
    <row r="50" spans="1:11" ht="12.75">
      <c r="A50" s="16">
        <v>44</v>
      </c>
      <c r="B50" s="17" t="s">
        <v>154</v>
      </c>
      <c r="C50" s="17">
        <f>SUM('- 18 -'!C50,'- 18 -'!F50,'- 19 -'!C50,'- 19 -'!F50,'- 19 -'!I50,'- 20 -'!C50)</f>
        <v>5209938</v>
      </c>
      <c r="D50" s="361">
        <f>C50/'- 3 -'!E50</f>
        <v>0.5641649425681917</v>
      </c>
      <c r="E50" s="17">
        <f>C50/'- 7 -'!D50</f>
        <v>4286.250925545043</v>
      </c>
      <c r="F50" s="17">
        <f>SUM('- 21 -'!C50,'- 21 -'!F50,'- 21 -'!I50,'- 22 -'!C50,'- 22 -'!F50,'- 22 -'!I50)</f>
        <v>1174055</v>
      </c>
      <c r="G50" s="361">
        <f>F50/'- 3 -'!E50</f>
        <v>0.12713407945486074</v>
      </c>
      <c r="H50" s="17">
        <f>F50/'- 7 -'!G50</f>
        <v>965.902920608803</v>
      </c>
      <c r="I50" s="17">
        <f>SUM('- 23 -'!F50,'- 23 -'!C50)</f>
        <v>275000</v>
      </c>
      <c r="J50" s="361">
        <f>I50/'- 3 -'!E50</f>
        <v>0.029778734258690355</v>
      </c>
      <c r="K50" s="17">
        <f>IF(AND(I50&gt;0,'- 7 -'!I50=0),"N/A ",IF(I50&gt;0,I50/'- 7 -'!I50,0))</f>
        <v>3666.6666666666665</v>
      </c>
    </row>
    <row r="51" spans="1:11" ht="12.75">
      <c r="A51" s="14">
        <v>45</v>
      </c>
      <c r="B51" s="15" t="s">
        <v>155</v>
      </c>
      <c r="C51" s="15">
        <f>SUM('- 18 -'!C51,'- 18 -'!F51,'- 19 -'!C51,'- 19 -'!F51,'- 19 -'!I51,'- 20 -'!C51)</f>
        <v>6846229</v>
      </c>
      <c r="D51" s="360">
        <f>C51/'- 3 -'!E51</f>
        <v>0.5680005216867973</v>
      </c>
      <c r="E51" s="15">
        <f>C51/'- 7 -'!D51</f>
        <v>3702.665765278529</v>
      </c>
      <c r="F51" s="15">
        <f>SUM('- 21 -'!C51,'- 21 -'!F51,'- 21 -'!I51,'- 22 -'!C51,'- 22 -'!F51,'- 22 -'!I51)</f>
        <v>1450945</v>
      </c>
      <c r="G51" s="360">
        <f>F51/'- 3 -'!E51</f>
        <v>0.12037831584933108</v>
      </c>
      <c r="H51" s="15">
        <f>F51/'- 7 -'!G51</f>
        <v>768.1021704605612</v>
      </c>
      <c r="I51" s="15">
        <f>SUM('- 23 -'!F51,'- 23 -'!C51)</f>
        <v>0</v>
      </c>
      <c r="J51" s="360">
        <f>I51/'- 3 -'!E51</f>
        <v>0</v>
      </c>
      <c r="K51" s="15">
        <f>IF(AND(I51&gt;0,'- 7 -'!I51=0),"N/A ",IF(I51&gt;0,I51/'- 7 -'!I51,0))</f>
        <v>0</v>
      </c>
    </row>
    <row r="52" spans="1:11" ht="12.75">
      <c r="A52" s="16">
        <v>46</v>
      </c>
      <c r="B52" s="17" t="s">
        <v>156</v>
      </c>
      <c r="C52" s="17">
        <f>SUM('- 18 -'!C52,'- 18 -'!F52,'- 19 -'!C52,'- 19 -'!F52,'- 19 -'!I52,'- 20 -'!C52)</f>
        <v>6612182</v>
      </c>
      <c r="D52" s="361">
        <f>C52/'- 3 -'!E52</f>
        <v>0.6236073200354839</v>
      </c>
      <c r="E52" s="17">
        <f>C52/'- 7 -'!D52</f>
        <v>4449.651413189771</v>
      </c>
      <c r="F52" s="17">
        <f>SUM('- 21 -'!C52,'- 21 -'!F52,'- 21 -'!I52,'- 22 -'!C52,'- 22 -'!F52,'- 22 -'!I52)</f>
        <v>944910</v>
      </c>
      <c r="G52" s="361">
        <f>F52/'- 3 -'!E52</f>
        <v>0.0891162392043548</v>
      </c>
      <c r="H52" s="17">
        <f>F52/'- 7 -'!G52</f>
        <v>629.5203197868088</v>
      </c>
      <c r="I52" s="17">
        <f>SUM('- 23 -'!F52,'- 23 -'!C52)</f>
        <v>0</v>
      </c>
      <c r="J52" s="361">
        <f>I52/'- 3 -'!E52</f>
        <v>0</v>
      </c>
      <c r="K52" s="17">
        <f>IF(AND(I52&gt;0,'- 7 -'!I52=0),"N/A ",IF(I52&gt;0,I52/'- 7 -'!I52,0))</f>
        <v>0</v>
      </c>
    </row>
    <row r="53" spans="1:11" ht="12.75">
      <c r="A53" s="14">
        <v>47</v>
      </c>
      <c r="B53" s="15" t="s">
        <v>157</v>
      </c>
      <c r="C53" s="15">
        <f>SUM('- 18 -'!C53,'- 18 -'!F53,'- 19 -'!C53,'- 19 -'!F53,'- 19 -'!I53,'- 20 -'!C53)</f>
        <v>5722611</v>
      </c>
      <c r="D53" s="360">
        <f>C53/'- 3 -'!E53</f>
        <v>0.5975686710299211</v>
      </c>
      <c r="E53" s="15">
        <f>C53/'- 7 -'!D53</f>
        <v>4052.8406515580737</v>
      </c>
      <c r="F53" s="15">
        <f>SUM('- 21 -'!C53,'- 21 -'!F53,'- 21 -'!I53,'- 22 -'!C53,'- 22 -'!F53,'- 22 -'!I53)</f>
        <v>1138047</v>
      </c>
      <c r="G53" s="360">
        <f>F53/'- 3 -'!E53</f>
        <v>0.11883757839901901</v>
      </c>
      <c r="H53" s="15">
        <f>F53/'- 7 -'!G53</f>
        <v>802.0063424947145</v>
      </c>
      <c r="I53" s="15">
        <f>SUM('- 23 -'!F53,'- 23 -'!C53)</f>
        <v>180000</v>
      </c>
      <c r="J53" s="360">
        <f>I53/'- 3 -'!E53</f>
        <v>0.01879602873328028</v>
      </c>
      <c r="K53" s="15">
        <f>IF(AND(I53&gt;0,'- 7 -'!I53=0),"N/A ",IF(I53&gt;0,I53/'- 7 -'!I53,0))</f>
        <v>2117.6470588235293</v>
      </c>
    </row>
    <row r="54" spans="1:11" ht="12.75">
      <c r="A54" s="16">
        <v>48</v>
      </c>
      <c r="B54" s="17" t="s">
        <v>158</v>
      </c>
      <c r="C54" s="17">
        <f>SUM('- 18 -'!C54,'- 18 -'!F54,'- 19 -'!C54,'- 19 -'!F54,'- 19 -'!I54,'- 20 -'!C54)</f>
        <v>28029175</v>
      </c>
      <c r="D54" s="361">
        <f>C54/'- 3 -'!E54</f>
        <v>0.4515669043367229</v>
      </c>
      <c r="E54" s="17">
        <f>C54/'- 7 -'!D54</f>
        <v>5411.037644787645</v>
      </c>
      <c r="F54" s="17">
        <f>SUM('- 21 -'!C54,'- 21 -'!F54,'- 21 -'!I54,'- 22 -'!C54,'- 22 -'!F54,'- 22 -'!I54)</f>
        <v>9600518</v>
      </c>
      <c r="G54" s="361">
        <f>F54/'- 3 -'!E54</f>
        <v>0.1546701318639948</v>
      </c>
      <c r="H54" s="17">
        <f>F54/'- 7 -'!G54</f>
        <v>1849.8107899807321</v>
      </c>
      <c r="I54" s="17">
        <f>SUM('- 23 -'!F54,'- 23 -'!C54)</f>
        <v>0</v>
      </c>
      <c r="J54" s="361">
        <f>I54/'- 3 -'!E54</f>
        <v>0</v>
      </c>
      <c r="K54" s="17">
        <f>IF(AND(I54&gt;0,'- 7 -'!I54=0),"N/A ",IF(I54&gt;0,I54/'- 7 -'!I54,0))</f>
        <v>0</v>
      </c>
    </row>
    <row r="55" spans="1:11" ht="12.75">
      <c r="A55" s="14">
        <v>49</v>
      </c>
      <c r="B55" s="15" t="s">
        <v>159</v>
      </c>
      <c r="C55" s="15">
        <f>SUM('- 18 -'!C55,'- 18 -'!F55,'- 19 -'!C55,'- 19 -'!F55,'- 19 -'!I55,'- 20 -'!C55)</f>
        <v>23042689</v>
      </c>
      <c r="D55" s="360">
        <f>C55/'- 3 -'!E55</f>
        <v>0.5738833406413564</v>
      </c>
      <c r="E55" s="15">
        <f>C55/'- 7 -'!D55</f>
        <v>5391.363827795975</v>
      </c>
      <c r="F55" s="15">
        <f>SUM('- 21 -'!C55,'- 21 -'!F55,'- 21 -'!I55,'- 22 -'!C55,'- 22 -'!F55,'- 22 -'!I55)</f>
        <v>4149860</v>
      </c>
      <c r="G55" s="360">
        <f>F55/'- 3 -'!E55</f>
        <v>0.10335319458566398</v>
      </c>
      <c r="H55" s="15">
        <f>F55/'- 7 -'!G55</f>
        <v>958.3972286374134</v>
      </c>
      <c r="I55" s="15">
        <f>SUM('- 23 -'!F55,'- 23 -'!C55)</f>
        <v>0</v>
      </c>
      <c r="J55" s="360">
        <f>I55/'- 3 -'!E55</f>
        <v>0</v>
      </c>
      <c r="K55" s="15">
        <f>IF(AND(I55&gt;0,'- 7 -'!I55=0),"N/A ",IF(I55&gt;0,I55/'- 7 -'!I55,0))</f>
        <v>0</v>
      </c>
    </row>
    <row r="56" spans="1:11" ht="12.75">
      <c r="A56" s="16">
        <v>50</v>
      </c>
      <c r="B56" s="17" t="s">
        <v>340</v>
      </c>
      <c r="C56" s="17">
        <f>SUM('- 18 -'!C56,'- 18 -'!F56,'- 19 -'!C56,'- 19 -'!F56,'- 19 -'!I56,'- 20 -'!C56)</f>
        <v>8217100</v>
      </c>
      <c r="D56" s="361">
        <f>C56/'- 3 -'!E56</f>
        <v>0.5700974780587643</v>
      </c>
      <c r="E56" s="17">
        <f>C56/'- 7 -'!D56</f>
        <v>4773.221028173105</v>
      </c>
      <c r="F56" s="17">
        <f>SUM('- 21 -'!C56,'- 21 -'!F56,'- 21 -'!I56,'- 22 -'!C56,'- 22 -'!F56,'- 22 -'!I56)</f>
        <v>1822200</v>
      </c>
      <c r="G56" s="361">
        <f>F56/'- 3 -'!E56</f>
        <v>0.12642314496825893</v>
      </c>
      <c r="H56" s="17">
        <f>F56/'- 7 -'!G56</f>
        <v>1058.4954981121116</v>
      </c>
      <c r="I56" s="17">
        <f>SUM('- 23 -'!F56,'- 23 -'!C56)</f>
        <v>0</v>
      </c>
      <c r="J56" s="361">
        <f>I56/'- 3 -'!E56</f>
        <v>0</v>
      </c>
      <c r="K56" s="17">
        <f>IF(AND(I56&gt;0,'- 7 -'!I56=0),"N/A ",IF(I56&gt;0,I56/'- 7 -'!I56,0))</f>
        <v>0</v>
      </c>
    </row>
    <row r="57" spans="1:11" ht="12.75">
      <c r="A57" s="14">
        <v>2264</v>
      </c>
      <c r="B57" s="15" t="s">
        <v>160</v>
      </c>
      <c r="C57" s="15">
        <f>SUM('- 18 -'!C57,'- 18 -'!F57,'- 19 -'!C57,'- 19 -'!F57,'- 19 -'!I57,'- 20 -'!C57)</f>
        <v>1078928</v>
      </c>
      <c r="D57" s="360">
        <f>C57/'- 3 -'!E57</f>
        <v>0.5335485472565664</v>
      </c>
      <c r="E57" s="15">
        <f>C57/'- 7 -'!D57</f>
        <v>5237.514563106796</v>
      </c>
      <c r="F57" s="15">
        <f>SUM('- 21 -'!C57,'- 21 -'!F57,'- 21 -'!I57,'- 22 -'!C57,'- 22 -'!F57,'- 22 -'!I57)</f>
        <v>353553</v>
      </c>
      <c r="G57" s="360">
        <f>F57/'- 3 -'!E57</f>
        <v>0.17483807031442397</v>
      </c>
      <c r="H57" s="15">
        <f>F57/'- 7 -'!G57</f>
        <v>1716.2766990291261</v>
      </c>
      <c r="I57" s="15">
        <f>SUM('- 23 -'!F57,'- 23 -'!C57)</f>
        <v>0</v>
      </c>
      <c r="J57" s="360">
        <f>I57/'- 3 -'!E57</f>
        <v>0</v>
      </c>
      <c r="K57" s="15">
        <f>IF(AND(I57&gt;0,'- 7 -'!I57=0),"N/A ",IF(I57&gt;0,I57/'- 7 -'!I57,0))</f>
        <v>0</v>
      </c>
    </row>
    <row r="58" spans="1:11" ht="12.75">
      <c r="A58" s="16">
        <v>2309</v>
      </c>
      <c r="B58" s="17" t="s">
        <v>161</v>
      </c>
      <c r="C58" s="17">
        <f>SUM('- 18 -'!C58,'- 18 -'!F58,'- 19 -'!C58,'- 19 -'!F58,'- 19 -'!I58,'- 20 -'!C58)</f>
        <v>1331158</v>
      </c>
      <c r="D58" s="361">
        <f>C58/'- 3 -'!E58</f>
        <v>0.6323037015538765</v>
      </c>
      <c r="E58" s="17">
        <f>C58/'- 7 -'!D58</f>
        <v>5086.58005349637</v>
      </c>
      <c r="F58" s="17">
        <f>SUM('- 21 -'!C58,'- 21 -'!F58,'- 21 -'!I58,'- 22 -'!C58,'- 22 -'!F58,'- 22 -'!I58)</f>
        <v>177818</v>
      </c>
      <c r="G58" s="361">
        <f>F58/'- 3 -'!E58</f>
        <v>0.08446403777981817</v>
      </c>
      <c r="H58" s="17">
        <f>F58/'- 7 -'!G58</f>
        <v>679.4726786396637</v>
      </c>
      <c r="I58" s="17">
        <f>SUM('- 23 -'!F58,'- 23 -'!C58)</f>
        <v>0</v>
      </c>
      <c r="J58" s="361">
        <f>I58/'- 3 -'!E58</f>
        <v>0</v>
      </c>
      <c r="K58" s="17">
        <f>IF(AND(I58&gt;0,'- 7 -'!I58=0),"N/A ",IF(I58&gt;0,I58/'- 7 -'!I58,0))</f>
        <v>0</v>
      </c>
    </row>
    <row r="59" spans="1:11" ht="12.75">
      <c r="A59" s="14">
        <v>2312</v>
      </c>
      <c r="B59" s="15" t="s">
        <v>162</v>
      </c>
      <c r="C59" s="15">
        <f>SUM('- 18 -'!C59,'- 18 -'!F59,'- 19 -'!C59,'- 19 -'!F59,'- 19 -'!I59,'- 20 -'!C59)</f>
        <v>871870</v>
      </c>
      <c r="D59" s="360">
        <f>C59/'- 3 -'!E59</f>
        <v>0.5591533976199088</v>
      </c>
      <c r="E59" s="15">
        <f>C59/'- 7 -'!D59</f>
        <v>5025.187319884726</v>
      </c>
      <c r="F59" s="15">
        <f>SUM('- 21 -'!C59,'- 21 -'!F59,'- 21 -'!I59,'- 22 -'!C59,'- 22 -'!F59,'- 22 -'!I59)</f>
        <v>248564</v>
      </c>
      <c r="G59" s="360">
        <f>F59/'- 3 -'!E59</f>
        <v>0.15941069784026865</v>
      </c>
      <c r="H59" s="15">
        <f>F59/'- 7 -'!G59</f>
        <v>1432.6455331412103</v>
      </c>
      <c r="I59" s="15">
        <f>SUM('- 23 -'!F59,'- 23 -'!C59)</f>
        <v>0</v>
      </c>
      <c r="J59" s="360">
        <f>I59/'- 3 -'!E59</f>
        <v>0</v>
      </c>
      <c r="K59" s="15">
        <f>IF(AND(I59&gt;0,'- 7 -'!I59=0),"N/A ",IF(I59&gt;0,I59/'- 7 -'!I59,0))</f>
        <v>0</v>
      </c>
    </row>
    <row r="60" spans="1:11" ht="12.75">
      <c r="A60" s="16">
        <v>2355</v>
      </c>
      <c r="B60" s="17" t="s">
        <v>163</v>
      </c>
      <c r="C60" s="17">
        <f>SUM('- 18 -'!C60,'- 18 -'!F60,'- 19 -'!C60,'- 19 -'!F60,'- 19 -'!I60,'- 20 -'!C60)</f>
        <v>15815815</v>
      </c>
      <c r="D60" s="361">
        <f>C60/'- 3 -'!E60</f>
        <v>0.6164776310642253</v>
      </c>
      <c r="E60" s="17">
        <f>C60/'- 7 -'!D60</f>
        <v>4834.511713496197</v>
      </c>
      <c r="F60" s="17">
        <f>SUM('- 21 -'!C60,'- 21 -'!F60,'- 21 -'!I60,'- 22 -'!C60,'- 22 -'!F60,'- 22 -'!I60)</f>
        <v>3494162</v>
      </c>
      <c r="G60" s="361">
        <f>F60/'- 3 -'!E60</f>
        <v>0.1361973892786831</v>
      </c>
      <c r="H60" s="17">
        <f>F60/'- 7 -'!G60</f>
        <v>1043.189132706374</v>
      </c>
      <c r="I60" s="17">
        <f>SUM('- 23 -'!F60,'- 23 -'!C60)</f>
        <v>0</v>
      </c>
      <c r="J60" s="361">
        <f>I60/'- 3 -'!E60</f>
        <v>0</v>
      </c>
      <c r="K60" s="17">
        <f>IF(AND(I60&gt;0,'- 7 -'!I60=0),"N/A ",IF(I60&gt;0,I60/'- 7 -'!I60,0))</f>
        <v>0</v>
      </c>
    </row>
    <row r="61" spans="1:11" ht="12.75">
      <c r="A61" s="14">
        <v>2439</v>
      </c>
      <c r="B61" s="15" t="s">
        <v>164</v>
      </c>
      <c r="C61" s="15">
        <f>SUM('- 18 -'!C61,'- 18 -'!F61,'- 19 -'!C61,'- 19 -'!F61,'- 19 -'!I61,'- 20 -'!C61)</f>
        <v>693940</v>
      </c>
      <c r="D61" s="360">
        <f>C61/'- 3 -'!E61</f>
        <v>0.5108024929905802</v>
      </c>
      <c r="E61" s="15">
        <f>C61/'- 7 -'!D61</f>
        <v>4378.170347003154</v>
      </c>
      <c r="F61" s="15">
        <f>SUM('- 21 -'!C61,'- 21 -'!F61,'- 21 -'!I61,'- 22 -'!C61,'- 22 -'!F61,'- 22 -'!I61)</f>
        <v>278981</v>
      </c>
      <c r="G61" s="360">
        <f>F61/'- 3 -'!E61</f>
        <v>0.2053552040479077</v>
      </c>
      <c r="H61" s="15">
        <f>F61/'- 7 -'!G61</f>
        <v>1760.1324921135647</v>
      </c>
      <c r="I61" s="15">
        <f>SUM('- 23 -'!F61,'- 23 -'!C61)</f>
        <v>0</v>
      </c>
      <c r="J61" s="360">
        <f>I61/'- 3 -'!E61</f>
        <v>0</v>
      </c>
      <c r="K61" s="15">
        <f>IF(AND(I61&gt;0,'- 7 -'!I61=0),"N/A ",IF(I61&gt;0,I61/'- 7 -'!I61,0))</f>
        <v>0</v>
      </c>
    </row>
    <row r="62" spans="1:11" ht="12.75">
      <c r="A62" s="16">
        <v>2460</v>
      </c>
      <c r="B62" s="17" t="s">
        <v>165</v>
      </c>
      <c r="C62" s="17">
        <f>SUM('- 18 -'!C62,'- 18 -'!F62,'- 19 -'!C62,'- 19 -'!F62,'- 19 -'!I62,'- 20 -'!C62)</f>
        <v>1134400</v>
      </c>
      <c r="D62" s="361">
        <f>C62/'- 3 -'!E62</f>
        <v>0.5273865356506604</v>
      </c>
      <c r="E62" s="17">
        <f>C62/'- 7 -'!D62</f>
        <v>4167.523879500368</v>
      </c>
      <c r="F62" s="17">
        <f>SUM('- 21 -'!C62,'- 21 -'!F62,'- 21 -'!I62,'- 22 -'!C62,'- 22 -'!F62,'- 22 -'!I62)</f>
        <v>156750</v>
      </c>
      <c r="G62" s="361">
        <f>F62/'- 3 -'!E62</f>
        <v>0.0728736243505298</v>
      </c>
      <c r="H62" s="17">
        <f>F62/'- 7 -'!G62</f>
        <v>575.8633357825129</v>
      </c>
      <c r="I62" s="17">
        <f>SUM('- 23 -'!F62,'- 23 -'!C62)</f>
        <v>0</v>
      </c>
      <c r="J62" s="361">
        <f>I62/'- 3 -'!E62</f>
        <v>0</v>
      </c>
      <c r="K62" s="17">
        <f>IF(AND(I62&gt;0,'- 7 -'!I62=0),"N/A ",IF(I62&gt;0,I62/'- 7 -'!I62,0))</f>
        <v>0</v>
      </c>
    </row>
    <row r="63" spans="1:11" ht="12.75">
      <c r="A63" s="14">
        <v>3000</v>
      </c>
      <c r="B63" s="15" t="s">
        <v>363</v>
      </c>
      <c r="C63" s="15">
        <f>SUM('- 18 -'!C63,'- 18 -'!F63,'- 19 -'!C63,'- 19 -'!F63,'- 19 -'!I63,'- 20 -'!C63)</f>
        <v>3794310</v>
      </c>
      <c r="D63" s="360">
        <f>C63/'- 3 -'!E63</f>
        <v>0.5246505461575253</v>
      </c>
      <c r="E63" s="15">
        <f>C63/'- 7 -'!D63</f>
        <v>4741.702074481379</v>
      </c>
      <c r="F63" s="15">
        <f>SUM('- 21 -'!C63,'- 21 -'!F63,'- 21 -'!I63,'- 22 -'!C63,'- 22 -'!F63,'- 22 -'!I63)</f>
        <v>196822</v>
      </c>
      <c r="G63" s="360">
        <f>F63/'- 3 -'!E63</f>
        <v>0.027215164231656465</v>
      </c>
      <c r="H63" s="15">
        <f>F63/'- 7 -'!G63</f>
        <v>245.96600849787552</v>
      </c>
      <c r="I63" s="15">
        <f>SUM('- 23 -'!F63,'- 23 -'!C63)</f>
        <v>243000</v>
      </c>
      <c r="J63" s="360">
        <f>I63/'- 3 -'!E63</f>
        <v>0.033600333846279994</v>
      </c>
      <c r="K63" s="15">
        <f>IF(AND(I63&gt;0,'- 7 -'!I63=0),"N/A ",IF(I63&gt;0,I63/'- 7 -'!I63,0))</f>
        <v>4792.899408284024</v>
      </c>
    </row>
    <row r="64" spans="1:11" ht="4.5" customHeight="1">
      <c r="A64" s="18"/>
      <c r="B64" s="18"/>
      <c r="C64" s="18"/>
      <c r="D64" s="198"/>
      <c r="E64" s="18"/>
      <c r="F64" s="18"/>
      <c r="G64" s="198"/>
      <c r="H64" s="18"/>
      <c r="I64" s="18"/>
      <c r="J64" s="198"/>
      <c r="K64" s="18"/>
    </row>
    <row r="65" spans="1:11" ht="12.75">
      <c r="A65" s="20"/>
      <c r="B65" s="21" t="s">
        <v>166</v>
      </c>
      <c r="C65" s="21">
        <f>SUM(C11:C63)</f>
        <v>792002729.74</v>
      </c>
      <c r="D65" s="103">
        <f>C65/'- 3 -'!E65</f>
        <v>0.5860887687430237</v>
      </c>
      <c r="E65" s="21">
        <f>C65/'- 7 -'!D65</f>
        <v>4435.608707293902</v>
      </c>
      <c r="F65" s="21">
        <f>SUM(F11:F63)</f>
        <v>189584848.3675</v>
      </c>
      <c r="G65" s="103">
        <f>F65/'- 3 -'!E65</f>
        <v>0.14029440326363204</v>
      </c>
      <c r="H65" s="21">
        <f>F65/'- 7 -'!G65</f>
        <v>1048.0408023808127</v>
      </c>
      <c r="I65" s="21">
        <f>SUM(I11:I63)</f>
        <v>3195457.2</v>
      </c>
      <c r="J65" s="103">
        <f>I65/'- 3 -'!E65</f>
        <v>0.0023646655568142338</v>
      </c>
      <c r="K65" s="21">
        <f>I65/'- 7 -'!I65</f>
        <v>3632.8526603001364</v>
      </c>
    </row>
    <row r="66" spans="1:11" ht="4.5" customHeight="1">
      <c r="A66" s="18"/>
      <c r="B66" s="18"/>
      <c r="C66" s="18"/>
      <c r="D66" s="198"/>
      <c r="E66" s="18"/>
      <c r="F66" s="18"/>
      <c r="G66" s="198"/>
      <c r="H66" s="18"/>
      <c r="I66" s="18"/>
      <c r="J66" s="198"/>
      <c r="K66" s="18"/>
    </row>
    <row r="67" spans="1:11" ht="12.75">
      <c r="A67" s="16">
        <v>2155</v>
      </c>
      <c r="B67" s="17" t="s">
        <v>167</v>
      </c>
      <c r="C67" s="17">
        <f>SUM('- 18 -'!C67,'- 18 -'!F67,'- 19 -'!C67,'- 19 -'!F67,'- 19 -'!I67,'- 20 -'!C67)</f>
        <v>886364</v>
      </c>
      <c r="D67" s="361">
        <f>C67/'- 3 -'!E67</f>
        <v>0.6682559500114598</v>
      </c>
      <c r="E67" s="17">
        <f>C67/'- 7 -'!D67</f>
        <v>6242</v>
      </c>
      <c r="F67" s="17">
        <f>SUM('- 21 -'!C67,'- 21 -'!F67,'- 21 -'!I67,'- 22 -'!C67,'- 22 -'!F67,'- 22 -'!I67)</f>
        <v>117473</v>
      </c>
      <c r="G67" s="361">
        <f>F67/'- 3 -'!E67</f>
        <v>0.08856635785715147</v>
      </c>
      <c r="H67" s="17">
        <f>F67/'- 7 -'!G67</f>
        <v>827.2746478873239</v>
      </c>
      <c r="I67" s="17">
        <f>SUM('- 23 -'!F67,'- 23 -'!C67)</f>
        <v>0</v>
      </c>
      <c r="J67" s="361">
        <f>I67/'- 3 -'!E67</f>
        <v>0</v>
      </c>
      <c r="K67" s="17">
        <f>IF(AND(I67&gt;0,'- 7 -'!I67=0),"N/A ",IF(I67&gt;0,I67/'- 7 -'!I67,0))</f>
        <v>0</v>
      </c>
    </row>
    <row r="68" spans="1:11" ht="12.75">
      <c r="A68" s="14">
        <v>2408</v>
      </c>
      <c r="B68" s="15" t="s">
        <v>169</v>
      </c>
      <c r="C68" s="15">
        <f>SUM('- 18 -'!C68,'- 18 -'!F68,'- 19 -'!C68,'- 19 -'!F68,'- 19 -'!I68,'- 20 -'!C68)</f>
        <v>1459102</v>
      </c>
      <c r="D68" s="360">
        <f>C68/'- 3 -'!E68</f>
        <v>0.6350645139528153</v>
      </c>
      <c r="E68" s="15">
        <f>C68/'- 7 -'!D68</f>
        <v>5979.926229508197</v>
      </c>
      <c r="F68" s="15">
        <f>SUM('- 21 -'!C68,'- 21 -'!F68,'- 21 -'!I68,'- 22 -'!C68,'- 22 -'!F68,'- 22 -'!I68)</f>
        <v>179099</v>
      </c>
      <c r="G68" s="360">
        <f>F68/'- 3 -'!E68</f>
        <v>0.0779516575156742</v>
      </c>
      <c r="H68" s="15">
        <f>F68/'- 7 -'!G68</f>
        <v>734.0122950819672</v>
      </c>
      <c r="I68" s="15">
        <f>SUM('- 23 -'!F68,'- 23 -'!C68)</f>
        <v>0</v>
      </c>
      <c r="J68" s="360">
        <f>I68/'- 3 -'!E68</f>
        <v>0</v>
      </c>
      <c r="K68" s="15">
        <f>IF(AND(I68&gt;0,'- 7 -'!I68=0),"N/A ",IF(I68&gt;0,I68/'- 7 -'!I68,0))</f>
        <v>0</v>
      </c>
    </row>
    <row r="69" ht="6.75" customHeight="1">
      <c r="K69"/>
    </row>
    <row r="70" spans="1:11" ht="12" customHeight="1">
      <c r="A70" s="396" t="s">
        <v>351</v>
      </c>
      <c r="B70" s="359" t="s">
        <v>512</v>
      </c>
      <c r="C70" s="18"/>
      <c r="D70" s="18"/>
      <c r="E70" s="18"/>
      <c r="F70" s="18"/>
      <c r="G70" s="18"/>
      <c r="H70" s="18"/>
      <c r="I70" s="18"/>
      <c r="J70" s="18"/>
      <c r="K70"/>
    </row>
    <row r="71" spans="1:11" ht="8.25" customHeight="1">
      <c r="A71" s="7"/>
      <c r="B71" s="7"/>
      <c r="C71" s="151"/>
      <c r="D71" s="151"/>
      <c r="F71" s="151"/>
      <c r="G71" s="151"/>
      <c r="I71" s="151"/>
      <c r="J71" s="151"/>
      <c r="K71"/>
    </row>
    <row r="72" spans="1:11" ht="12" customHeight="1">
      <c r="A72" s="7"/>
      <c r="B72" s="7"/>
      <c r="C72" s="18"/>
      <c r="D72" s="18"/>
      <c r="E72" s="18"/>
      <c r="F72" s="18"/>
      <c r="G72" s="18"/>
      <c r="H72" s="18"/>
      <c r="I72" s="18"/>
      <c r="J72" s="18"/>
      <c r="K72"/>
    </row>
    <row r="73" spans="1:11" ht="12" customHeight="1">
      <c r="A73" s="7"/>
      <c r="B73" s="7"/>
      <c r="C73" s="18"/>
      <c r="D73" s="18"/>
      <c r="E73" s="18"/>
      <c r="F73" s="18"/>
      <c r="G73" s="18"/>
      <c r="H73" s="18"/>
      <c r="I73" s="18"/>
      <c r="J73" s="18"/>
      <c r="K73" s="18"/>
    </row>
    <row r="74" spans="1:11" ht="12" customHeight="1">
      <c r="A74" s="7"/>
      <c r="B74" s="7"/>
      <c r="C74" s="18"/>
      <c r="D74" s="18"/>
      <c r="E74" s="18"/>
      <c r="F74" s="18"/>
      <c r="G74" s="18"/>
      <c r="H74" s="18"/>
      <c r="I74" s="18"/>
      <c r="J74" s="18"/>
      <c r="K74" s="18"/>
    </row>
    <row r="75" spans="3:11" ht="12" customHeight="1">
      <c r="C75" s="18"/>
      <c r="D75" s="18"/>
      <c r="E75" s="18"/>
      <c r="F75" s="18"/>
      <c r="G75" s="18"/>
      <c r="H75" s="18"/>
      <c r="I75" s="18"/>
      <c r="J75" s="18"/>
      <c r="K75" s="18"/>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8"/>
      <c r="B1" s="22"/>
      <c r="C1" s="57"/>
      <c r="D1" s="57"/>
      <c r="E1" s="57"/>
      <c r="F1" s="57"/>
      <c r="G1" s="57"/>
      <c r="H1" s="57"/>
      <c r="I1" s="57"/>
      <c r="J1" s="57"/>
      <c r="K1" s="57"/>
    </row>
    <row r="2" spans="1:11" ht="12.75">
      <c r="A2" s="9"/>
      <c r="B2" s="24"/>
      <c r="C2" s="58" t="s">
        <v>1</v>
      </c>
      <c r="D2" s="58"/>
      <c r="E2" s="58"/>
      <c r="F2" s="58"/>
      <c r="G2" s="58"/>
      <c r="H2" s="58"/>
      <c r="I2" s="59"/>
      <c r="J2" s="61"/>
      <c r="K2" s="61" t="s">
        <v>4</v>
      </c>
    </row>
    <row r="3" spans="1:11" ht="12.75">
      <c r="A3" s="10"/>
      <c r="B3" s="28"/>
      <c r="C3" s="62" t="str">
        <f>YEAR</f>
        <v>OPERATING FUND BUDGET 2002/2003</v>
      </c>
      <c r="D3" s="62"/>
      <c r="E3" s="62"/>
      <c r="F3" s="62"/>
      <c r="G3" s="62"/>
      <c r="H3" s="62"/>
      <c r="I3" s="63"/>
      <c r="J3" s="64"/>
      <c r="K3" s="64"/>
    </row>
    <row r="4" spans="1:11" ht="12.75">
      <c r="A4" s="11"/>
      <c r="B4" s="18"/>
      <c r="C4" s="57"/>
      <c r="D4" s="57"/>
      <c r="E4" s="57"/>
      <c r="F4" s="57"/>
      <c r="G4" s="57"/>
      <c r="H4" s="57"/>
      <c r="I4" s="57"/>
      <c r="J4" s="57"/>
      <c r="K4" s="57"/>
    </row>
    <row r="5" spans="1:11" ht="12.75">
      <c r="A5" s="11"/>
      <c r="B5" s="18"/>
      <c r="C5" s="57"/>
      <c r="D5" s="57"/>
      <c r="E5" s="57"/>
      <c r="F5" s="57"/>
      <c r="G5" s="57"/>
      <c r="H5" s="57"/>
      <c r="I5" s="57"/>
      <c r="J5" s="57"/>
      <c r="K5" s="57"/>
    </row>
    <row r="6" spans="1:11" ht="12.75">
      <c r="A6" s="11"/>
      <c r="B6" s="18"/>
      <c r="C6" s="68" t="s">
        <v>65</v>
      </c>
      <c r="D6" s="66"/>
      <c r="E6" s="67"/>
      <c r="F6" s="68" t="s">
        <v>332</v>
      </c>
      <c r="G6" s="66"/>
      <c r="H6" s="67"/>
      <c r="I6" s="68" t="s">
        <v>30</v>
      </c>
      <c r="J6" s="66"/>
      <c r="K6" s="67"/>
    </row>
    <row r="7" spans="1:11" ht="12.75">
      <c r="A7" s="18"/>
      <c r="B7" s="18"/>
      <c r="C7" s="69" t="s">
        <v>419</v>
      </c>
      <c r="D7" s="70"/>
      <c r="E7" s="71"/>
      <c r="F7" s="69" t="s">
        <v>38</v>
      </c>
      <c r="G7" s="70"/>
      <c r="H7" s="71"/>
      <c r="I7" s="69" t="s">
        <v>45</v>
      </c>
      <c r="J7" s="70"/>
      <c r="K7" s="71"/>
    </row>
    <row r="8" spans="1:11" ht="12.75">
      <c r="A8" s="45"/>
      <c r="B8" s="46"/>
      <c r="C8" s="79" t="s">
        <v>3</v>
      </c>
      <c r="D8" s="72"/>
      <c r="E8" s="73" t="s">
        <v>75</v>
      </c>
      <c r="F8" s="74"/>
      <c r="G8" s="73"/>
      <c r="H8" s="73" t="s">
        <v>75</v>
      </c>
      <c r="I8" s="74"/>
      <c r="J8" s="73"/>
      <c r="K8" s="73" t="s">
        <v>75</v>
      </c>
    </row>
    <row r="9" spans="1:11" ht="12.75">
      <c r="A9" s="52" t="s">
        <v>100</v>
      </c>
      <c r="B9" s="53" t="s">
        <v>101</v>
      </c>
      <c r="C9" s="75" t="s">
        <v>102</v>
      </c>
      <c r="D9" s="76" t="s">
        <v>103</v>
      </c>
      <c r="E9" s="76" t="s">
        <v>104</v>
      </c>
      <c r="F9" s="76" t="s">
        <v>102</v>
      </c>
      <c r="G9" s="76" t="s">
        <v>103</v>
      </c>
      <c r="H9" s="76" t="s">
        <v>104</v>
      </c>
      <c r="I9" s="76" t="s">
        <v>102</v>
      </c>
      <c r="J9" s="76" t="s">
        <v>103</v>
      </c>
      <c r="K9" s="76" t="s">
        <v>104</v>
      </c>
    </row>
    <row r="10" spans="1:11" ht="4.5" customHeight="1">
      <c r="A10" s="77"/>
      <c r="B10" s="77"/>
      <c r="C10" s="18"/>
      <c r="D10" s="18"/>
      <c r="E10" s="18"/>
      <c r="F10" s="18"/>
      <c r="G10" s="18"/>
      <c r="H10" s="18"/>
      <c r="I10" s="18"/>
      <c r="J10" s="18"/>
      <c r="K10" s="18"/>
    </row>
    <row r="11" spans="1:11" ht="12.75">
      <c r="A11" s="14">
        <v>1</v>
      </c>
      <c r="B11" s="15" t="s">
        <v>115</v>
      </c>
      <c r="C11" s="15">
        <f>SUM('- 24 -'!I11,'- 24 -'!G11,'- 24 -'!E11,'- 24 -'!C11)</f>
        <v>4897900</v>
      </c>
      <c r="D11" s="360">
        <f>C11/'- 3 -'!E11</f>
        <v>0.019271121253553406</v>
      </c>
      <c r="E11" s="15">
        <f>C11/'- 7 -'!G11</f>
        <v>158.41580956077365</v>
      </c>
      <c r="F11" s="15">
        <f>SUM('- 25 -'!C11,'- 25 -'!F11,'- 25 -'!I11,'- 26 -'!C11)</f>
        <v>7115200</v>
      </c>
      <c r="G11" s="360">
        <f>F11/'- 3 -'!E11</f>
        <v>0.027995239172560322</v>
      </c>
      <c r="H11" s="15">
        <f>F11/'- 7 -'!G11</f>
        <v>230.13131509153243</v>
      </c>
      <c r="I11" s="15">
        <f>SUM('- 29 -'!C11,'- 28 -'!I11,'- 28 -'!F11,'- 28 -'!C11,'- 27 -'!I11,'- 27 -'!F11,'- 27 -'!C11)</f>
        <v>12653200</v>
      </c>
      <c r="J11" s="360">
        <f>I11/'- 3 -'!E11</f>
        <v>0.04978487748738479</v>
      </c>
      <c r="K11" s="15">
        <f>I11/'- 7 -'!G11</f>
        <v>409.25027492075816</v>
      </c>
    </row>
    <row r="12" spans="1:11" ht="12.75">
      <c r="A12" s="16">
        <v>2</v>
      </c>
      <c r="B12" s="17" t="s">
        <v>116</v>
      </c>
      <c r="C12" s="17">
        <f>SUM('- 24 -'!I12,'- 24 -'!G12,'- 24 -'!E12,'- 24 -'!C12)</f>
        <v>442559</v>
      </c>
      <c r="D12" s="361">
        <f>C12/'- 3 -'!E12</f>
        <v>0.007045773303387456</v>
      </c>
      <c r="E12" s="17">
        <f>C12/'- 7 -'!G12</f>
        <v>48.38931531413327</v>
      </c>
      <c r="F12" s="17">
        <f>SUM('- 25 -'!C12,'- 25 -'!F12,'- 25 -'!I12,'- 26 -'!C12)</f>
        <v>2013212</v>
      </c>
      <c r="G12" s="361">
        <f>F12/'- 3 -'!E12</f>
        <v>0.03205139961826393</v>
      </c>
      <c r="H12" s="17">
        <f>F12/'- 7 -'!G12</f>
        <v>220.12421001989986</v>
      </c>
      <c r="I12" s="17">
        <f>SUM('- 29 -'!C12,'- 28 -'!I12,'- 28 -'!F12,'- 28 -'!C12,'- 27 -'!I12,'- 27 -'!F12,'- 27 -'!C12)</f>
        <v>2943770</v>
      </c>
      <c r="J12" s="361">
        <f>I12/'- 3 -'!E12</f>
        <v>0.04686637505352482</v>
      </c>
      <c r="K12" s="17">
        <f>I12/'- 7 -'!G12</f>
        <v>321.8712414441602</v>
      </c>
    </row>
    <row r="13" spans="1:11" ht="12.75">
      <c r="A13" s="14">
        <v>3</v>
      </c>
      <c r="B13" s="15" t="s">
        <v>117</v>
      </c>
      <c r="C13" s="15">
        <f>SUM('- 24 -'!I13,'- 24 -'!G13,'- 24 -'!E13,'- 24 -'!C13)</f>
        <v>15113</v>
      </c>
      <c r="D13" s="360">
        <f>C13/'- 3 -'!E13</f>
        <v>0.0003409360439354284</v>
      </c>
      <c r="E13" s="15">
        <f>C13/'- 7 -'!G13</f>
        <v>2.6304064050126184</v>
      </c>
      <c r="F13" s="15">
        <f>SUM('- 25 -'!C13,'- 25 -'!F13,'- 25 -'!I13,'- 26 -'!C13)</f>
        <v>1502995</v>
      </c>
      <c r="G13" s="360">
        <f>F13/'- 3 -'!E13</f>
        <v>0.033906250867116336</v>
      </c>
      <c r="H13" s="15">
        <f>F13/'- 7 -'!G13</f>
        <v>261.59516143068487</v>
      </c>
      <c r="I13" s="15">
        <f>SUM('- 29 -'!C13,'- 28 -'!I13,'- 28 -'!F13,'- 28 -'!C13,'- 27 -'!I13,'- 27 -'!F13,'- 27 -'!C13)</f>
        <v>2705530</v>
      </c>
      <c r="J13" s="360">
        <f>I13/'- 3 -'!E13</f>
        <v>0.061034387279072295</v>
      </c>
      <c r="K13" s="15">
        <f>I13/'- 7 -'!G13</f>
        <v>470.89548342180836</v>
      </c>
    </row>
    <row r="14" spans="1:11" ht="12.75">
      <c r="A14" s="16">
        <v>4</v>
      </c>
      <c r="B14" s="17" t="s">
        <v>118</v>
      </c>
      <c r="C14" s="17">
        <f>SUM('- 24 -'!I14,'- 24 -'!G14,'- 24 -'!E14,'- 24 -'!C14)</f>
        <v>182669</v>
      </c>
      <c r="D14" s="361">
        <f>C14/'- 3 -'!E14</f>
        <v>0.004194601841423526</v>
      </c>
      <c r="E14" s="17">
        <f>C14/'- 7 -'!G14</f>
        <v>29.32557392839942</v>
      </c>
      <c r="F14" s="17">
        <f>SUM('- 25 -'!C14,'- 25 -'!F14,'- 25 -'!I14,'- 26 -'!C14)</f>
        <v>1328699</v>
      </c>
      <c r="G14" s="361">
        <f>F14/'- 3 -'!E14</f>
        <v>0.03051072306794036</v>
      </c>
      <c r="H14" s="17">
        <f>F14/'- 7 -'!G14</f>
        <v>213.3085567506823</v>
      </c>
      <c r="I14" s="17">
        <f>SUM('- 29 -'!C14,'- 28 -'!I14,'- 28 -'!F14,'- 28 -'!C14,'- 27 -'!I14,'- 27 -'!F14,'- 27 -'!C14)</f>
        <v>2837447</v>
      </c>
      <c r="J14" s="361">
        <f>I14/'- 3 -'!E14</f>
        <v>0.06515588529603633</v>
      </c>
      <c r="K14" s="17">
        <f>I14/'- 7 -'!G14</f>
        <v>455.52207416920857</v>
      </c>
    </row>
    <row r="15" spans="1:11" ht="12.75">
      <c r="A15" s="14">
        <v>5</v>
      </c>
      <c r="B15" s="15" t="s">
        <v>119</v>
      </c>
      <c r="C15" s="15">
        <f>SUM('- 24 -'!I15,'- 24 -'!G15,'- 24 -'!E15,'- 24 -'!C15)</f>
        <v>20650</v>
      </c>
      <c r="D15" s="360">
        <f>C15/'- 3 -'!E15</f>
        <v>0.0003809520928115152</v>
      </c>
      <c r="E15" s="15">
        <f>C15/'- 7 -'!G15</f>
        <v>2.8567475963201217</v>
      </c>
      <c r="F15" s="15">
        <f>SUM('- 25 -'!C15,'- 25 -'!F15,'- 25 -'!I15,'- 26 -'!C15)</f>
        <v>2399537</v>
      </c>
      <c r="G15" s="360">
        <f>F15/'- 3 -'!E15</f>
        <v>0.04426676232100071</v>
      </c>
      <c r="H15" s="15">
        <f>F15/'- 7 -'!G15</f>
        <v>331.9550390814139</v>
      </c>
      <c r="I15" s="15">
        <f>SUM('- 29 -'!C15,'- 28 -'!I15,'- 28 -'!F15,'- 28 -'!C15,'- 27 -'!I15,'- 27 -'!F15,'- 27 -'!C15)</f>
        <v>3659950</v>
      </c>
      <c r="J15" s="360">
        <f>I15/'- 3 -'!E15</f>
        <v>0.06751891583949177</v>
      </c>
      <c r="K15" s="15">
        <f>I15/'- 7 -'!G15</f>
        <v>506.32219685965276</v>
      </c>
    </row>
    <row r="16" spans="1:11" ht="12.75">
      <c r="A16" s="16">
        <v>6</v>
      </c>
      <c r="B16" s="17" t="s">
        <v>120</v>
      </c>
      <c r="C16" s="17">
        <f>SUM('- 24 -'!I16,'- 24 -'!G16,'- 24 -'!E16,'- 24 -'!C16)</f>
        <v>321952</v>
      </c>
      <c r="D16" s="361">
        <f>C16/'- 3 -'!E16</f>
        <v>0.005166513803853812</v>
      </c>
      <c r="E16" s="17">
        <f>C16/'- 7 -'!G16</f>
        <v>36.225260196905765</v>
      </c>
      <c r="F16" s="17">
        <f>SUM('- 25 -'!C16,'- 25 -'!F16,'- 25 -'!I16,'- 26 -'!C16)</f>
        <v>2061264</v>
      </c>
      <c r="G16" s="361">
        <f>F16/'- 3 -'!E16</f>
        <v>0.033078064150515986</v>
      </c>
      <c r="H16" s="17">
        <f>F16/'- 7 -'!G16</f>
        <v>231.9284388185654</v>
      </c>
      <c r="I16" s="17">
        <f>SUM('- 29 -'!C16,'- 28 -'!I16,'- 28 -'!F16,'- 28 -'!C16,'- 27 -'!I16,'- 27 -'!F16,'- 27 -'!C16)</f>
        <v>4248155</v>
      </c>
      <c r="J16" s="361">
        <f>I16/'- 3 -'!E16</f>
        <v>0.06817212332400666</v>
      </c>
      <c r="K16" s="17">
        <f>I16/'- 7 -'!G16</f>
        <v>477.99212376933895</v>
      </c>
    </row>
    <row r="17" spans="1:11" ht="12.75">
      <c r="A17" s="14">
        <v>9</v>
      </c>
      <c r="B17" s="15" t="s">
        <v>121</v>
      </c>
      <c r="C17" s="15">
        <f>SUM('- 24 -'!I17,'- 24 -'!G17,'- 24 -'!E17,'- 24 -'!C17)</f>
        <v>298595</v>
      </c>
      <c r="D17" s="360">
        <f>C17/'- 3 -'!E17</f>
        <v>0.00355954009256652</v>
      </c>
      <c r="E17" s="15">
        <f>C17/'- 7 -'!G17</f>
        <v>24.070536074163645</v>
      </c>
      <c r="F17" s="15">
        <f>SUM('- 25 -'!C17,'- 25 -'!F17,'- 25 -'!I17,'- 26 -'!C17)</f>
        <v>2425975</v>
      </c>
      <c r="G17" s="360">
        <f>F17/'- 3 -'!E17</f>
        <v>0.028919959396721522</v>
      </c>
      <c r="H17" s="15">
        <f>F17/'- 7 -'!G17</f>
        <v>195.56428859330916</v>
      </c>
      <c r="I17" s="15">
        <f>SUM('- 29 -'!C17,'- 28 -'!I17,'- 28 -'!F17,'- 28 -'!C17,'- 27 -'!I17,'- 27 -'!F17,'- 27 -'!C17)</f>
        <v>5160931</v>
      </c>
      <c r="J17" s="360">
        <f>I17/'- 3 -'!E17</f>
        <v>0.061523270012791315</v>
      </c>
      <c r="K17" s="15">
        <f>I17/'- 7 -'!G17</f>
        <v>416.03635630794037</v>
      </c>
    </row>
    <row r="18" spans="1:11" ht="12.75">
      <c r="A18" s="16">
        <v>10</v>
      </c>
      <c r="B18" s="17" t="s">
        <v>122</v>
      </c>
      <c r="C18" s="17">
        <f>SUM('- 24 -'!I18,'- 24 -'!G18,'- 24 -'!E18,'- 24 -'!C18)</f>
        <v>79047</v>
      </c>
      <c r="D18" s="361">
        <f>C18/'- 3 -'!E18</f>
        <v>0.0012760552978281618</v>
      </c>
      <c r="E18" s="17">
        <f>C18/'- 7 -'!G18</f>
        <v>9.16540089280538</v>
      </c>
      <c r="F18" s="17">
        <f>SUM('- 25 -'!C18,'- 25 -'!F18,'- 25 -'!I18,'- 26 -'!C18)</f>
        <v>2062908</v>
      </c>
      <c r="G18" s="361">
        <f>F18/'- 3 -'!E18</f>
        <v>0.03330151280038582</v>
      </c>
      <c r="H18" s="17">
        <f>F18/'- 7 -'!G18</f>
        <v>239.1916053104528</v>
      </c>
      <c r="I18" s="17">
        <f>SUM('- 29 -'!C18,'- 28 -'!I18,'- 28 -'!F18,'- 28 -'!C18,'- 27 -'!I18,'- 27 -'!F18,'- 27 -'!C18)</f>
        <v>3121420</v>
      </c>
      <c r="J18" s="361">
        <f>I18/'- 3 -'!E18</f>
        <v>0.05038906634972587</v>
      </c>
      <c r="K18" s="17">
        <f>I18/'- 7 -'!G18</f>
        <v>361.92474926082673</v>
      </c>
    </row>
    <row r="19" spans="1:11" ht="12.75">
      <c r="A19" s="14">
        <v>11</v>
      </c>
      <c r="B19" s="15" t="s">
        <v>123</v>
      </c>
      <c r="C19" s="15">
        <f>SUM('- 24 -'!I19,'- 24 -'!G19,'- 24 -'!E19,'- 24 -'!C19)</f>
        <v>309420</v>
      </c>
      <c r="D19" s="360">
        <f>C19/'- 3 -'!E19</f>
        <v>0.009276951264375123</v>
      </c>
      <c r="E19" s="15">
        <f>C19/'- 7 -'!G19</f>
        <v>65.87609112199276</v>
      </c>
      <c r="F19" s="15">
        <f>SUM('- 25 -'!C19,'- 25 -'!F19,'- 25 -'!I19,'- 26 -'!C19)</f>
        <v>884745</v>
      </c>
      <c r="G19" s="360">
        <f>F19/'- 3 -'!E19</f>
        <v>0.026526198197917288</v>
      </c>
      <c r="H19" s="15">
        <f>F19/'- 7 -'!G19</f>
        <v>188.3638492654886</v>
      </c>
      <c r="I19" s="15">
        <f>SUM('- 29 -'!C19,'- 28 -'!I19,'- 28 -'!F19,'- 28 -'!C19,'- 27 -'!I19,'- 27 -'!F19,'- 27 -'!C19)</f>
        <v>1288375</v>
      </c>
      <c r="J19" s="360">
        <f>I19/'- 3 -'!E19</f>
        <v>0.038627729575461504</v>
      </c>
      <c r="K19" s="15">
        <f>I19/'- 7 -'!G19</f>
        <v>274.2974238875878</v>
      </c>
    </row>
    <row r="20" spans="1:11" ht="12.75">
      <c r="A20" s="16">
        <v>12</v>
      </c>
      <c r="B20" s="17" t="s">
        <v>124</v>
      </c>
      <c r="C20" s="17">
        <f>SUM('- 24 -'!I20,'- 24 -'!G20,'- 24 -'!E20,'- 24 -'!C20)</f>
        <v>155222</v>
      </c>
      <c r="D20" s="361">
        <f>C20/'- 3 -'!E20</f>
        <v>0.002965117207536657</v>
      </c>
      <c r="E20" s="17">
        <f>C20/'- 7 -'!G20</f>
        <v>20.33298401886298</v>
      </c>
      <c r="F20" s="17">
        <f>SUM('- 25 -'!C20,'- 25 -'!F20,'- 25 -'!I20,'- 26 -'!C20)</f>
        <v>1542563</v>
      </c>
      <c r="G20" s="361">
        <f>F20/'- 3 -'!E20</f>
        <v>0.02946669992017477</v>
      </c>
      <c r="H20" s="17">
        <f>F20/'- 7 -'!G20</f>
        <v>202.06484149855908</v>
      </c>
      <c r="I20" s="17">
        <f>SUM('- 29 -'!C20,'- 28 -'!I20,'- 28 -'!F20,'- 28 -'!C20,'- 27 -'!I20,'- 27 -'!F20,'- 27 -'!C20)</f>
        <v>2591208</v>
      </c>
      <c r="J20" s="361">
        <f>I20/'- 3 -'!E20</f>
        <v>0.04949836639849149</v>
      </c>
      <c r="K20" s="17">
        <f>I20/'- 7 -'!G20</f>
        <v>339.4299187843856</v>
      </c>
    </row>
    <row r="21" spans="1:11" ht="12.75">
      <c r="A21" s="14">
        <v>13</v>
      </c>
      <c r="B21" s="15" t="s">
        <v>125</v>
      </c>
      <c r="C21" s="15">
        <f>SUM('- 24 -'!I21,'- 24 -'!G21,'- 24 -'!E21,'- 24 -'!C21)</f>
        <v>81338</v>
      </c>
      <c r="D21" s="360">
        <f>C21/'- 3 -'!E21</f>
        <v>0.003870636658771338</v>
      </c>
      <c r="E21" s="15">
        <f>C21/'- 7 -'!G21</f>
        <v>31.04503816793893</v>
      </c>
      <c r="F21" s="15">
        <f>SUM('- 25 -'!C21,'- 25 -'!F21,'- 25 -'!I21,'- 26 -'!C21)</f>
        <v>728781</v>
      </c>
      <c r="G21" s="360">
        <f>F21/'- 3 -'!E21</f>
        <v>0.034680548511348136</v>
      </c>
      <c r="H21" s="15">
        <f>F21/'- 7 -'!G21</f>
        <v>278.1606870229008</v>
      </c>
      <c r="I21" s="15">
        <f>SUM('- 29 -'!C21,'- 28 -'!I21,'- 28 -'!F21,'- 28 -'!C21,'- 27 -'!I21,'- 27 -'!F21,'- 27 -'!C21)</f>
        <v>758014</v>
      </c>
      <c r="J21" s="360">
        <f>I21/'- 3 -'!E21</f>
        <v>0.036071661170202086</v>
      </c>
      <c r="K21" s="15">
        <f>I21/'- 7 -'!G21</f>
        <v>289.318320610687</v>
      </c>
    </row>
    <row r="22" spans="1:11" ht="12.75">
      <c r="A22" s="16">
        <v>14</v>
      </c>
      <c r="B22" s="17" t="s">
        <v>126</v>
      </c>
      <c r="C22" s="17">
        <f>SUM('- 24 -'!I22,'- 24 -'!G22,'- 24 -'!E22,'- 24 -'!C22)</f>
        <v>0</v>
      </c>
      <c r="D22" s="361">
        <f>C22/'- 3 -'!E22</f>
        <v>0</v>
      </c>
      <c r="E22" s="17">
        <f>C22/'- 7 -'!G22</f>
        <v>0</v>
      </c>
      <c r="F22" s="17">
        <f>SUM('- 25 -'!C22,'- 25 -'!F22,'- 25 -'!I22,'- 26 -'!C22)</f>
        <v>967343</v>
      </c>
      <c r="G22" s="361">
        <f>F22/'- 3 -'!E22</f>
        <v>0.04063536383080729</v>
      </c>
      <c r="H22" s="17">
        <f>F22/'- 7 -'!G22</f>
        <v>282.5183995327103</v>
      </c>
      <c r="I22" s="17">
        <f>SUM('- 29 -'!C22,'- 28 -'!I22,'- 28 -'!F22,'- 28 -'!C22,'- 27 -'!I22,'- 27 -'!F22,'- 27 -'!C22)</f>
        <v>870027</v>
      </c>
      <c r="J22" s="361">
        <f>I22/'- 3 -'!E22</f>
        <v>0.036547391863719254</v>
      </c>
      <c r="K22" s="17">
        <f>I22/'- 7 -'!G22</f>
        <v>254.09667056074767</v>
      </c>
    </row>
    <row r="23" spans="1:11" ht="12.75">
      <c r="A23" s="14">
        <v>15</v>
      </c>
      <c r="B23" s="15" t="s">
        <v>127</v>
      </c>
      <c r="C23" s="15">
        <f>SUM('- 24 -'!I23,'- 24 -'!G23,'- 24 -'!E23,'- 24 -'!C23)</f>
        <v>150035</v>
      </c>
      <c r="D23" s="360">
        <f>C23/'- 3 -'!E23</f>
        <v>0.004414150170545039</v>
      </c>
      <c r="E23" s="15">
        <f>C23/'- 7 -'!G23</f>
        <v>24.709321475625824</v>
      </c>
      <c r="F23" s="15">
        <f>SUM('- 25 -'!C23,'- 25 -'!F23,'- 25 -'!I23,'- 26 -'!C23)</f>
        <v>966210</v>
      </c>
      <c r="G23" s="360">
        <f>F23/'- 3 -'!E23</f>
        <v>0.02842667401794463</v>
      </c>
      <c r="H23" s="15">
        <f>F23/'- 7 -'!G23</f>
        <v>159.12549407114625</v>
      </c>
      <c r="I23" s="15">
        <f>SUM('- 29 -'!C23,'- 28 -'!I23,'- 28 -'!F23,'- 28 -'!C23,'- 27 -'!I23,'- 27 -'!F23,'- 27 -'!C23)</f>
        <v>1265133</v>
      </c>
      <c r="J23" s="360">
        <f>I23/'- 3 -'!E23</f>
        <v>0.03722122869805151</v>
      </c>
      <c r="K23" s="15">
        <f>I23/'- 7 -'!G23</f>
        <v>208.3552371541502</v>
      </c>
    </row>
    <row r="24" spans="1:11" ht="12.75">
      <c r="A24" s="16">
        <v>16</v>
      </c>
      <c r="B24" s="17" t="s">
        <v>128</v>
      </c>
      <c r="C24" s="17">
        <f>SUM('- 24 -'!I24,'- 24 -'!G24,'- 24 -'!E24,'- 24 -'!C24)</f>
        <v>0</v>
      </c>
      <c r="D24" s="361">
        <f>C24/'- 3 -'!E24</f>
        <v>0</v>
      </c>
      <c r="E24" s="17">
        <f>C24/'- 7 -'!G24</f>
        <v>0</v>
      </c>
      <c r="F24" s="17">
        <f>SUM('- 25 -'!C24,'- 25 -'!F24,'- 25 -'!I24,'- 26 -'!C24)</f>
        <v>203292</v>
      </c>
      <c r="G24" s="361">
        <f>F24/'- 3 -'!E24</f>
        <v>0.03257553117591399</v>
      </c>
      <c r="H24" s="17">
        <f>F24/'- 7 -'!G24</f>
        <v>244.34134615384616</v>
      </c>
      <c r="I24" s="17">
        <f>SUM('- 29 -'!C24,'- 28 -'!I24,'- 28 -'!F24,'- 28 -'!C24,'- 27 -'!I24,'- 27 -'!F24,'- 27 -'!C24)</f>
        <v>210265</v>
      </c>
      <c r="J24" s="361">
        <f>I24/'- 3 -'!E24</f>
        <v>0.0336928854195126</v>
      </c>
      <c r="K24" s="17">
        <f>I24/'- 7 -'!G24</f>
        <v>252.72235576923077</v>
      </c>
    </row>
    <row r="25" spans="1:11" ht="12.75">
      <c r="A25" s="14">
        <v>17</v>
      </c>
      <c r="B25" s="15" t="s">
        <v>129</v>
      </c>
      <c r="C25" s="15">
        <f>SUM('- 24 -'!I25,'- 24 -'!G25,'- 24 -'!E25,'- 24 -'!C25)</f>
        <v>5800</v>
      </c>
      <c r="D25" s="360">
        <f>C25/'- 3 -'!E25</f>
        <v>0.0013026714422302275</v>
      </c>
      <c r="E25" s="15">
        <f>C25/'- 7 -'!G25</f>
        <v>11.839150847111656</v>
      </c>
      <c r="F25" s="15">
        <f>SUM('- 25 -'!C25,'- 25 -'!F25,'- 25 -'!I25,'- 26 -'!C25)</f>
        <v>196650</v>
      </c>
      <c r="G25" s="360">
        <f>F25/'- 3 -'!E25</f>
        <v>0.044167299847340385</v>
      </c>
      <c r="H25" s="15">
        <f>F25/'- 7 -'!G25</f>
        <v>401.40845070422534</v>
      </c>
      <c r="I25" s="15">
        <f>SUM('- 29 -'!C25,'- 28 -'!I25,'- 28 -'!F25,'- 28 -'!C25,'- 27 -'!I25,'- 27 -'!F25,'- 27 -'!C25)</f>
        <v>189400</v>
      </c>
      <c r="J25" s="360">
        <f>I25/'- 3 -'!E25</f>
        <v>0.0425389605445526</v>
      </c>
      <c r="K25" s="15">
        <f>I25/'- 7 -'!G25</f>
        <v>386.6095121453358</v>
      </c>
    </row>
    <row r="26" spans="1:11" ht="12.75">
      <c r="A26" s="16">
        <v>18</v>
      </c>
      <c r="B26" s="17" t="s">
        <v>130</v>
      </c>
      <c r="C26" s="17">
        <f>SUM('- 24 -'!I26,'- 24 -'!G26,'- 24 -'!E26,'- 24 -'!C26)</f>
        <v>0</v>
      </c>
      <c r="D26" s="361">
        <f>C26/'- 3 -'!E26</f>
        <v>0</v>
      </c>
      <c r="E26" s="17">
        <f>C26/'- 7 -'!G26</f>
        <v>0</v>
      </c>
      <c r="F26" s="17">
        <f>SUM('- 25 -'!C26,'- 25 -'!F26,'- 25 -'!I26,'- 26 -'!C26)</f>
        <v>372108.25</v>
      </c>
      <c r="G26" s="361">
        <f>F26/'- 3 -'!E26</f>
        <v>0.03796097672964987</v>
      </c>
      <c r="H26" s="17">
        <f>F26/'- 7 -'!G26</f>
        <v>265.7916071428571</v>
      </c>
      <c r="I26" s="17">
        <f>SUM('- 29 -'!C26,'- 28 -'!I26,'- 28 -'!F26,'- 28 -'!C26,'- 27 -'!I26,'- 27 -'!F26,'- 27 -'!C26)</f>
        <v>301747.76</v>
      </c>
      <c r="J26" s="361">
        <f>I26/'- 3 -'!E26</f>
        <v>0.030783084480346713</v>
      </c>
      <c r="K26" s="17">
        <f>I26/'- 7 -'!G26</f>
        <v>215.53411428571428</v>
      </c>
    </row>
    <row r="27" spans="1:11" ht="12.75">
      <c r="A27" s="14">
        <v>19</v>
      </c>
      <c r="B27" s="15" t="s">
        <v>131</v>
      </c>
      <c r="C27" s="15">
        <f>SUM('- 24 -'!I27,'- 24 -'!G27,'- 24 -'!E27,'- 24 -'!C27)</f>
        <v>0</v>
      </c>
      <c r="D27" s="360">
        <f>C27/'- 3 -'!E27</f>
        <v>0</v>
      </c>
      <c r="E27" s="15">
        <f>C27/'- 7 -'!G27</f>
        <v>0</v>
      </c>
      <c r="F27" s="15">
        <f>SUM('- 25 -'!C27,'- 25 -'!F27,'- 25 -'!I27,'- 26 -'!C27)</f>
        <v>637000</v>
      </c>
      <c r="G27" s="360">
        <f>F27/'- 3 -'!E27</f>
        <v>0.05129698012181624</v>
      </c>
      <c r="H27" s="15">
        <f>F27/'- 7 -'!G27</f>
        <v>351.2544802867383</v>
      </c>
      <c r="I27" s="15">
        <f>SUM('- 29 -'!C27,'- 28 -'!I27,'- 28 -'!F27,'- 28 -'!C27,'- 27 -'!I27,'- 27 -'!F27,'- 27 -'!C27)</f>
        <v>456600</v>
      </c>
      <c r="J27" s="360">
        <f>I27/'- 3 -'!E27</f>
        <v>0.03676954650489999</v>
      </c>
      <c r="K27" s="15">
        <f>I27/'- 7 -'!G27</f>
        <v>251.77832919768403</v>
      </c>
    </row>
    <row r="28" spans="1:11" ht="12.75">
      <c r="A28" s="16">
        <v>20</v>
      </c>
      <c r="B28" s="17" t="s">
        <v>132</v>
      </c>
      <c r="C28" s="17">
        <f>SUM('- 24 -'!I28,'- 24 -'!G28,'- 24 -'!E28,'- 24 -'!C28)</f>
        <v>49834</v>
      </c>
      <c r="D28" s="361">
        <f>C28/'- 3 -'!E28</f>
        <v>0.006305667597404496</v>
      </c>
      <c r="E28" s="17">
        <f>C28/'- 7 -'!G28</f>
        <v>52.29719802707524</v>
      </c>
      <c r="F28" s="17">
        <f>SUM('- 25 -'!C28,'- 25 -'!F28,'- 25 -'!I28,'- 26 -'!C28)</f>
        <v>345735</v>
      </c>
      <c r="G28" s="361">
        <f>F28/'- 3 -'!E28</f>
        <v>0.043747039908268316</v>
      </c>
      <c r="H28" s="17">
        <f>F28/'- 7 -'!G28</f>
        <v>362.8240109140518</v>
      </c>
      <c r="I28" s="17">
        <f>SUM('- 29 -'!C28,'- 28 -'!I28,'- 28 -'!F28,'- 28 -'!C28,'- 27 -'!I28,'- 27 -'!F28,'- 27 -'!C28)</f>
        <v>259741</v>
      </c>
      <c r="J28" s="361">
        <f>I28/'- 3 -'!E28</f>
        <v>0.03286592301275115</v>
      </c>
      <c r="K28" s="17">
        <f>I28/'- 7 -'!G28</f>
        <v>272.57949417567426</v>
      </c>
    </row>
    <row r="29" spans="1:11" ht="12.75">
      <c r="A29" s="14">
        <v>21</v>
      </c>
      <c r="B29" s="15" t="s">
        <v>133</v>
      </c>
      <c r="C29" s="15">
        <f>SUM('- 24 -'!I29,'- 24 -'!G29,'- 24 -'!E29,'- 24 -'!C29)</f>
        <v>60000</v>
      </c>
      <c r="D29" s="360">
        <f>C29/'- 3 -'!E29</f>
        <v>0.002553626149131767</v>
      </c>
      <c r="E29" s="15">
        <f>C29/'- 7 -'!G29</f>
        <v>17.905102954341988</v>
      </c>
      <c r="F29" s="15">
        <f>SUM('- 25 -'!C29,'- 25 -'!F29,'- 25 -'!I29,'- 26 -'!C29)</f>
        <v>731500</v>
      </c>
      <c r="G29" s="360">
        <f>F29/'- 3 -'!E29</f>
        <v>0.031132958801498127</v>
      </c>
      <c r="H29" s="15">
        <f>F29/'- 7 -'!G29</f>
        <v>218.29304685168606</v>
      </c>
      <c r="I29" s="15">
        <f>SUM('- 29 -'!C29,'- 28 -'!I29,'- 28 -'!F29,'- 28 -'!C29,'- 27 -'!I29,'- 27 -'!F29,'- 27 -'!C29)</f>
        <v>1097000</v>
      </c>
      <c r="J29" s="360">
        <f>I29/'- 3 -'!E29</f>
        <v>0.046688798093292475</v>
      </c>
      <c r="K29" s="15">
        <f>I29/'- 7 -'!G29</f>
        <v>327.364965681886</v>
      </c>
    </row>
    <row r="30" spans="1:11" ht="12.75">
      <c r="A30" s="16">
        <v>22</v>
      </c>
      <c r="B30" s="17" t="s">
        <v>134</v>
      </c>
      <c r="C30" s="17">
        <f>SUM('- 24 -'!I30,'- 24 -'!G30,'- 24 -'!E30,'- 24 -'!C30)</f>
        <v>232650</v>
      </c>
      <c r="D30" s="361">
        <f>C30/'- 3 -'!E30</f>
        <v>0.018681166645883047</v>
      </c>
      <c r="E30" s="17">
        <f>C30/'- 7 -'!G30</f>
        <v>141.0427402243104</v>
      </c>
      <c r="F30" s="17">
        <f>SUM('- 25 -'!C30,'- 25 -'!F30,'- 25 -'!I30,'- 26 -'!C30)</f>
        <v>454450</v>
      </c>
      <c r="G30" s="361">
        <f>F30/'- 3 -'!E30</f>
        <v>0.03649110759605223</v>
      </c>
      <c r="H30" s="17">
        <f>F30/'- 7 -'!G30</f>
        <v>275.50772961503486</v>
      </c>
      <c r="I30" s="17">
        <f>SUM('- 29 -'!C30,'- 28 -'!I30,'- 28 -'!F30,'- 28 -'!C30,'- 27 -'!I30,'- 27 -'!F30,'- 27 -'!C30)</f>
        <v>517765</v>
      </c>
      <c r="J30" s="361">
        <f>I30/'- 3 -'!E30</f>
        <v>0.04157513109136315</v>
      </c>
      <c r="K30" s="17">
        <f>I30/'- 7 -'!G30</f>
        <v>313.8920885116702</v>
      </c>
    </row>
    <row r="31" spans="1:11" ht="12.75">
      <c r="A31" s="14">
        <v>23</v>
      </c>
      <c r="B31" s="15" t="s">
        <v>135</v>
      </c>
      <c r="C31" s="15">
        <f>SUM('- 24 -'!I31,'- 24 -'!G31,'- 24 -'!E31,'- 24 -'!C31)</f>
        <v>0</v>
      </c>
      <c r="D31" s="360">
        <f>C31/'- 3 -'!E31</f>
        <v>0</v>
      </c>
      <c r="E31" s="15">
        <f>C31/'- 7 -'!G31</f>
        <v>0</v>
      </c>
      <c r="F31" s="15">
        <f>SUM('- 25 -'!C31,'- 25 -'!F31,'- 25 -'!I31,'- 26 -'!C31)</f>
        <v>330150</v>
      </c>
      <c r="G31" s="360">
        <f>F31/'- 3 -'!E31</f>
        <v>0.032279691229574164</v>
      </c>
      <c r="H31" s="15">
        <f>F31/'- 7 -'!G31</f>
        <v>233.48656294200848</v>
      </c>
      <c r="I31" s="15">
        <f>SUM('- 29 -'!C31,'- 28 -'!I31,'- 28 -'!F31,'- 28 -'!C31,'- 27 -'!I31,'- 27 -'!F31,'- 27 -'!C31)</f>
        <v>418057</v>
      </c>
      <c r="J31" s="360">
        <f>I31/'- 3 -'!E31</f>
        <v>0.04087460510786638</v>
      </c>
      <c r="K31" s="15">
        <f>I31/'- 7 -'!G31</f>
        <v>295.65558698727017</v>
      </c>
    </row>
    <row r="32" spans="1:11" ht="12.75">
      <c r="A32" s="16">
        <v>24</v>
      </c>
      <c r="B32" s="17" t="s">
        <v>136</v>
      </c>
      <c r="C32" s="17">
        <f>SUM('- 24 -'!I32,'- 24 -'!G32,'- 24 -'!E32,'- 24 -'!C32)</f>
        <v>1730</v>
      </c>
      <c r="D32" s="361">
        <f>C32/'- 3 -'!E32</f>
        <v>7.399157291585093E-05</v>
      </c>
      <c r="E32" s="17">
        <f>C32/'- 7 -'!G32</f>
        <v>0.4946673147856918</v>
      </c>
      <c r="F32" s="17">
        <f>SUM('- 25 -'!C32,'- 25 -'!F32,'- 25 -'!I32,'- 26 -'!C32)</f>
        <v>725936</v>
      </c>
      <c r="G32" s="361">
        <f>F32/'- 3 -'!E32</f>
        <v>0.031048061546960205</v>
      </c>
      <c r="H32" s="17">
        <f>F32/'- 7 -'!G32</f>
        <v>207.57041146026933</v>
      </c>
      <c r="I32" s="17">
        <f>SUM('- 29 -'!C32,'- 28 -'!I32,'- 28 -'!F32,'- 28 -'!C32,'- 27 -'!I32,'- 27 -'!F32,'- 27 -'!C32)</f>
        <v>1031473</v>
      </c>
      <c r="J32" s="361">
        <f>I32/'- 3 -'!E32</f>
        <v>0.04411578594811069</v>
      </c>
      <c r="K32" s="17">
        <f>I32/'- 7 -'!G32</f>
        <v>294.93409201383923</v>
      </c>
    </row>
    <row r="33" spans="1:11" ht="12.75">
      <c r="A33" s="14">
        <v>25</v>
      </c>
      <c r="B33" s="15" t="s">
        <v>137</v>
      </c>
      <c r="C33" s="15">
        <f>SUM('- 24 -'!I33,'- 24 -'!G33,'- 24 -'!E33,'- 24 -'!C33)</f>
        <v>0</v>
      </c>
      <c r="D33" s="360">
        <f>C33/'- 3 -'!E33</f>
        <v>0</v>
      </c>
      <c r="E33" s="15">
        <f>C33/'- 7 -'!G33</f>
        <v>0</v>
      </c>
      <c r="F33" s="15">
        <f>SUM('- 25 -'!C33,'- 25 -'!F33,'- 25 -'!I33,'- 26 -'!C33)</f>
        <v>395480</v>
      </c>
      <c r="G33" s="360">
        <f>F33/'- 3 -'!E33</f>
        <v>0.03718541009542325</v>
      </c>
      <c r="H33" s="15">
        <f>F33/'- 7 -'!G33</f>
        <v>282.8898426323319</v>
      </c>
      <c r="I33" s="15">
        <f>SUM('- 29 -'!C33,'- 28 -'!I33,'- 28 -'!F33,'- 28 -'!C33,'- 27 -'!I33,'- 27 -'!F33,'- 27 -'!C33)</f>
        <v>294840</v>
      </c>
      <c r="J33" s="360">
        <f>I33/'- 3 -'!E33</f>
        <v>0.027722631517484043</v>
      </c>
      <c r="K33" s="15">
        <f>I33/'- 7 -'!G33</f>
        <v>210.90128755364807</v>
      </c>
    </row>
    <row r="34" spans="1:11" ht="12.75">
      <c r="A34" s="16">
        <v>26</v>
      </c>
      <c r="B34" s="17" t="s">
        <v>138</v>
      </c>
      <c r="C34" s="17">
        <f>SUM('- 24 -'!I34,'- 24 -'!G34,'- 24 -'!E34,'- 24 -'!C34)</f>
        <v>0</v>
      </c>
      <c r="D34" s="361">
        <f>C34/'- 3 -'!E34</f>
        <v>0</v>
      </c>
      <c r="E34" s="17">
        <f>C34/'- 7 -'!G34</f>
        <v>0</v>
      </c>
      <c r="F34" s="17">
        <f>SUM('- 25 -'!C34,'- 25 -'!F34,'- 25 -'!I34,'- 26 -'!C34)</f>
        <v>556100</v>
      </c>
      <c r="G34" s="361">
        <f>F34/'- 3 -'!E34</f>
        <v>0.03206712125362204</v>
      </c>
      <c r="H34" s="17">
        <f>F34/'- 7 -'!G34</f>
        <v>187.8716216216216</v>
      </c>
      <c r="I34" s="17">
        <f>SUM('- 29 -'!C34,'- 28 -'!I34,'- 28 -'!F34,'- 28 -'!C34,'- 27 -'!I34,'- 27 -'!F34,'- 27 -'!C34)</f>
        <v>629350</v>
      </c>
      <c r="J34" s="361">
        <f>I34/'- 3 -'!E34</f>
        <v>0.03629103175861721</v>
      </c>
      <c r="K34" s="17">
        <f>I34/'- 7 -'!G34</f>
        <v>212.61824324324326</v>
      </c>
    </row>
    <row r="35" spans="1:11" ht="12.75">
      <c r="A35" s="14">
        <v>28</v>
      </c>
      <c r="B35" s="15" t="s">
        <v>139</v>
      </c>
      <c r="C35" s="15">
        <f>SUM('- 24 -'!I35,'- 24 -'!G35,'- 24 -'!E35,'- 24 -'!C35)</f>
        <v>0</v>
      </c>
      <c r="D35" s="360">
        <f>C35/'- 3 -'!E35</f>
        <v>0</v>
      </c>
      <c r="E35" s="15">
        <f>C35/'- 7 -'!G35</f>
        <v>0</v>
      </c>
      <c r="F35" s="15">
        <f>SUM('- 25 -'!C35,'- 25 -'!F35,'- 25 -'!I35,'- 26 -'!C35)</f>
        <v>358757</v>
      </c>
      <c r="G35" s="360">
        <f>F35/'- 3 -'!E35</f>
        <v>0.0560238476568356</v>
      </c>
      <c r="H35" s="15">
        <f>F35/'- 7 -'!G35</f>
        <v>437.77547284929835</v>
      </c>
      <c r="I35" s="15">
        <f>SUM('- 29 -'!C35,'- 28 -'!I35,'- 28 -'!F35,'- 28 -'!C35,'- 27 -'!I35,'- 27 -'!F35,'- 27 -'!C35)</f>
        <v>161226</v>
      </c>
      <c r="J35" s="360">
        <f>I35/'- 3 -'!E35</f>
        <v>0.025177211489451012</v>
      </c>
      <c r="K35" s="15">
        <f>I35/'- 7 -'!G35</f>
        <v>196.73703477730322</v>
      </c>
    </row>
    <row r="36" spans="1:11" ht="12.75">
      <c r="A36" s="16">
        <v>30</v>
      </c>
      <c r="B36" s="17" t="s">
        <v>140</v>
      </c>
      <c r="C36" s="17">
        <f>SUM('- 24 -'!I36,'- 24 -'!G36,'- 24 -'!E36,'- 24 -'!C36)</f>
        <v>0</v>
      </c>
      <c r="D36" s="361">
        <f>C36/'- 3 -'!E36</f>
        <v>0</v>
      </c>
      <c r="E36" s="17">
        <f>C36/'- 7 -'!G36</f>
        <v>0</v>
      </c>
      <c r="F36" s="17">
        <f>SUM('- 25 -'!C36,'- 25 -'!F36,'- 25 -'!I36,'- 26 -'!C36)</f>
        <v>379787</v>
      </c>
      <c r="G36" s="361">
        <f>F36/'- 3 -'!E36</f>
        <v>0.03877664185850003</v>
      </c>
      <c r="H36" s="17">
        <f>F36/'- 7 -'!G36</f>
        <v>291.7847264904733</v>
      </c>
      <c r="I36" s="17">
        <f>SUM('- 29 -'!C36,'- 28 -'!I36,'- 28 -'!F36,'- 28 -'!C36,'- 27 -'!I36,'- 27 -'!F36,'- 27 -'!C36)</f>
        <v>374640</v>
      </c>
      <c r="J36" s="361">
        <f>I36/'- 3 -'!E36</f>
        <v>0.038251127884494335</v>
      </c>
      <c r="K36" s="17">
        <f>I36/'- 7 -'!G36</f>
        <v>287.8303626306085</v>
      </c>
    </row>
    <row r="37" spans="1:11" ht="12.75">
      <c r="A37" s="14">
        <v>31</v>
      </c>
      <c r="B37" s="15" t="s">
        <v>141</v>
      </c>
      <c r="C37" s="15">
        <f>SUM('- 24 -'!I37,'- 24 -'!G37,'- 24 -'!E37,'- 24 -'!C37)</f>
        <v>0</v>
      </c>
      <c r="D37" s="360">
        <f>C37/'- 3 -'!E37</f>
        <v>0</v>
      </c>
      <c r="E37" s="15">
        <f>C37/'- 7 -'!G37</f>
        <v>0</v>
      </c>
      <c r="F37" s="15">
        <f>SUM('- 25 -'!C37,'- 25 -'!F37,'- 25 -'!I37,'- 26 -'!C37)</f>
        <v>437576</v>
      </c>
      <c r="G37" s="360">
        <f>F37/'- 3 -'!E37</f>
        <v>0.03995695078140395</v>
      </c>
      <c r="H37" s="15">
        <f>F37/'- 7 -'!G37</f>
        <v>270.1086419753086</v>
      </c>
      <c r="I37" s="15">
        <f>SUM('- 29 -'!C37,'- 28 -'!I37,'- 28 -'!F37,'- 28 -'!C37,'- 27 -'!I37,'- 27 -'!F37,'- 27 -'!C37)</f>
        <v>389485</v>
      </c>
      <c r="J37" s="360">
        <f>I37/'- 3 -'!E37</f>
        <v>0.035565554269647144</v>
      </c>
      <c r="K37" s="15">
        <f>I37/'- 7 -'!G37</f>
        <v>240.42283950617283</v>
      </c>
    </row>
    <row r="38" spans="1:11" ht="12.75">
      <c r="A38" s="16">
        <v>32</v>
      </c>
      <c r="B38" s="17" t="s">
        <v>142</v>
      </c>
      <c r="C38" s="17">
        <f>SUM('- 24 -'!I38,'- 24 -'!G38,'- 24 -'!E38,'- 24 -'!C38)</f>
        <v>0</v>
      </c>
      <c r="D38" s="361">
        <f>C38/'- 3 -'!E38</f>
        <v>0</v>
      </c>
      <c r="E38" s="17">
        <f>C38/'- 7 -'!G38</f>
        <v>0</v>
      </c>
      <c r="F38" s="17">
        <f>SUM('- 25 -'!C38,'- 25 -'!F38,'- 25 -'!I38,'- 26 -'!C38)</f>
        <v>344626</v>
      </c>
      <c r="G38" s="361">
        <f>F38/'- 3 -'!E38</f>
        <v>0.050129751493887716</v>
      </c>
      <c r="H38" s="17">
        <f>F38/'- 7 -'!G38</f>
        <v>410.5134008338297</v>
      </c>
      <c r="I38" s="17">
        <f>SUM('- 29 -'!C38,'- 28 -'!I38,'- 28 -'!F38,'- 28 -'!C38,'- 27 -'!I38,'- 27 -'!F38,'- 27 -'!C38)</f>
        <v>153090</v>
      </c>
      <c r="J38" s="361">
        <f>I38/'- 3 -'!E38</f>
        <v>0.022268672869137182</v>
      </c>
      <c r="K38" s="17">
        <f>I38/'- 7 -'!G38</f>
        <v>182.35854675402024</v>
      </c>
    </row>
    <row r="39" spans="1:11" ht="12.75">
      <c r="A39" s="14">
        <v>33</v>
      </c>
      <c r="B39" s="15" t="s">
        <v>143</v>
      </c>
      <c r="C39" s="15">
        <f>SUM('- 24 -'!I39,'- 24 -'!G39,'- 24 -'!E39,'- 24 -'!C39)</f>
        <v>0</v>
      </c>
      <c r="D39" s="360">
        <f>C39/'- 3 -'!E39</f>
        <v>0</v>
      </c>
      <c r="E39" s="15">
        <f>C39/'- 7 -'!G39</f>
        <v>0</v>
      </c>
      <c r="F39" s="15">
        <f>SUM('- 25 -'!C39,'- 25 -'!F39,'- 25 -'!I39,'- 26 -'!C39)</f>
        <v>541102</v>
      </c>
      <c r="G39" s="360">
        <f>F39/'- 3 -'!E39</f>
        <v>0.03951335153477147</v>
      </c>
      <c r="H39" s="15">
        <f>F39/'- 7 -'!G39</f>
        <v>289.34388535372443</v>
      </c>
      <c r="I39" s="15">
        <f>SUM('- 29 -'!C39,'- 28 -'!I39,'- 28 -'!F39,'- 28 -'!C39,'- 27 -'!I39,'- 27 -'!F39,'- 27 -'!C39)</f>
        <v>835940</v>
      </c>
      <c r="J39" s="360">
        <f>I39/'- 3 -'!E39</f>
        <v>0.06104355755842127</v>
      </c>
      <c r="K39" s="15">
        <f>I39/'- 7 -'!G39</f>
        <v>447.00283407304426</v>
      </c>
    </row>
    <row r="40" spans="1:11" ht="12.75">
      <c r="A40" s="16">
        <v>34</v>
      </c>
      <c r="B40" s="17" t="s">
        <v>144</v>
      </c>
      <c r="C40" s="17">
        <f>SUM('- 24 -'!I40,'- 24 -'!G40,'- 24 -'!E40,'- 24 -'!C40)</f>
        <v>0</v>
      </c>
      <c r="D40" s="361">
        <f>C40/'- 3 -'!E40</f>
        <v>0</v>
      </c>
      <c r="E40" s="17">
        <f>C40/'- 7 -'!G40</f>
        <v>0</v>
      </c>
      <c r="F40" s="17">
        <f>SUM('- 25 -'!C40,'- 25 -'!F40,'- 25 -'!I40,'- 26 -'!C40)</f>
        <v>201660</v>
      </c>
      <c r="G40" s="361">
        <f>F40/'- 3 -'!E40</f>
        <v>0.0349920883453927</v>
      </c>
      <c r="H40" s="17">
        <f>F40/'- 7 -'!G40</f>
        <v>276.0574948665298</v>
      </c>
      <c r="I40" s="17">
        <f>SUM('- 29 -'!C40,'- 28 -'!I40,'- 28 -'!F40,'- 28 -'!C40,'- 27 -'!I40,'- 27 -'!F40,'- 27 -'!C40)</f>
        <v>194420</v>
      </c>
      <c r="J40" s="361">
        <f>I40/'- 3 -'!E40</f>
        <v>0.03373580192458221</v>
      </c>
      <c r="K40" s="17">
        <f>I40/'- 7 -'!G40</f>
        <v>266.1464750171116</v>
      </c>
    </row>
    <row r="41" spans="1:11" ht="12.75">
      <c r="A41" s="14">
        <v>35</v>
      </c>
      <c r="B41" s="15" t="s">
        <v>145</v>
      </c>
      <c r="C41" s="15">
        <f>SUM('- 24 -'!I41,'- 24 -'!G41,'- 24 -'!E41,'- 24 -'!C41)</f>
        <v>55500</v>
      </c>
      <c r="D41" s="360">
        <f>C41/'- 3 -'!E41</f>
        <v>0.0037703988769510286</v>
      </c>
      <c r="E41" s="15">
        <f>C41/'- 7 -'!G41</f>
        <v>28.98475036557343</v>
      </c>
      <c r="F41" s="15">
        <f>SUM('- 25 -'!C41,'- 25 -'!F41,'- 25 -'!I41,'- 26 -'!C41)</f>
        <v>559244</v>
      </c>
      <c r="G41" s="360">
        <f>F41/'- 3 -'!E41</f>
        <v>0.037992305397145966</v>
      </c>
      <c r="H41" s="15">
        <f>F41/'- 7 -'!G41</f>
        <v>292.06392312513054</v>
      </c>
      <c r="I41" s="15">
        <f>SUM('- 29 -'!C41,'- 28 -'!I41,'- 28 -'!F41,'- 28 -'!C41,'- 27 -'!I41,'- 27 -'!F41,'- 27 -'!C41)</f>
        <v>547369</v>
      </c>
      <c r="J41" s="360">
        <f>I41/'- 3 -'!E41</f>
        <v>0.03718557590770825</v>
      </c>
      <c r="K41" s="15">
        <f>I41/'- 7 -'!G41</f>
        <v>285.8622310424065</v>
      </c>
    </row>
    <row r="42" spans="1:11" ht="12.75">
      <c r="A42" s="16">
        <v>36</v>
      </c>
      <c r="B42" s="17" t="s">
        <v>146</v>
      </c>
      <c r="C42" s="17">
        <f>SUM('- 24 -'!I42,'- 24 -'!G42,'- 24 -'!E42,'- 24 -'!C42)</f>
        <v>0</v>
      </c>
      <c r="D42" s="361">
        <f>C42/'- 3 -'!E42</f>
        <v>0</v>
      </c>
      <c r="E42" s="17">
        <f>C42/'- 7 -'!G42</f>
        <v>0</v>
      </c>
      <c r="F42" s="17">
        <f>SUM('- 25 -'!C42,'- 25 -'!F42,'- 25 -'!I42,'- 26 -'!C42)</f>
        <v>258813</v>
      </c>
      <c r="G42" s="361">
        <f>F42/'- 3 -'!E42</f>
        <v>0.033884917517674785</v>
      </c>
      <c r="H42" s="17">
        <f>F42/'- 7 -'!G42</f>
        <v>276.8053475935829</v>
      </c>
      <c r="I42" s="17">
        <f>SUM('- 29 -'!C42,'- 28 -'!I42,'- 28 -'!F42,'- 28 -'!C42,'- 27 -'!I42,'- 27 -'!F42,'- 27 -'!C42)</f>
        <v>415901</v>
      </c>
      <c r="J42" s="361">
        <f>I42/'- 3 -'!E42</f>
        <v>0.054451557999476305</v>
      </c>
      <c r="K42" s="17">
        <f>I42/'- 7 -'!G42</f>
        <v>444.8139037433155</v>
      </c>
    </row>
    <row r="43" spans="1:11" ht="12.75">
      <c r="A43" s="14">
        <v>37</v>
      </c>
      <c r="B43" s="15" t="s">
        <v>147</v>
      </c>
      <c r="C43" s="15">
        <f>SUM('- 24 -'!I43,'- 24 -'!G43,'- 24 -'!E43,'- 24 -'!C43)</f>
        <v>17551</v>
      </c>
      <c r="D43" s="360">
        <f>C43/'- 3 -'!E43</f>
        <v>0.0025343782174300413</v>
      </c>
      <c r="E43" s="15">
        <f>C43/'- 7 -'!G43</f>
        <v>19.03517239135386</v>
      </c>
      <c r="F43" s="15">
        <f>SUM('- 25 -'!C43,'- 25 -'!F43,'- 25 -'!I43,'- 26 -'!C43)</f>
        <v>281695</v>
      </c>
      <c r="G43" s="360">
        <f>F43/'- 3 -'!E43</f>
        <v>0.04067697977089371</v>
      </c>
      <c r="H43" s="15">
        <f>F43/'- 7 -'!G43</f>
        <v>305.5160894981725</v>
      </c>
      <c r="I43" s="15">
        <f>SUM('- 29 -'!C43,'- 28 -'!I43,'- 28 -'!F43,'- 28 -'!C43,'- 27 -'!I43,'- 27 -'!F43,'- 27 -'!C43)</f>
        <v>239497</v>
      </c>
      <c r="J43" s="360">
        <f>I43/'- 3 -'!E43</f>
        <v>0.034583555349543764</v>
      </c>
      <c r="K43" s="15">
        <f>I43/'- 7 -'!G43</f>
        <v>259.74968276520286</v>
      </c>
    </row>
    <row r="44" spans="1:11" ht="12.75">
      <c r="A44" s="16">
        <v>38</v>
      </c>
      <c r="B44" s="17" t="s">
        <v>148</v>
      </c>
      <c r="C44" s="17">
        <f>SUM('- 24 -'!I44,'- 24 -'!G44,'- 24 -'!E44,'- 24 -'!C44)</f>
        <v>0</v>
      </c>
      <c r="D44" s="361">
        <f>C44/'- 3 -'!E44</f>
        <v>0</v>
      </c>
      <c r="E44" s="17">
        <f>C44/'- 7 -'!G44</f>
        <v>0</v>
      </c>
      <c r="F44" s="17">
        <f>SUM('- 25 -'!C44,'- 25 -'!F44,'- 25 -'!I44,'- 26 -'!C44)</f>
        <v>419926</v>
      </c>
      <c r="G44" s="361">
        <f>F44/'- 3 -'!E44</f>
        <v>0.04688695060303894</v>
      </c>
      <c r="H44" s="17">
        <f>F44/'- 7 -'!G44</f>
        <v>359.5256849315069</v>
      </c>
      <c r="I44" s="17">
        <f>SUM('- 29 -'!C44,'- 28 -'!I44,'- 28 -'!F44,'- 28 -'!C44,'- 27 -'!I44,'- 27 -'!F44,'- 27 -'!C44)</f>
        <v>308711</v>
      </c>
      <c r="J44" s="361">
        <f>I44/'- 3 -'!E44</f>
        <v>0.03446920983129112</v>
      </c>
      <c r="K44" s="17">
        <f>I44/'- 7 -'!G44</f>
        <v>264.30736301369865</v>
      </c>
    </row>
    <row r="45" spans="1:11" ht="12.75">
      <c r="A45" s="14">
        <v>39</v>
      </c>
      <c r="B45" s="15" t="s">
        <v>149</v>
      </c>
      <c r="C45" s="15">
        <f>SUM('- 24 -'!I45,'- 24 -'!G45,'- 24 -'!E45,'- 24 -'!C45)</f>
        <v>0</v>
      </c>
      <c r="D45" s="360">
        <f>C45/'- 3 -'!E45</f>
        <v>0</v>
      </c>
      <c r="E45" s="15">
        <f>C45/'- 7 -'!G45</f>
        <v>0</v>
      </c>
      <c r="F45" s="15">
        <f>SUM('- 25 -'!C45,'- 25 -'!F45,'- 25 -'!I45,'- 26 -'!C45)</f>
        <v>664200</v>
      </c>
      <c r="G45" s="360">
        <f>F45/'- 3 -'!E45</f>
        <v>0.04170761342907288</v>
      </c>
      <c r="H45" s="15">
        <f>F45/'- 7 -'!G45</f>
        <v>316.2857142857143</v>
      </c>
      <c r="I45" s="15">
        <f>SUM('- 29 -'!C45,'- 28 -'!I45,'- 28 -'!F45,'- 28 -'!C45,'- 27 -'!I45,'- 27 -'!F45,'- 27 -'!C45)</f>
        <v>593500</v>
      </c>
      <c r="J45" s="360">
        <f>I45/'- 3 -'!E45</f>
        <v>0.03726809480601439</v>
      </c>
      <c r="K45" s="15">
        <f>I45/'- 7 -'!G45</f>
        <v>282.6190476190476</v>
      </c>
    </row>
    <row r="46" spans="1:11" ht="12.75">
      <c r="A46" s="16">
        <v>40</v>
      </c>
      <c r="B46" s="17" t="s">
        <v>150</v>
      </c>
      <c r="C46" s="17">
        <f>SUM('- 24 -'!I46,'- 24 -'!G46,'- 24 -'!E46,'- 24 -'!C46)</f>
        <v>63600</v>
      </c>
      <c r="D46" s="361">
        <f>C46/'- 3 -'!E46</f>
        <v>0.0013611120028249495</v>
      </c>
      <c r="E46" s="17">
        <f>C46/'- 7 -'!G46</f>
        <v>8.592852800108087</v>
      </c>
      <c r="F46" s="17">
        <f>SUM('- 25 -'!C46,'- 25 -'!F46,'- 25 -'!I46,'- 26 -'!C46)</f>
        <v>1692400</v>
      </c>
      <c r="G46" s="361">
        <f>F46/'- 3 -'!E46</f>
        <v>0.03621927599970039</v>
      </c>
      <c r="H46" s="17">
        <f>F46/'- 7 -'!G46</f>
        <v>228.6563534418699</v>
      </c>
      <c r="I46" s="17">
        <f>SUM('- 29 -'!C46,'- 28 -'!I46,'- 28 -'!F46,'- 28 -'!C46,'- 27 -'!I46,'- 27 -'!F46,'- 27 -'!C46)</f>
        <v>2604400</v>
      </c>
      <c r="J46" s="361">
        <f>I46/'- 3 -'!E46</f>
        <v>0.055737108493039283</v>
      </c>
      <c r="K46" s="17">
        <f>I46/'- 7 -'!G46</f>
        <v>351.87462000945754</v>
      </c>
    </row>
    <row r="47" spans="1:11" ht="12.75">
      <c r="A47" s="14">
        <v>41</v>
      </c>
      <c r="B47" s="15" t="s">
        <v>151</v>
      </c>
      <c r="C47" s="15">
        <f>SUM('- 24 -'!I47,'- 24 -'!G47,'- 24 -'!E47,'- 24 -'!C47)</f>
        <v>50500</v>
      </c>
      <c r="D47" s="360">
        <f>C47/'- 3 -'!E47</f>
        <v>0.004111572276637004</v>
      </c>
      <c r="E47" s="15">
        <f>C47/'- 7 -'!G47</f>
        <v>31.99239784605638</v>
      </c>
      <c r="F47" s="15">
        <f>SUM('- 25 -'!C47,'- 25 -'!F47,'- 25 -'!I47,'- 26 -'!C47)</f>
        <v>468440</v>
      </c>
      <c r="G47" s="360">
        <f>F47/'- 3 -'!E47</f>
        <v>0.03813910727263046</v>
      </c>
      <c r="H47" s="15">
        <f>F47/'- 7 -'!G47</f>
        <v>296.76274944567626</v>
      </c>
      <c r="I47" s="15">
        <f>SUM('- 29 -'!C47,'- 28 -'!I47,'- 28 -'!F47,'- 28 -'!C47,'- 27 -'!I47,'- 27 -'!F47,'- 27 -'!C47)</f>
        <v>429240</v>
      </c>
      <c r="J47" s="360">
        <f>I47/'- 3 -'!E47</f>
        <v>0.03494755017868649</v>
      </c>
      <c r="K47" s="15">
        <f>I47/'- 7 -'!G47</f>
        <v>271.9290465631929</v>
      </c>
    </row>
    <row r="48" spans="1:11" ht="12.75">
      <c r="A48" s="16">
        <v>42</v>
      </c>
      <c r="B48" s="17" t="s">
        <v>152</v>
      </c>
      <c r="C48" s="17">
        <f>SUM('- 24 -'!I48,'- 24 -'!G48,'- 24 -'!E48,'- 24 -'!C48)</f>
        <v>0</v>
      </c>
      <c r="D48" s="361">
        <f>C48/'- 3 -'!E48</f>
        <v>0</v>
      </c>
      <c r="E48" s="17">
        <f>C48/'- 7 -'!G48</f>
        <v>0</v>
      </c>
      <c r="F48" s="17">
        <f>SUM('- 25 -'!C48,'- 25 -'!F48,'- 25 -'!I48,'- 26 -'!C48)</f>
        <v>376530</v>
      </c>
      <c r="G48" s="361">
        <f>F48/'- 3 -'!E48</f>
        <v>0.04690702410666991</v>
      </c>
      <c r="H48" s="17">
        <f>F48/'- 7 -'!G48</f>
        <v>361.87409899086975</v>
      </c>
      <c r="I48" s="17">
        <f>SUM('- 29 -'!C48,'- 28 -'!I48,'- 28 -'!F48,'- 28 -'!C48,'- 27 -'!I48,'- 27 -'!F48,'- 27 -'!C48)</f>
        <v>298961</v>
      </c>
      <c r="J48" s="361">
        <f>I48/'- 3 -'!E48</f>
        <v>0.03724370125608622</v>
      </c>
      <c r="K48" s="17">
        <f>I48/'- 7 -'!G48</f>
        <v>287.3243632868813</v>
      </c>
    </row>
    <row r="49" spans="1:11" ht="12.75">
      <c r="A49" s="14">
        <v>43</v>
      </c>
      <c r="B49" s="15" t="s">
        <v>153</v>
      </c>
      <c r="C49" s="15">
        <f>SUM('- 24 -'!I49,'- 24 -'!G49,'- 24 -'!E49,'- 24 -'!C49)</f>
        <v>22500</v>
      </c>
      <c r="D49" s="360">
        <f>C49/'- 3 -'!E49</f>
        <v>0.0035139778228955175</v>
      </c>
      <c r="E49" s="15">
        <f>C49/'- 7 -'!G49</f>
        <v>28.976175144880877</v>
      </c>
      <c r="F49" s="15">
        <f>SUM('- 25 -'!C49,'- 25 -'!F49,'- 25 -'!I49,'- 26 -'!C49)</f>
        <v>301500</v>
      </c>
      <c r="G49" s="360">
        <f>F49/'- 3 -'!E49</f>
        <v>0.04708730282679994</v>
      </c>
      <c r="H49" s="15">
        <f>F49/'- 7 -'!G49</f>
        <v>388.2807469414037</v>
      </c>
      <c r="I49" s="15">
        <f>SUM('- 29 -'!C49,'- 28 -'!I49,'- 28 -'!F49,'- 28 -'!C49,'- 27 -'!I49,'- 27 -'!F49,'- 27 -'!C49)</f>
        <v>192300</v>
      </c>
      <c r="J49" s="360">
        <f>I49/'- 3 -'!E49</f>
        <v>0.030032797126347027</v>
      </c>
      <c r="K49" s="15">
        <f>I49/'- 7 -'!G49</f>
        <v>247.64971023824856</v>
      </c>
    </row>
    <row r="50" spans="1:11" ht="12.75">
      <c r="A50" s="16">
        <v>44</v>
      </c>
      <c r="B50" s="17" t="s">
        <v>154</v>
      </c>
      <c r="C50" s="17">
        <f>SUM('- 24 -'!I50,'- 24 -'!G50,'- 24 -'!E50,'- 24 -'!C50)</f>
        <v>0</v>
      </c>
      <c r="D50" s="361">
        <f>C50/'- 3 -'!E50</f>
        <v>0</v>
      </c>
      <c r="E50" s="17">
        <f>C50/'- 7 -'!G50</f>
        <v>0</v>
      </c>
      <c r="F50" s="17">
        <f>SUM('- 25 -'!C50,'- 25 -'!F50,'- 25 -'!I50,'- 26 -'!C50)</f>
        <v>407332</v>
      </c>
      <c r="G50" s="361">
        <f>F50/'- 3 -'!E50</f>
        <v>0.04410847775658495</v>
      </c>
      <c r="H50" s="17">
        <f>F50/'- 7 -'!G50</f>
        <v>335.1147675853558</v>
      </c>
      <c r="I50" s="17">
        <f>SUM('- 29 -'!C50,'- 28 -'!I50,'- 28 -'!F50,'- 28 -'!C50,'- 27 -'!I50,'- 27 -'!F50,'- 27 -'!C50)</f>
        <v>317661</v>
      </c>
      <c r="J50" s="361">
        <f>I50/'- 3 -'!E50</f>
        <v>0.03439833637581759</v>
      </c>
      <c r="K50" s="17">
        <f>I50/'- 7 -'!G50</f>
        <v>261.3418346359523</v>
      </c>
    </row>
    <row r="51" spans="1:11" ht="12.75">
      <c r="A51" s="14">
        <v>45</v>
      </c>
      <c r="B51" s="15" t="s">
        <v>155</v>
      </c>
      <c r="C51" s="15">
        <f>SUM('- 24 -'!I51,'- 24 -'!G51,'- 24 -'!E51,'- 24 -'!C51)</f>
        <v>16250</v>
      </c>
      <c r="D51" s="360">
        <f>C51/'- 3 -'!E51</f>
        <v>0.001348188685685281</v>
      </c>
      <c r="E51" s="15">
        <f>C51/'- 7 -'!G51</f>
        <v>8.602435150873479</v>
      </c>
      <c r="F51" s="15">
        <f>SUM('- 25 -'!C51,'- 25 -'!F51,'- 25 -'!I51,'- 26 -'!C51)</f>
        <v>462905</v>
      </c>
      <c r="G51" s="360">
        <f>F51/'- 3 -'!E51</f>
        <v>0.03840512514136277</v>
      </c>
      <c r="H51" s="15">
        <f>F51/'- 7 -'!G51</f>
        <v>245.05293806246692</v>
      </c>
      <c r="I51" s="15">
        <f>SUM('- 29 -'!C51,'- 28 -'!I51,'- 28 -'!F51,'- 28 -'!C51,'- 27 -'!I51,'- 27 -'!F51,'- 27 -'!C51)</f>
        <v>778965</v>
      </c>
      <c r="J51" s="360">
        <f>I51/'- 3 -'!E51</f>
        <v>0.06462718766429754</v>
      </c>
      <c r="K51" s="15">
        <f>I51/'- 7 -'!G51</f>
        <v>412.3689782953944</v>
      </c>
    </row>
    <row r="52" spans="1:11" ht="12.75">
      <c r="A52" s="16">
        <v>46</v>
      </c>
      <c r="B52" s="17" t="s">
        <v>156</v>
      </c>
      <c r="C52" s="17">
        <f>SUM('- 24 -'!I52,'- 24 -'!G52,'- 24 -'!E52,'- 24 -'!C52)</f>
        <v>0</v>
      </c>
      <c r="D52" s="361">
        <f>C52/'- 3 -'!E52</f>
        <v>0</v>
      </c>
      <c r="E52" s="17">
        <f>C52/'- 7 -'!G52</f>
        <v>0</v>
      </c>
      <c r="F52" s="17">
        <f>SUM('- 25 -'!C52,'- 25 -'!F52,'- 25 -'!I52,'- 26 -'!C52)</f>
        <v>544332</v>
      </c>
      <c r="G52" s="361">
        <f>F52/'- 3 -'!E52</f>
        <v>0.051336974652173066</v>
      </c>
      <c r="H52" s="17">
        <f>F52/'- 7 -'!G52</f>
        <v>362.6462358427715</v>
      </c>
      <c r="I52" s="17">
        <f>SUM('- 29 -'!C52,'- 28 -'!I52,'- 28 -'!F52,'- 28 -'!C52,'- 27 -'!I52,'- 27 -'!F52,'- 27 -'!C52)</f>
        <v>569704</v>
      </c>
      <c r="J52" s="361">
        <f>I52/'- 3 -'!E52</f>
        <v>0.05372985568961885</v>
      </c>
      <c r="K52" s="17">
        <f>I52/'- 7 -'!G52</f>
        <v>379.54963357761494</v>
      </c>
    </row>
    <row r="53" spans="1:11" ht="12.75">
      <c r="A53" s="14">
        <v>47</v>
      </c>
      <c r="B53" s="15" t="s">
        <v>157</v>
      </c>
      <c r="C53" s="15">
        <f>SUM('- 24 -'!I53,'- 24 -'!G53,'- 24 -'!E53,'- 24 -'!C53)</f>
        <v>0</v>
      </c>
      <c r="D53" s="360">
        <f>C53/'- 3 -'!E53</f>
        <v>0</v>
      </c>
      <c r="E53" s="15">
        <f>C53/'- 7 -'!G53</f>
        <v>0</v>
      </c>
      <c r="F53" s="15">
        <f>SUM('- 25 -'!C53,'- 25 -'!F53,'- 25 -'!I53,'- 26 -'!C53)</f>
        <v>351128</v>
      </c>
      <c r="G53" s="360">
        <f>F53/'- 3 -'!E53</f>
        <v>0.036665622094773545</v>
      </c>
      <c r="H53" s="15">
        <f>F53/'- 7 -'!G53</f>
        <v>247.44749823819592</v>
      </c>
      <c r="I53" s="15">
        <f>SUM('- 29 -'!C53,'- 28 -'!I53,'- 28 -'!F53,'- 28 -'!C53,'- 27 -'!I53,'- 27 -'!F53,'- 27 -'!C53)</f>
        <v>559404</v>
      </c>
      <c r="J53" s="360">
        <f>I53/'- 3 -'!E53</f>
        <v>0.05841429809728845</v>
      </c>
      <c r="K53" s="15">
        <f>I53/'- 7 -'!G53</f>
        <v>394.2241014799154</v>
      </c>
    </row>
    <row r="54" spans="1:11" ht="12.75">
      <c r="A54" s="16">
        <v>48</v>
      </c>
      <c r="B54" s="17" t="s">
        <v>158</v>
      </c>
      <c r="C54" s="17">
        <f>SUM('- 24 -'!I54,'- 24 -'!G54,'- 24 -'!E54,'- 24 -'!C54)</f>
        <v>612289</v>
      </c>
      <c r="D54" s="361">
        <f>C54/'- 3 -'!E54</f>
        <v>0.009864344858149687</v>
      </c>
      <c r="E54" s="17">
        <f>C54/'- 7 -'!G54</f>
        <v>117.9747591522158</v>
      </c>
      <c r="F54" s="17">
        <f>SUM('- 25 -'!C54,'- 25 -'!F54,'- 25 -'!I54,'- 26 -'!C54)</f>
        <v>3776910</v>
      </c>
      <c r="G54" s="361">
        <f>F54/'- 3 -'!E54</f>
        <v>0.060848296700078124</v>
      </c>
      <c r="H54" s="17">
        <f>F54/'- 7 -'!G54</f>
        <v>727.7283236994219</v>
      </c>
      <c r="I54" s="17">
        <f>SUM('- 29 -'!C54,'- 28 -'!I54,'- 28 -'!F54,'- 28 -'!C54,'- 27 -'!I54,'- 27 -'!F54,'- 27 -'!C54)</f>
        <v>3028369</v>
      </c>
      <c r="J54" s="361">
        <f>I54/'- 3 -'!E54</f>
        <v>0.048788849993597644</v>
      </c>
      <c r="K54" s="17">
        <f>I54/'- 7 -'!G54</f>
        <v>583.5007707129095</v>
      </c>
    </row>
    <row r="55" spans="1:11" ht="12.75">
      <c r="A55" s="14">
        <v>49</v>
      </c>
      <c r="B55" s="15" t="s">
        <v>159</v>
      </c>
      <c r="C55" s="15">
        <f>SUM('- 24 -'!I55,'- 24 -'!G55,'- 24 -'!E55,'- 24 -'!C55)</f>
        <v>137070</v>
      </c>
      <c r="D55" s="360">
        <f>C55/'- 3 -'!E55</f>
        <v>0.0034137591103933535</v>
      </c>
      <c r="E55" s="15">
        <f>C55/'- 7 -'!G55</f>
        <v>31.655889145496534</v>
      </c>
      <c r="F55" s="15">
        <f>SUM('- 25 -'!C55,'- 25 -'!F55,'- 25 -'!I55,'- 26 -'!C55)</f>
        <v>1666007</v>
      </c>
      <c r="G55" s="360">
        <f>F55/'- 3 -'!E55</f>
        <v>0.041492278209886185</v>
      </c>
      <c r="H55" s="15">
        <f>F55/'- 7 -'!G55</f>
        <v>384.75912240184755</v>
      </c>
      <c r="I55" s="15">
        <f>SUM('- 29 -'!C55,'- 28 -'!I55,'- 28 -'!F55,'- 28 -'!C55,'- 27 -'!I55,'- 27 -'!F55,'- 27 -'!C55)</f>
        <v>2683568</v>
      </c>
      <c r="J55" s="360">
        <f>I55/'- 3 -'!E55</f>
        <v>0.06683486326957082</v>
      </c>
      <c r="K55" s="15">
        <f>I55/'- 7 -'!G55</f>
        <v>619.761662817552</v>
      </c>
    </row>
    <row r="56" spans="1:11" ht="12.75">
      <c r="A56" s="16">
        <v>50</v>
      </c>
      <c r="B56" s="17" t="s">
        <v>340</v>
      </c>
      <c r="C56" s="17">
        <f>SUM('- 24 -'!I56,'- 24 -'!G56,'- 24 -'!E56,'- 24 -'!C56)</f>
        <v>0</v>
      </c>
      <c r="D56" s="361">
        <f>C56/'- 3 -'!E56</f>
        <v>0</v>
      </c>
      <c r="E56" s="17">
        <f>C56/'- 7 -'!G56</f>
        <v>0</v>
      </c>
      <c r="F56" s="17">
        <f>SUM('- 25 -'!C56,'- 25 -'!F56,'- 25 -'!I56,'- 26 -'!C56)</f>
        <v>523000</v>
      </c>
      <c r="G56" s="361">
        <f>F56/'- 3 -'!E56</f>
        <v>0.03628542685676622</v>
      </c>
      <c r="H56" s="17">
        <f>F56/'- 7 -'!G56</f>
        <v>303.80482137670634</v>
      </c>
      <c r="I56" s="17">
        <f>SUM('- 29 -'!C56,'- 28 -'!I56,'- 28 -'!F56,'- 28 -'!C56,'- 27 -'!I56,'- 27 -'!F56,'- 27 -'!C56)</f>
        <v>485700</v>
      </c>
      <c r="J56" s="361">
        <f>I56/'- 3 -'!E56</f>
        <v>0.03369757518992611</v>
      </c>
      <c r="K56" s="17">
        <f>I56/'- 7 -'!G56</f>
        <v>282.1376706360732</v>
      </c>
    </row>
    <row r="57" spans="1:11" ht="12.75">
      <c r="A57" s="14">
        <v>2264</v>
      </c>
      <c r="B57" s="15" t="s">
        <v>160</v>
      </c>
      <c r="C57" s="15">
        <f>SUM('- 24 -'!I57,'- 24 -'!G57,'- 24 -'!E57,'- 24 -'!C57)</f>
        <v>23530</v>
      </c>
      <c r="D57" s="360">
        <f>C57/'- 3 -'!E57</f>
        <v>0.011635991759363933</v>
      </c>
      <c r="E57" s="15">
        <f>C57/'- 7 -'!G57</f>
        <v>114.22330097087378</v>
      </c>
      <c r="F57" s="15">
        <f>SUM('- 25 -'!C57,'- 25 -'!F57,'- 25 -'!I57,'- 26 -'!C57)</f>
        <v>54832</v>
      </c>
      <c r="G57" s="360">
        <f>F57/'- 3 -'!E57</f>
        <v>0.027115371872054532</v>
      </c>
      <c r="H57" s="15">
        <f>F57/'- 7 -'!G57</f>
        <v>266.1747572815534</v>
      </c>
      <c r="I57" s="15">
        <f>SUM('- 29 -'!C57,'- 28 -'!I57,'- 28 -'!F57,'- 28 -'!C57,'- 27 -'!I57,'- 27 -'!F57,'- 27 -'!C57)</f>
        <v>100532</v>
      </c>
      <c r="J57" s="360">
        <f>I57/'- 3 -'!E57</f>
        <v>0.049714811880678916</v>
      </c>
      <c r="K57" s="15">
        <f>I57/'- 7 -'!G57</f>
        <v>488.0194174757282</v>
      </c>
    </row>
    <row r="58" spans="1:11" ht="12.75">
      <c r="A58" s="16">
        <v>2309</v>
      </c>
      <c r="B58" s="17" t="s">
        <v>161</v>
      </c>
      <c r="C58" s="17">
        <f>SUM('- 24 -'!I58,'- 24 -'!G58,'- 24 -'!E58,'- 24 -'!C58)</f>
        <v>0</v>
      </c>
      <c r="D58" s="361">
        <f>C58/'- 3 -'!E58</f>
        <v>0</v>
      </c>
      <c r="E58" s="17">
        <f>C58/'- 7 -'!G58</f>
        <v>0</v>
      </c>
      <c r="F58" s="17">
        <f>SUM('- 25 -'!C58,'- 25 -'!F58,'- 25 -'!I58,'- 26 -'!C58)</f>
        <v>144470</v>
      </c>
      <c r="G58" s="361">
        <f>F58/'- 3 -'!E58</f>
        <v>0.06862364630155739</v>
      </c>
      <c r="H58" s="17">
        <f>F58/'- 7 -'!G58</f>
        <v>552.0443255636225</v>
      </c>
      <c r="I58" s="17">
        <f>SUM('- 29 -'!C58,'- 28 -'!I58,'- 28 -'!F58,'- 28 -'!C58,'- 27 -'!I58,'- 27 -'!F58,'- 27 -'!C58)</f>
        <v>55949</v>
      </c>
      <c r="J58" s="361">
        <f>I58/'- 3 -'!E58</f>
        <v>0.02657592847598695</v>
      </c>
      <c r="K58" s="17">
        <f>I58/'- 7 -'!G58</f>
        <v>213.79059992357662</v>
      </c>
    </row>
    <row r="59" spans="1:11" ht="12.75">
      <c r="A59" s="14">
        <v>2312</v>
      </c>
      <c r="B59" s="15" t="s">
        <v>162</v>
      </c>
      <c r="C59" s="15">
        <f>SUM('- 24 -'!I59,'- 24 -'!G59,'- 24 -'!E59,'- 24 -'!C59)</f>
        <v>0</v>
      </c>
      <c r="D59" s="360">
        <f>C59/'- 3 -'!E59</f>
        <v>0</v>
      </c>
      <c r="E59" s="15">
        <f>C59/'- 7 -'!G59</f>
        <v>0</v>
      </c>
      <c r="F59" s="15">
        <f>SUM('- 25 -'!C59,'- 25 -'!F59,'- 25 -'!I59,'- 26 -'!C59)</f>
        <v>96662</v>
      </c>
      <c r="G59" s="360">
        <f>F59/'- 3 -'!E59</f>
        <v>0.061991909023977915</v>
      </c>
      <c r="H59" s="15">
        <f>F59/'- 7 -'!G59</f>
        <v>557.1296829971182</v>
      </c>
      <c r="I59" s="15">
        <f>SUM('- 29 -'!C59,'- 28 -'!I59,'- 28 -'!F59,'- 28 -'!C59,'- 27 -'!I59,'- 27 -'!F59,'- 27 -'!C59)</f>
        <v>45820</v>
      </c>
      <c r="J59" s="360">
        <f>I59/'- 3 -'!E59</f>
        <v>0.029385583491740995</v>
      </c>
      <c r="K59" s="15">
        <f>I59/'- 7 -'!G59</f>
        <v>264.09221902017293</v>
      </c>
    </row>
    <row r="60" spans="1:11" ht="12.75">
      <c r="A60" s="16">
        <v>2355</v>
      </c>
      <c r="B60" s="17" t="s">
        <v>163</v>
      </c>
      <c r="C60" s="17">
        <f>SUM('- 24 -'!I60,'- 24 -'!G60,'- 24 -'!E60,'- 24 -'!C60)</f>
        <v>2081</v>
      </c>
      <c r="D60" s="361">
        <f>C60/'- 3 -'!E60</f>
        <v>8.111437508877366E-05</v>
      </c>
      <c r="E60" s="17">
        <f>C60/'- 7 -'!G60</f>
        <v>0.6212867592177937</v>
      </c>
      <c r="F60" s="17">
        <f>SUM('- 25 -'!C60,'- 25 -'!F60,'- 25 -'!I60,'- 26 -'!C60)</f>
        <v>971501</v>
      </c>
      <c r="G60" s="361">
        <f>F60/'- 3 -'!E60</f>
        <v>0.03786770615719303</v>
      </c>
      <c r="H60" s="17">
        <f>F60/'- 7 -'!G60</f>
        <v>290.0435885953127</v>
      </c>
      <c r="I60" s="17">
        <f>SUM('- 29 -'!C60,'- 28 -'!I60,'- 28 -'!F60,'- 28 -'!C60,'- 27 -'!I60,'- 27 -'!F60,'- 27 -'!C60)</f>
        <v>1444176</v>
      </c>
      <c r="J60" s="361">
        <f>I60/'- 3 -'!E60</f>
        <v>0.05629189512647996</v>
      </c>
      <c r="K60" s="17">
        <f>I60/'- 7 -'!G60</f>
        <v>431.1616659202866</v>
      </c>
    </row>
    <row r="61" spans="1:11" ht="12.75">
      <c r="A61" s="14">
        <v>2439</v>
      </c>
      <c r="B61" s="15" t="s">
        <v>164</v>
      </c>
      <c r="C61" s="15">
        <f>SUM('- 24 -'!I61,'- 24 -'!G61,'- 24 -'!E61,'- 24 -'!C61)</f>
        <v>0</v>
      </c>
      <c r="D61" s="360">
        <f>C61/'- 3 -'!E61</f>
        <v>0</v>
      </c>
      <c r="E61" s="15">
        <f>C61/'- 7 -'!G61</f>
        <v>0</v>
      </c>
      <c r="F61" s="15">
        <f>SUM('- 25 -'!C61,'- 25 -'!F61,'- 25 -'!I61,'- 26 -'!C61)</f>
        <v>62198</v>
      </c>
      <c r="G61" s="360">
        <f>F61/'- 3 -'!E61</f>
        <v>0.04578334360179282</v>
      </c>
      <c r="H61" s="15">
        <f>F61/'- 7 -'!G61</f>
        <v>392.41640378548897</v>
      </c>
      <c r="I61" s="15">
        <f>SUM('- 29 -'!C61,'- 28 -'!I61,'- 28 -'!F61,'- 28 -'!C61,'- 27 -'!I61,'- 27 -'!F61,'- 27 -'!C61)</f>
        <v>44258</v>
      </c>
      <c r="J61" s="360">
        <f>I61/'- 3 -'!E61</f>
        <v>0.03257788387292432</v>
      </c>
      <c r="K61" s="15">
        <f>I61/'- 7 -'!G61</f>
        <v>279.2302839116719</v>
      </c>
    </row>
    <row r="62" spans="1:11" ht="12.75">
      <c r="A62" s="16">
        <v>2460</v>
      </c>
      <c r="B62" s="17" t="s">
        <v>165</v>
      </c>
      <c r="C62" s="17">
        <f>SUM('- 24 -'!I62,'- 24 -'!G62,'- 24 -'!E62,'- 24 -'!C62)</f>
        <v>0</v>
      </c>
      <c r="D62" s="361">
        <f>C62/'- 3 -'!E62</f>
        <v>0</v>
      </c>
      <c r="E62" s="17">
        <f>C62/'- 7 -'!G62</f>
        <v>0</v>
      </c>
      <c r="F62" s="17">
        <f>SUM('- 25 -'!C62,'- 25 -'!F62,'- 25 -'!I62,'- 26 -'!C62)</f>
        <v>222439</v>
      </c>
      <c r="G62" s="361">
        <f>F62/'- 3 -'!E62</f>
        <v>0.10341267066607655</v>
      </c>
      <c r="H62" s="17">
        <f>F62/'- 7 -'!G62</f>
        <v>817.1895664952241</v>
      </c>
      <c r="I62" s="17">
        <f>SUM('- 29 -'!C62,'- 28 -'!I62,'- 28 -'!F62,'- 28 -'!C62,'- 27 -'!I62,'- 27 -'!F62,'- 27 -'!C62)</f>
        <v>69695</v>
      </c>
      <c r="J62" s="361">
        <f>I62/'- 3 -'!E62</f>
        <v>0.03240144975508883</v>
      </c>
      <c r="K62" s="17">
        <f>I62/'- 7 -'!G62</f>
        <v>256.04335047759</v>
      </c>
    </row>
    <row r="63" spans="1:11" ht="12.75">
      <c r="A63" s="14">
        <v>3000</v>
      </c>
      <c r="B63" s="15" t="s">
        <v>363</v>
      </c>
      <c r="C63" s="15">
        <f>SUM('- 24 -'!I63,'- 24 -'!G63,'- 24 -'!E63,'- 24 -'!C63)</f>
        <v>674205</v>
      </c>
      <c r="D63" s="360">
        <f>C63/'- 3 -'!E63</f>
        <v>0.09322433366597203</v>
      </c>
      <c r="E63" s="15">
        <f>C63/'- 7 -'!G63</f>
        <v>842.5456135966008</v>
      </c>
      <c r="F63" s="15">
        <f>SUM('- 25 -'!C63,'- 25 -'!F63,'- 25 -'!I63,'- 26 -'!C63)</f>
        <v>778847</v>
      </c>
      <c r="G63" s="360">
        <f>F63/'- 3 -'!E63</f>
        <v>0.1076934947126487</v>
      </c>
      <c r="H63" s="15">
        <f>F63/'- 7 -'!G63</f>
        <v>973.3154211447138</v>
      </c>
      <c r="I63" s="15">
        <f>SUM('- 29 -'!C63,'- 28 -'!I63,'- 28 -'!F63,'- 28 -'!C63,'- 27 -'!I63,'- 27 -'!F63,'- 27 -'!C63)</f>
        <v>730435</v>
      </c>
      <c r="J63" s="360">
        <f>I63/'- 3 -'!E63</f>
        <v>0.10099942326340546</v>
      </c>
      <c r="K63" s="15">
        <f>I63/'- 7 -'!G63</f>
        <v>912.8155461134716</v>
      </c>
    </row>
    <row r="64" spans="1:11" ht="4.5" customHeight="1">
      <c r="A64" s="18"/>
      <c r="B64" s="18"/>
      <c r="C64" s="18"/>
      <c r="D64" s="198"/>
      <c r="E64" s="18"/>
      <c r="F64" s="18"/>
      <c r="G64" s="198"/>
      <c r="H64" s="18"/>
      <c r="I64" s="18"/>
      <c r="J64" s="198"/>
      <c r="K64" s="18"/>
    </row>
    <row r="65" spans="1:11" ht="12.75">
      <c r="A65" s="20"/>
      <c r="B65" s="21" t="s">
        <v>166</v>
      </c>
      <c r="C65" s="21">
        <f>SUM(C11:C63)</f>
        <v>8979590</v>
      </c>
      <c r="D65" s="103">
        <f>C65/'- 3 -'!E65</f>
        <v>0.006644973115995272</v>
      </c>
      <c r="E65" s="21">
        <f>C65/'- 7 -'!G65</f>
        <v>49.63992001305954</v>
      </c>
      <c r="F65" s="21">
        <f>SUM(F11:F63)</f>
        <v>48296652.25</v>
      </c>
      <c r="G65" s="103">
        <f>F65/'- 3 -'!E65</f>
        <v>0.03573993420566223</v>
      </c>
      <c r="H65" s="21">
        <f>F65/'- 7 -'!G65</f>
        <v>266.98790864488825</v>
      </c>
      <c r="I65" s="21">
        <f>SUM(I11:I63)</f>
        <v>68162314.75999999</v>
      </c>
      <c r="J65" s="103">
        <f>I65/'- 3 -'!E65</f>
        <v>0.05044069374038321</v>
      </c>
      <c r="K65" s="21">
        <f>I65/'- 7 -'!G65</f>
        <v>376.80694247636995</v>
      </c>
    </row>
    <row r="66" spans="1:11" ht="4.5" customHeight="1">
      <c r="A66" s="18"/>
      <c r="B66" s="18"/>
      <c r="C66" s="18"/>
      <c r="D66" s="198"/>
      <c r="E66" s="18"/>
      <c r="F66" s="18"/>
      <c r="G66" s="198"/>
      <c r="H66" s="18"/>
      <c r="I66" s="18"/>
      <c r="J66" s="198"/>
      <c r="K66" s="18"/>
    </row>
    <row r="67" spans="1:11" ht="12.75">
      <c r="A67" s="16">
        <v>2155</v>
      </c>
      <c r="B67" s="17" t="s">
        <v>167</v>
      </c>
      <c r="C67" s="17">
        <f>SUM('- 24 -'!I67,'- 24 -'!G67,'- 24 -'!E67,'- 24 -'!C67)</f>
        <v>0</v>
      </c>
      <c r="D67" s="361">
        <f>C67/'- 3 -'!E67</f>
        <v>0</v>
      </c>
      <c r="E67" s="17">
        <f>C67/'- 7 -'!G67</f>
        <v>0</v>
      </c>
      <c r="F67" s="17">
        <f>SUM('- 25 -'!C67,'- 25 -'!F67,'- 25 -'!I67,'- 26 -'!C67)</f>
        <v>50241</v>
      </c>
      <c r="G67" s="361">
        <f>F67/'- 3 -'!E67</f>
        <v>0.03787817102739478</v>
      </c>
      <c r="H67" s="17">
        <f>F67/'- 7 -'!G67</f>
        <v>353.8098591549296</v>
      </c>
      <c r="I67" s="17">
        <f>SUM('- 29 -'!C67,'- 28 -'!I67,'- 28 -'!F67,'- 28 -'!C67,'- 27 -'!I67,'- 27 -'!F67,'- 27 -'!C67)</f>
        <v>32042</v>
      </c>
      <c r="J67" s="361">
        <f>I67/'- 3 -'!E67</f>
        <v>0.024157408412646714</v>
      </c>
      <c r="K67" s="17">
        <f>I67/'- 7 -'!G67</f>
        <v>225.64788732394365</v>
      </c>
    </row>
    <row r="68" spans="1:11" ht="12.75">
      <c r="A68" s="14">
        <v>2408</v>
      </c>
      <c r="B68" s="15" t="s">
        <v>169</v>
      </c>
      <c r="C68" s="15">
        <f>SUM('- 24 -'!I68,'- 24 -'!G68,'- 24 -'!E68,'- 24 -'!C68)</f>
        <v>3500</v>
      </c>
      <c r="D68" s="360">
        <f>C68/'- 3 -'!E68</f>
        <v>0.0015233518964643002</v>
      </c>
      <c r="E68" s="15">
        <f>C68/'- 7 -'!G68</f>
        <v>14.344262295081966</v>
      </c>
      <c r="F68" s="15">
        <f>SUM('- 25 -'!C68,'- 25 -'!F68,'- 25 -'!I68,'- 26 -'!C68)</f>
        <v>154587</v>
      </c>
      <c r="G68" s="360">
        <f>F68/'- 3 -'!E68</f>
        <v>0.06728297131963622</v>
      </c>
      <c r="H68" s="15">
        <f>F68/'- 7 -'!G68</f>
        <v>633.5532786885246</v>
      </c>
      <c r="I68" s="15">
        <f>SUM('- 29 -'!C68,'- 28 -'!I68,'- 28 -'!F68,'- 28 -'!C68,'- 27 -'!I68,'- 27 -'!F68,'- 27 -'!C68)</f>
        <v>135990</v>
      </c>
      <c r="J68" s="360">
        <f>I68/'- 3 -'!E68</f>
        <v>0.05918874982862291</v>
      </c>
      <c r="K68" s="15">
        <f>I68/'- 7 -'!G68</f>
        <v>557.3360655737705</v>
      </c>
    </row>
    <row r="69" ht="6.75" customHeight="1"/>
    <row r="70" spans="1:11" ht="12" customHeight="1">
      <c r="A70" s="7"/>
      <c r="B70" s="7"/>
      <c r="C70" s="18"/>
      <c r="D70" s="18"/>
      <c r="E70" s="18"/>
      <c r="F70" s="18"/>
      <c r="G70" s="78"/>
      <c r="H70" s="18"/>
      <c r="I70" s="18"/>
      <c r="J70" s="18"/>
      <c r="K70" s="18"/>
    </row>
    <row r="71" spans="1:10" ht="12" customHeight="1">
      <c r="A71" s="7"/>
      <c r="B71" s="7"/>
      <c r="C71" s="151"/>
      <c r="D71" s="151"/>
      <c r="F71" s="151"/>
      <c r="G71" s="151"/>
      <c r="H71" s="151"/>
      <c r="I71" s="151"/>
      <c r="J71" s="151"/>
    </row>
    <row r="72" spans="1:11" ht="12" customHeight="1">
      <c r="A72" s="7"/>
      <c r="B72" s="7"/>
      <c r="C72" s="18"/>
      <c r="D72" s="18"/>
      <c r="E72" s="18"/>
      <c r="F72" s="18"/>
      <c r="G72" s="18"/>
      <c r="H72" s="18"/>
      <c r="I72" s="18"/>
      <c r="J72" s="18"/>
      <c r="K72" s="18"/>
    </row>
    <row r="73" spans="1:11" ht="12" customHeight="1">
      <c r="A73" s="7"/>
      <c r="B73" s="7"/>
      <c r="C73" s="18"/>
      <c r="D73" s="18"/>
      <c r="E73" s="18"/>
      <c r="F73" s="18"/>
      <c r="G73" s="18"/>
      <c r="H73" s="18"/>
      <c r="I73" s="18"/>
      <c r="J73" s="18"/>
      <c r="K73" s="18"/>
    </row>
    <row r="74" spans="1:11" ht="12" customHeight="1">
      <c r="A74" s="7"/>
      <c r="B74" s="7"/>
      <c r="C74" s="18"/>
      <c r="D74" s="18"/>
      <c r="E74" s="18"/>
      <c r="F74" s="18"/>
      <c r="G74" s="18"/>
      <c r="H74" s="18"/>
      <c r="I74" s="18"/>
      <c r="J74" s="18"/>
      <c r="K74" s="18"/>
    </row>
    <row r="75" spans="3:11" ht="12" customHeight="1">
      <c r="C75" s="18"/>
      <c r="D75" s="18"/>
      <c r="E75" s="18"/>
      <c r="F75" s="18"/>
      <c r="G75" s="18"/>
      <c r="H75" s="18"/>
      <c r="I75" s="18"/>
      <c r="J75" s="18"/>
      <c r="K75" s="18"/>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8"/>
      <c r="B1" s="22"/>
      <c r="C1" s="57"/>
      <c r="D1" s="57"/>
      <c r="E1" s="57"/>
      <c r="F1" s="57"/>
      <c r="G1" s="57"/>
      <c r="H1" s="57"/>
      <c r="I1" s="57"/>
      <c r="J1" s="57"/>
      <c r="K1" s="57"/>
    </row>
    <row r="2" spans="1:11" ht="12.75">
      <c r="A2" s="9"/>
      <c r="B2" s="24"/>
      <c r="C2" s="58" t="s">
        <v>1</v>
      </c>
      <c r="D2" s="58"/>
      <c r="E2" s="58"/>
      <c r="F2" s="58"/>
      <c r="G2" s="58"/>
      <c r="H2" s="58"/>
      <c r="I2" s="59"/>
      <c r="J2" s="59"/>
      <c r="K2" s="61" t="s">
        <v>5</v>
      </c>
    </row>
    <row r="3" spans="1:11" ht="12.75">
      <c r="A3" s="10"/>
      <c r="B3" s="28"/>
      <c r="C3" s="62" t="str">
        <f>YEAR</f>
        <v>OPERATING FUND BUDGET 2002/2003</v>
      </c>
      <c r="D3" s="62"/>
      <c r="E3" s="62"/>
      <c r="F3" s="62"/>
      <c r="G3" s="62"/>
      <c r="H3" s="62"/>
      <c r="I3" s="63"/>
      <c r="J3" s="63"/>
      <c r="K3" s="64"/>
    </row>
    <row r="4" spans="1:11" ht="12.75">
      <c r="A4" s="11"/>
      <c r="B4" s="18"/>
      <c r="C4" s="57"/>
      <c r="D4" s="57"/>
      <c r="E4" s="57"/>
      <c r="F4" s="57"/>
      <c r="G4" s="57"/>
      <c r="H4" s="57"/>
      <c r="I4" s="57"/>
      <c r="J4" s="57"/>
      <c r="K4" s="57"/>
    </row>
    <row r="5" spans="1:11" ht="12.75">
      <c r="A5" s="11"/>
      <c r="B5" s="18"/>
      <c r="C5" s="57"/>
      <c r="D5" s="57"/>
      <c r="E5" s="57"/>
      <c r="F5" s="57"/>
      <c r="G5" s="57"/>
      <c r="H5" s="57"/>
      <c r="I5" s="57"/>
      <c r="J5" s="57"/>
      <c r="K5" s="57"/>
    </row>
    <row r="6" spans="1:11" ht="12.75">
      <c r="A6" s="11"/>
      <c r="B6" s="18"/>
      <c r="C6" s="68" t="s">
        <v>31</v>
      </c>
      <c r="D6" s="66"/>
      <c r="E6" s="67"/>
      <c r="F6" s="68" t="s">
        <v>32</v>
      </c>
      <c r="G6" s="66"/>
      <c r="H6" s="67"/>
      <c r="I6" s="68" t="s">
        <v>3</v>
      </c>
      <c r="J6" s="66"/>
      <c r="K6" s="67"/>
    </row>
    <row r="7" spans="1:11" ht="12.75">
      <c r="A7" s="18"/>
      <c r="B7" s="18"/>
      <c r="C7" s="69" t="s">
        <v>66</v>
      </c>
      <c r="D7" s="70"/>
      <c r="E7" s="71"/>
      <c r="F7" s="69" t="s">
        <v>67</v>
      </c>
      <c r="G7" s="70"/>
      <c r="H7" s="71"/>
      <c r="I7" s="69" t="s">
        <v>68</v>
      </c>
      <c r="J7" s="70"/>
      <c r="K7" s="71"/>
    </row>
    <row r="8" spans="1:11" ht="12.75">
      <c r="A8" s="45"/>
      <c r="B8" s="46"/>
      <c r="C8" s="73" t="s">
        <v>3</v>
      </c>
      <c r="D8" s="72"/>
      <c r="E8" s="73" t="s">
        <v>75</v>
      </c>
      <c r="F8" s="74"/>
      <c r="G8" s="73"/>
      <c r="H8" s="73" t="s">
        <v>75</v>
      </c>
      <c r="I8" s="74"/>
      <c r="J8" s="73"/>
      <c r="K8" s="73" t="s">
        <v>75</v>
      </c>
    </row>
    <row r="9" spans="1:11" ht="12.75">
      <c r="A9" s="52" t="s">
        <v>100</v>
      </c>
      <c r="B9" s="53" t="s">
        <v>101</v>
      </c>
      <c r="C9" s="75" t="s">
        <v>102</v>
      </c>
      <c r="D9" s="76" t="s">
        <v>103</v>
      </c>
      <c r="E9" s="76" t="s">
        <v>104</v>
      </c>
      <c r="F9" s="76" t="s">
        <v>102</v>
      </c>
      <c r="G9" s="76" t="s">
        <v>103</v>
      </c>
      <c r="H9" s="76" t="s">
        <v>104</v>
      </c>
      <c r="I9" s="76" t="s">
        <v>102</v>
      </c>
      <c r="J9" s="76" t="s">
        <v>103</v>
      </c>
      <c r="K9" s="76" t="s">
        <v>104</v>
      </c>
    </row>
    <row r="10" spans="1:11" ht="4.5" customHeight="1">
      <c r="A10" s="77"/>
      <c r="B10" s="77"/>
      <c r="C10" s="18"/>
      <c r="D10" s="18"/>
      <c r="E10" s="18"/>
      <c r="F10" s="18"/>
      <c r="G10" s="18"/>
      <c r="H10" s="18"/>
      <c r="I10" s="18"/>
      <c r="J10" s="18"/>
      <c r="K10" s="18"/>
    </row>
    <row r="11" spans="1:11" ht="12.75">
      <c r="A11" s="14">
        <v>1</v>
      </c>
      <c r="B11" s="15" t="s">
        <v>115</v>
      </c>
      <c r="C11" s="15">
        <f>SUM('- 31 -'!E11,'- 31 -'!C11,'- 30 -'!G11,'- 30 -'!E11,'- 30 -'!C11)</f>
        <v>2997200</v>
      </c>
      <c r="D11" s="360">
        <f>C11/'- 3 -'!E11</f>
        <v>0.011792687605126742</v>
      </c>
      <c r="E11" s="15">
        <f>C11/'- 7 -'!G11</f>
        <v>96.94029368005693</v>
      </c>
      <c r="F11" s="15">
        <f>SUM('- 33 -'!E11,'- 33 -'!C11,'- 32 -'!G11,'- 32 -'!E11,'- 32 -'!C11)</f>
        <v>35029000</v>
      </c>
      <c r="G11" s="360">
        <f>F11/'- 3 -'!E11</f>
        <v>0.13782398709461652</v>
      </c>
      <c r="H11" s="15">
        <f>F11/'- 7 -'!G11</f>
        <v>1132.9646160812472</v>
      </c>
      <c r="I11" s="15">
        <f>SUM('- 34 -'!C11,'- 34 -'!E11)</f>
        <v>4334200</v>
      </c>
      <c r="J11" s="360">
        <f>I11/'- 3 -'!E11</f>
        <v>0.0170532051975645</v>
      </c>
      <c r="K11" s="15">
        <f>I11/'- 7 -'!G11</f>
        <v>140.183711753671</v>
      </c>
    </row>
    <row r="12" spans="1:11" ht="12.75">
      <c r="A12" s="16">
        <v>2</v>
      </c>
      <c r="B12" s="17" t="s">
        <v>116</v>
      </c>
      <c r="C12" s="17">
        <f>SUM('- 31 -'!E12,'- 31 -'!C12,'- 30 -'!G12,'- 30 -'!E12,'- 30 -'!C12)</f>
        <v>1042774</v>
      </c>
      <c r="D12" s="361">
        <f>C12/'- 3 -'!E12</f>
        <v>0.0166015134946223</v>
      </c>
      <c r="E12" s="17">
        <f>C12/'- 7 -'!G12</f>
        <v>114.01670712239499</v>
      </c>
      <c r="F12" s="17">
        <f>SUM('- 33 -'!E12,'- 33 -'!C12,'- 32 -'!G12,'- 32 -'!E12,'- 32 -'!C12)</f>
        <v>6757527</v>
      </c>
      <c r="G12" s="361">
        <f>F12/'- 3 -'!E12</f>
        <v>0.10758340319261368</v>
      </c>
      <c r="H12" s="17">
        <f>F12/'- 7 -'!G12</f>
        <v>738.8666929082202</v>
      </c>
      <c r="I12" s="17">
        <f>SUM('- 34 -'!C12,'- 34 -'!E12)</f>
        <v>1146459</v>
      </c>
      <c r="J12" s="361">
        <f>I12/'- 3 -'!E12</f>
        <v>0.018252233522825834</v>
      </c>
      <c r="K12" s="17">
        <f>I12/'- 7 -'!G12</f>
        <v>125.35360493341207</v>
      </c>
    </row>
    <row r="13" spans="1:11" ht="12.75">
      <c r="A13" s="14">
        <v>3</v>
      </c>
      <c r="B13" s="15" t="s">
        <v>117</v>
      </c>
      <c r="C13" s="15">
        <f>SUM('- 31 -'!E13,'- 31 -'!C13,'- 30 -'!G13,'- 30 -'!E13,'- 30 -'!C13)</f>
        <v>647840</v>
      </c>
      <c r="D13" s="360">
        <f>C13/'- 3 -'!E13</f>
        <v>0.014614703017476869</v>
      </c>
      <c r="E13" s="15">
        <f>C13/'- 7 -'!G13</f>
        <v>112.75606996780088</v>
      </c>
      <c r="F13" s="15">
        <f>SUM('- 33 -'!E13,'- 33 -'!C13,'- 32 -'!G13,'- 32 -'!E13,'- 32 -'!C13)</f>
        <v>5512650</v>
      </c>
      <c r="G13" s="360">
        <f>F13/'- 3 -'!E13</f>
        <v>0.12436055598495595</v>
      </c>
      <c r="H13" s="15">
        <f>F13/'- 7 -'!G13</f>
        <v>959.4726307545035</v>
      </c>
      <c r="I13" s="15">
        <f>SUM('- 34 -'!C13,'- 34 -'!E13)</f>
        <v>735000</v>
      </c>
      <c r="J13" s="360">
        <f>I13/'- 3 -'!E13</f>
        <v>0.016580956282176925</v>
      </c>
      <c r="K13" s="15">
        <f>I13/'- 7 -'!G13</f>
        <v>127.92620311548168</v>
      </c>
    </row>
    <row r="14" spans="1:11" ht="12.75">
      <c r="A14" s="16">
        <v>4</v>
      </c>
      <c r="B14" s="17" t="s">
        <v>118</v>
      </c>
      <c r="C14" s="17">
        <f>SUM('- 31 -'!E14,'- 31 -'!C14,'- 30 -'!G14,'- 30 -'!E14,'- 30 -'!C14)</f>
        <v>551072</v>
      </c>
      <c r="D14" s="361">
        <f>C14/'- 3 -'!E14</f>
        <v>0.012654186676211866</v>
      </c>
      <c r="E14" s="17">
        <f>C14/'- 7 -'!G14</f>
        <v>88.4687750842832</v>
      </c>
      <c r="F14" s="17">
        <f>SUM('- 33 -'!E14,'- 33 -'!C14,'- 32 -'!G14,'- 32 -'!E14,'- 32 -'!C14)</f>
        <v>5333412</v>
      </c>
      <c r="G14" s="361">
        <f>F14/'- 3 -'!E14</f>
        <v>0.12247036878873992</v>
      </c>
      <c r="H14" s="17">
        <f>F14/'- 7 -'!G14</f>
        <v>856.2228287044469</v>
      </c>
      <c r="I14" s="17">
        <f>SUM('- 34 -'!C14,'- 34 -'!E14)</f>
        <v>770000</v>
      </c>
      <c r="J14" s="361">
        <f>I14/'- 3 -'!E14</f>
        <v>0.0176813986932436</v>
      </c>
      <c r="K14" s="17">
        <f>I14/'- 7 -'!G14</f>
        <v>123.6153475678279</v>
      </c>
    </row>
    <row r="15" spans="1:11" ht="12.75">
      <c r="A15" s="14">
        <v>5</v>
      </c>
      <c r="B15" s="15" t="s">
        <v>119</v>
      </c>
      <c r="C15" s="15">
        <f>SUM('- 31 -'!E15,'- 31 -'!C15,'- 30 -'!G15,'- 30 -'!E15,'- 30 -'!C15)</f>
        <v>754230</v>
      </c>
      <c r="D15" s="360">
        <f>C15/'- 3 -'!E15</f>
        <v>0.013914067649454194</v>
      </c>
      <c r="E15" s="15">
        <f>C15/'- 7 -'!G15</f>
        <v>104.34114961610292</v>
      </c>
      <c r="F15" s="15">
        <f>SUM('- 33 -'!E15,'- 33 -'!C15,'- 32 -'!G15,'- 32 -'!E15,'- 32 -'!C15)</f>
        <v>5553715</v>
      </c>
      <c r="G15" s="360">
        <f>F15/'- 3 -'!E15</f>
        <v>0.10245517443722538</v>
      </c>
      <c r="H15" s="15">
        <f>F15/'- 7 -'!G15</f>
        <v>768.3080860482811</v>
      </c>
      <c r="I15" s="15">
        <f>SUM('- 34 -'!C15,'- 34 -'!E15)</f>
        <v>1029592</v>
      </c>
      <c r="J15" s="360">
        <f>I15/'- 3 -'!E15</f>
        <v>0.018993957730847146</v>
      </c>
      <c r="K15" s="15">
        <f>I15/'- 7 -'!G15</f>
        <v>142.435083350626</v>
      </c>
    </row>
    <row r="16" spans="1:11" ht="12.75">
      <c r="A16" s="16">
        <v>6</v>
      </c>
      <c r="B16" s="17" t="s">
        <v>120</v>
      </c>
      <c r="C16" s="17">
        <f>SUM('- 31 -'!E16,'- 31 -'!C16,'- 30 -'!G16,'- 30 -'!E16,'- 30 -'!C16)</f>
        <v>915323</v>
      </c>
      <c r="D16" s="361">
        <f>C16/'- 3 -'!E16</f>
        <v>0.014688614807439875</v>
      </c>
      <c r="E16" s="17">
        <f>C16/'- 7 -'!G16</f>
        <v>102.98992967651195</v>
      </c>
      <c r="F16" s="17">
        <f>SUM('- 33 -'!E16,'- 33 -'!C16,'- 32 -'!G16,'- 32 -'!E16,'- 32 -'!C16)</f>
        <v>7523062</v>
      </c>
      <c r="G16" s="361">
        <f>F16/'- 3 -'!E16</f>
        <v>0.12072608236708599</v>
      </c>
      <c r="H16" s="17">
        <f>F16/'- 7 -'!G16</f>
        <v>846.4767369901547</v>
      </c>
      <c r="I16" s="17">
        <f>SUM('- 34 -'!C16,'- 34 -'!E16)</f>
        <v>1040000</v>
      </c>
      <c r="J16" s="361">
        <f>I16/'- 3 -'!E16</f>
        <v>0.016689364737625372</v>
      </c>
      <c r="K16" s="17">
        <f>I16/'- 7 -'!G16</f>
        <v>117.0182841068917</v>
      </c>
    </row>
    <row r="17" spans="1:11" ht="12.75">
      <c r="A17" s="14">
        <v>9</v>
      </c>
      <c r="B17" s="15" t="s">
        <v>121</v>
      </c>
      <c r="C17" s="15">
        <f>SUM('- 31 -'!E17,'- 31 -'!C17,'- 30 -'!G17,'- 30 -'!E17,'- 30 -'!C17)</f>
        <v>1924750</v>
      </c>
      <c r="D17" s="360">
        <f>C17/'- 3 -'!E17</f>
        <v>0.02294487447267171</v>
      </c>
      <c r="E17" s="15">
        <f>C17/'- 7 -'!G17</f>
        <v>155.15920999596938</v>
      </c>
      <c r="F17" s="15">
        <f>SUM('- 33 -'!E17,'- 33 -'!C17,'- 32 -'!G17,'- 32 -'!E17,'- 32 -'!C17)</f>
        <v>9455090</v>
      </c>
      <c r="G17" s="360">
        <f>F17/'- 3 -'!E17</f>
        <v>0.11271378266154751</v>
      </c>
      <c r="H17" s="15">
        <f>F17/'- 7 -'!G17</f>
        <v>762.1999193873438</v>
      </c>
      <c r="I17" s="15">
        <f>SUM('- 34 -'!C17,'- 34 -'!E17)</f>
        <v>1420000</v>
      </c>
      <c r="J17" s="360">
        <f>I17/'- 3 -'!E17</f>
        <v>0.016927768152328264</v>
      </c>
      <c r="K17" s="15">
        <f>I17/'- 7 -'!G17</f>
        <v>114.46997178557034</v>
      </c>
    </row>
    <row r="18" spans="1:11" ht="12.75">
      <c r="A18" s="16">
        <v>10</v>
      </c>
      <c r="B18" s="17" t="s">
        <v>122</v>
      </c>
      <c r="C18" s="17">
        <f>SUM('- 31 -'!E18,'- 31 -'!C18,'- 30 -'!G18,'- 30 -'!E18,'- 30 -'!C18)</f>
        <v>1693696</v>
      </c>
      <c r="D18" s="361">
        <f>C18/'- 3 -'!E18</f>
        <v>0.027341325460932944</v>
      </c>
      <c r="E18" s="17">
        <f>C18/'- 7 -'!G18</f>
        <v>196.3819351846484</v>
      </c>
      <c r="F18" s="17">
        <f>SUM('- 33 -'!E18,'- 33 -'!C18,'- 32 -'!G18,'- 32 -'!E18,'- 32 -'!C18)</f>
        <v>7602980</v>
      </c>
      <c r="G18" s="361">
        <f>F18/'- 3 -'!E18</f>
        <v>0.12273486543805025</v>
      </c>
      <c r="H18" s="17">
        <f>F18/'- 7 -'!G18</f>
        <v>881.5560322337527</v>
      </c>
      <c r="I18" s="17">
        <f>SUM('- 34 -'!C18,'- 34 -'!E18)</f>
        <v>1085000</v>
      </c>
      <c r="J18" s="361">
        <f>I18/'- 3 -'!E18</f>
        <v>0.01751514919153865</v>
      </c>
      <c r="K18" s="17">
        <f>I18/'- 7 -'!G18</f>
        <v>125.80439445764972</v>
      </c>
    </row>
    <row r="19" spans="1:11" ht="12.75">
      <c r="A19" s="14">
        <v>11</v>
      </c>
      <c r="B19" s="15" t="s">
        <v>123</v>
      </c>
      <c r="C19" s="15">
        <f>SUM('- 31 -'!E19,'- 31 -'!C19,'- 30 -'!G19,'- 30 -'!E19,'- 30 -'!C19)</f>
        <v>1743755</v>
      </c>
      <c r="D19" s="360">
        <f>C19/'- 3 -'!E19</f>
        <v>0.052280816211009114</v>
      </c>
      <c r="E19" s="15">
        <f>C19/'- 7 -'!G19</f>
        <v>371.24866936342346</v>
      </c>
      <c r="F19" s="15">
        <f>SUM('- 33 -'!E19,'- 33 -'!C19,'- 32 -'!G19,'- 32 -'!E19,'- 32 -'!C19)</f>
        <v>3637945</v>
      </c>
      <c r="G19" s="360">
        <f>F19/'- 3 -'!E19</f>
        <v>0.10907193609810986</v>
      </c>
      <c r="H19" s="15">
        <f>F19/'- 7 -'!G19</f>
        <v>774.5252288694911</v>
      </c>
      <c r="I19" s="15">
        <f>SUM('- 34 -'!C19,'- 34 -'!E19)</f>
        <v>630000</v>
      </c>
      <c r="J19" s="360">
        <f>I19/'- 3 -'!E19</f>
        <v>0.01888849879308489</v>
      </c>
      <c r="K19" s="15">
        <f>I19/'- 7 -'!G19</f>
        <v>134.12816691505216</v>
      </c>
    </row>
    <row r="20" spans="1:11" ht="12.75">
      <c r="A20" s="16">
        <v>12</v>
      </c>
      <c r="B20" s="17" t="s">
        <v>124</v>
      </c>
      <c r="C20" s="17">
        <f>SUM('- 31 -'!E20,'- 31 -'!C20,'- 30 -'!G20,'- 30 -'!E20,'- 30 -'!C20)</f>
        <v>2119693</v>
      </c>
      <c r="D20" s="361">
        <f>C20/'- 3 -'!E20</f>
        <v>0.040491284669666665</v>
      </c>
      <c r="E20" s="17">
        <f>C20/'- 7 -'!G20</f>
        <v>277.6647891013885</v>
      </c>
      <c r="F20" s="17">
        <f>SUM('- 33 -'!E20,'- 33 -'!C20,'- 32 -'!G20,'- 32 -'!E20,'- 32 -'!C20)</f>
        <v>5175429</v>
      </c>
      <c r="G20" s="361">
        <f>F20/'- 3 -'!E20</f>
        <v>0.09886326412676189</v>
      </c>
      <c r="H20" s="17">
        <f>F20/'- 7 -'!G20</f>
        <v>677.9445899921404</v>
      </c>
      <c r="I20" s="17">
        <f>SUM('- 34 -'!C20,'- 34 -'!E20)</f>
        <v>971573</v>
      </c>
      <c r="J20" s="361">
        <f>I20/'- 3 -'!E20</f>
        <v>0.01855940408368667</v>
      </c>
      <c r="K20" s="17">
        <f>I20/'- 7 -'!G20</f>
        <v>127.26919046371496</v>
      </c>
    </row>
    <row r="21" spans="1:11" ht="12.75">
      <c r="A21" s="14">
        <v>13</v>
      </c>
      <c r="B21" s="15" t="s">
        <v>125</v>
      </c>
      <c r="C21" s="15">
        <f>SUM('- 31 -'!E21,'- 31 -'!C21,'- 30 -'!G21,'- 30 -'!E21,'- 30 -'!C21)</f>
        <v>1499808</v>
      </c>
      <c r="D21" s="360">
        <f>C21/'- 3 -'!E21</f>
        <v>0.0713714601529239</v>
      </c>
      <c r="E21" s="15">
        <f>C21/'- 7 -'!G21</f>
        <v>572.4458015267176</v>
      </c>
      <c r="F21" s="15">
        <f>SUM('- 33 -'!E21,'- 33 -'!C21,'- 32 -'!G21,'- 32 -'!E21,'- 32 -'!C21)</f>
        <v>1940075</v>
      </c>
      <c r="G21" s="360">
        <f>F21/'- 3 -'!E21</f>
        <v>0.09232247431416808</v>
      </c>
      <c r="H21" s="15">
        <f>F21/'- 7 -'!G21</f>
        <v>740.486641221374</v>
      </c>
      <c r="I21" s="15">
        <f>SUM('- 34 -'!C21,'- 34 -'!E21)</f>
        <v>455000</v>
      </c>
      <c r="J21" s="360">
        <f>I21/'- 3 -'!E21</f>
        <v>0.02165211438369469</v>
      </c>
      <c r="K21" s="15">
        <f>I21/'- 7 -'!G21</f>
        <v>173.66412213740458</v>
      </c>
    </row>
    <row r="22" spans="1:11" ht="12.75">
      <c r="A22" s="16">
        <v>14</v>
      </c>
      <c r="B22" s="17" t="s">
        <v>126</v>
      </c>
      <c r="C22" s="17">
        <f>SUM('- 31 -'!E22,'- 31 -'!C22,'- 30 -'!G22,'- 30 -'!E22,'- 30 -'!C22)</f>
        <v>1722417</v>
      </c>
      <c r="D22" s="361">
        <f>C22/'- 3 -'!E22</f>
        <v>0.07235390286937271</v>
      </c>
      <c r="E22" s="17">
        <f>C22/'- 7 -'!G22</f>
        <v>503.0423481308411</v>
      </c>
      <c r="F22" s="17">
        <f>SUM('- 33 -'!E22,'- 33 -'!C22,'- 32 -'!G22,'- 32 -'!E22,'- 32 -'!C22)</f>
        <v>2842681</v>
      </c>
      <c r="G22" s="361">
        <f>F22/'- 3 -'!E22</f>
        <v>0.11941304861866278</v>
      </c>
      <c r="H22" s="17">
        <f>F22/'- 7 -'!G22</f>
        <v>830.2222546728972</v>
      </c>
      <c r="I22" s="17">
        <f>SUM('- 34 -'!C22,'- 34 -'!E22)</f>
        <v>391393</v>
      </c>
      <c r="J22" s="361">
        <f>I22/'- 3 -'!E22</f>
        <v>0.01644132118166065</v>
      </c>
      <c r="K22" s="17">
        <f>I22/'- 7 -'!G22</f>
        <v>114.30870327102804</v>
      </c>
    </row>
    <row r="23" spans="1:11" ht="12.75">
      <c r="A23" s="14">
        <v>15</v>
      </c>
      <c r="B23" s="15" t="s">
        <v>127</v>
      </c>
      <c r="C23" s="15">
        <f>SUM('- 31 -'!E23,'- 31 -'!C23,'- 30 -'!G23,'- 30 -'!E23,'- 30 -'!C23)</f>
        <v>1868218</v>
      </c>
      <c r="D23" s="360">
        <f>C23/'- 3 -'!E23</f>
        <v>0.05496447364491827</v>
      </c>
      <c r="E23" s="15">
        <f>C23/'- 7 -'!G23</f>
        <v>307.67753623188406</v>
      </c>
      <c r="F23" s="15">
        <f>SUM('- 33 -'!E23,'- 33 -'!C23,'- 32 -'!G23,'- 32 -'!E23,'- 32 -'!C23)</f>
        <v>3703320</v>
      </c>
      <c r="G23" s="360">
        <f>F23/'- 3 -'!E23</f>
        <v>0.1089546479793572</v>
      </c>
      <c r="H23" s="15">
        <f>F23/'- 7 -'!G23</f>
        <v>609.901185770751</v>
      </c>
      <c r="I23" s="15">
        <f>SUM('- 34 -'!C23,'- 34 -'!E23)</f>
        <v>679500</v>
      </c>
      <c r="J23" s="360">
        <f>I23/'- 3 -'!E23</f>
        <v>0.01999143560426137</v>
      </c>
      <c r="K23" s="15">
        <f>I23/'- 7 -'!G23</f>
        <v>111.90711462450592</v>
      </c>
    </row>
    <row r="24" spans="1:11" ht="12.75">
      <c r="A24" s="16">
        <v>16</v>
      </c>
      <c r="B24" s="17" t="s">
        <v>128</v>
      </c>
      <c r="C24" s="17">
        <f>SUM('- 31 -'!E24,'- 31 -'!C24,'- 30 -'!G24,'- 30 -'!E24,'- 30 -'!C24)</f>
        <v>633442</v>
      </c>
      <c r="D24" s="361">
        <f>C24/'- 3 -'!E24</f>
        <v>0.10150281181322093</v>
      </c>
      <c r="E24" s="17">
        <f>C24/'- 7 -'!G24</f>
        <v>761.3485576923077</v>
      </c>
      <c r="F24" s="17">
        <f>SUM('- 33 -'!E24,'- 33 -'!C24,'- 32 -'!G24,'- 32 -'!E24,'- 32 -'!C24)</f>
        <v>663109</v>
      </c>
      <c r="G24" s="361">
        <f>F24/'- 3 -'!E24</f>
        <v>0.10625665497180976</v>
      </c>
      <c r="H24" s="17">
        <f>F24/'- 7 -'!G24</f>
        <v>797.0060096153846</v>
      </c>
      <c r="I24" s="17">
        <f>SUM('- 34 -'!C24,'- 34 -'!E24)</f>
        <v>112000</v>
      </c>
      <c r="J24" s="361">
        <f>I24/'- 3 -'!E24</f>
        <v>0.017946891622407014</v>
      </c>
      <c r="K24" s="17">
        <f>I24/'- 7 -'!G24</f>
        <v>134.6153846153846</v>
      </c>
    </row>
    <row r="25" spans="1:11" ht="12.75">
      <c r="A25" s="14">
        <v>17</v>
      </c>
      <c r="B25" s="15" t="s">
        <v>129</v>
      </c>
      <c r="C25" s="15">
        <f>SUM('- 31 -'!E25,'- 31 -'!C25,'- 30 -'!G25,'- 30 -'!E25,'- 30 -'!C25)</f>
        <v>420705</v>
      </c>
      <c r="D25" s="360">
        <f>C25/'- 3 -'!E25</f>
        <v>0.09448972225921859</v>
      </c>
      <c r="E25" s="15">
        <f>C25/'- 7 -'!G25</f>
        <v>858.7568891610533</v>
      </c>
      <c r="F25" s="15">
        <f>SUM('- 33 -'!E25,'- 33 -'!C25,'- 32 -'!G25,'- 32 -'!E25,'- 32 -'!C25)</f>
        <v>554630</v>
      </c>
      <c r="G25" s="360">
        <f>F25/'- 3 -'!E25</f>
        <v>0.12456907965588811</v>
      </c>
      <c r="H25" s="15">
        <f>F25/'- 7 -'!G25</f>
        <v>1132.1290059195755</v>
      </c>
      <c r="I25" s="15">
        <f>SUM('- 34 -'!C25,'- 34 -'!E25)</f>
        <v>74500</v>
      </c>
      <c r="J25" s="360">
        <f>I25/'- 3 -'!E25</f>
        <v>0.016732590076922748</v>
      </c>
      <c r="K25" s="15">
        <f>I25/'- 7 -'!G25</f>
        <v>152.07185139824455</v>
      </c>
    </row>
    <row r="26" spans="1:11" ht="12.75">
      <c r="A26" s="16">
        <v>18</v>
      </c>
      <c r="B26" s="17" t="s">
        <v>130</v>
      </c>
      <c r="C26" s="17">
        <f>SUM('- 31 -'!E26,'- 31 -'!C26,'- 30 -'!G26,'- 30 -'!E26,'- 30 -'!C26)</f>
        <v>657349.19</v>
      </c>
      <c r="D26" s="361">
        <f>C26/'- 3 -'!E26</f>
        <v>0.0670601022816457</v>
      </c>
      <c r="E26" s="17">
        <f>C26/'- 7 -'!G26</f>
        <v>469.5351357142857</v>
      </c>
      <c r="F26" s="17">
        <f>SUM('- 33 -'!E26,'- 33 -'!C26,'- 32 -'!G26,'- 32 -'!E26,'- 32 -'!C26)</f>
        <v>1132154.21</v>
      </c>
      <c r="G26" s="361">
        <f>F26/'- 3 -'!E26</f>
        <v>0.11549778759322088</v>
      </c>
      <c r="H26" s="17">
        <f>F26/'- 7 -'!G26</f>
        <v>808.6815785714285</v>
      </c>
      <c r="I26" s="17">
        <f>SUM('- 34 -'!C26,'- 34 -'!E26)</f>
        <v>195000</v>
      </c>
      <c r="J26" s="361">
        <f>I26/'- 3 -'!E26</f>
        <v>0.019893110304008914</v>
      </c>
      <c r="K26" s="17">
        <f>I26/'- 7 -'!G26</f>
        <v>139.28571428571428</v>
      </c>
    </row>
    <row r="27" spans="1:11" ht="12.75">
      <c r="A27" s="14">
        <v>19</v>
      </c>
      <c r="B27" s="15" t="s">
        <v>131</v>
      </c>
      <c r="C27" s="15">
        <f>SUM('- 31 -'!E27,'- 31 -'!C27,'- 30 -'!G27,'- 30 -'!E27,'- 30 -'!C27)</f>
        <v>1131000</v>
      </c>
      <c r="D27" s="360">
        <f>C27/'- 3 -'!E27</f>
        <v>0.0910783116448574</v>
      </c>
      <c r="E27" s="15">
        <f>C27/'- 7 -'!G27</f>
        <v>623.6559139784946</v>
      </c>
      <c r="F27" s="15">
        <f>SUM('- 33 -'!E27,'- 33 -'!C27,'- 32 -'!G27,'- 32 -'!E27,'- 32 -'!C27)</f>
        <v>1167000</v>
      </c>
      <c r="G27" s="360">
        <f>F27/'- 3 -'!E27</f>
        <v>0.09397735604734622</v>
      </c>
      <c r="H27" s="15">
        <f>F27/'- 7 -'!G27</f>
        <v>643.5070306038048</v>
      </c>
      <c r="I27" s="15">
        <f>SUM('- 34 -'!C27,'- 34 -'!E27)</f>
        <v>233000</v>
      </c>
      <c r="J27" s="360">
        <f>I27/'- 3 -'!E27</f>
        <v>0.018763259604997147</v>
      </c>
      <c r="K27" s="15">
        <f>I27/'- 7 -'!G27</f>
        <v>128.4808381582575</v>
      </c>
    </row>
    <row r="28" spans="1:11" ht="12.75">
      <c r="A28" s="16">
        <v>20</v>
      </c>
      <c r="B28" s="17" t="s">
        <v>132</v>
      </c>
      <c r="C28" s="17">
        <f>SUM('- 31 -'!E28,'- 31 -'!C28,'- 30 -'!G28,'- 30 -'!E28,'- 30 -'!C28)</f>
        <v>652075</v>
      </c>
      <c r="D28" s="361">
        <f>C28/'- 3 -'!E28</f>
        <v>0.08250929483038762</v>
      </c>
      <c r="E28" s="17">
        <f>C28/'- 7 -'!G28</f>
        <v>684.3058033371811</v>
      </c>
      <c r="F28" s="17">
        <f>SUM('- 33 -'!E28,'- 33 -'!C28,'- 32 -'!G28,'- 32 -'!E28,'- 32 -'!C28)</f>
        <v>754350</v>
      </c>
      <c r="G28" s="361">
        <f>F28/'- 3 -'!E28</f>
        <v>0.09545050271104229</v>
      </c>
      <c r="H28" s="17">
        <f>F28/'- 7 -'!G28</f>
        <v>791.6360583482002</v>
      </c>
      <c r="I28" s="17">
        <f>SUM('- 34 -'!C28,'- 34 -'!E28)</f>
        <v>159980</v>
      </c>
      <c r="J28" s="361">
        <f>I28/'- 3 -'!E28</f>
        <v>0.02024282020774514</v>
      </c>
      <c r="K28" s="17">
        <f>I28/'- 7 -'!G28</f>
        <v>167.88750131178506</v>
      </c>
    </row>
    <row r="29" spans="1:11" ht="12.75">
      <c r="A29" s="14">
        <v>21</v>
      </c>
      <c r="B29" s="15" t="s">
        <v>133</v>
      </c>
      <c r="C29" s="15">
        <f>SUM('- 31 -'!E29,'- 31 -'!C29,'- 30 -'!G29,'- 30 -'!E29,'- 30 -'!C29)</f>
        <v>1684000</v>
      </c>
      <c r="D29" s="360">
        <f>C29/'- 3 -'!E29</f>
        <v>0.07167177391896493</v>
      </c>
      <c r="E29" s="15">
        <f>C29/'- 7 -'!G29</f>
        <v>502.53655625186514</v>
      </c>
      <c r="F29" s="15">
        <f>SUM('- 33 -'!E29,'- 33 -'!C29,'- 32 -'!G29,'- 32 -'!E29,'- 32 -'!C29)</f>
        <v>2568000</v>
      </c>
      <c r="G29" s="360">
        <f>F29/'- 3 -'!E29</f>
        <v>0.10929519918283963</v>
      </c>
      <c r="H29" s="15">
        <f>F29/'- 7 -'!G29</f>
        <v>766.3384064458371</v>
      </c>
      <c r="I29" s="15">
        <f>SUM('- 34 -'!C29,'- 34 -'!E29)</f>
        <v>500000</v>
      </c>
      <c r="J29" s="360">
        <f>I29/'- 3 -'!E29</f>
        <v>0.021280217909431392</v>
      </c>
      <c r="K29" s="15">
        <f>I29/'- 7 -'!G29</f>
        <v>149.20919128618323</v>
      </c>
    </row>
    <row r="30" spans="1:11" ht="12.75">
      <c r="A30" s="16">
        <v>22</v>
      </c>
      <c r="B30" s="17" t="s">
        <v>134</v>
      </c>
      <c r="C30" s="17">
        <f>SUM('- 31 -'!E30,'- 31 -'!C30,'- 30 -'!G30,'- 30 -'!E30,'- 30 -'!C30)</f>
        <v>961350</v>
      </c>
      <c r="D30" s="361">
        <f>C30/'- 3 -'!E30</f>
        <v>0.07719380853221436</v>
      </c>
      <c r="E30" s="17">
        <f>C30/'- 7 -'!G30</f>
        <v>582.8129736283722</v>
      </c>
      <c r="F30" s="17">
        <f>SUM('- 33 -'!E30,'- 33 -'!C30,'- 32 -'!G30,'- 32 -'!E30,'- 32 -'!C30)</f>
        <v>1547200</v>
      </c>
      <c r="G30" s="361">
        <f>F30/'- 3 -'!E30</f>
        <v>0.12423598123580595</v>
      </c>
      <c r="H30" s="17">
        <f>F30/'- 7 -'!G30</f>
        <v>937.9812064261897</v>
      </c>
      <c r="I30" s="17">
        <f>SUM('- 34 -'!C30,'- 34 -'!E30)</f>
        <v>275000</v>
      </c>
      <c r="J30" s="361">
        <f>I30/'- 3 -'!E30</f>
        <v>0.022081757264637174</v>
      </c>
      <c r="K30" s="17">
        <f>I30/'- 7 -'!G30</f>
        <v>166.71718702637162</v>
      </c>
    </row>
    <row r="31" spans="1:11" ht="12.75">
      <c r="A31" s="14">
        <v>23</v>
      </c>
      <c r="B31" s="15" t="s">
        <v>135</v>
      </c>
      <c r="C31" s="15">
        <f>SUM('- 31 -'!E31,'- 31 -'!C31,'- 30 -'!G31,'- 30 -'!E31,'- 30 -'!C31)</f>
        <v>1200200</v>
      </c>
      <c r="D31" s="360">
        <f>C31/'- 3 -'!E31</f>
        <v>0.11734691932071757</v>
      </c>
      <c r="E31" s="15">
        <f>C31/'- 7 -'!G31</f>
        <v>848.7977369165488</v>
      </c>
      <c r="F31" s="15">
        <f>SUM('- 33 -'!E31,'- 33 -'!C31,'- 32 -'!G31,'- 32 -'!E31,'- 32 -'!C31)</f>
        <v>984221</v>
      </c>
      <c r="G31" s="360">
        <f>F31/'- 3 -'!E31</f>
        <v>0.09623004689281452</v>
      </c>
      <c r="H31" s="15">
        <f>F31/'- 7 -'!G31</f>
        <v>696.0544554455446</v>
      </c>
      <c r="I31" s="15">
        <f>SUM('- 34 -'!C31,'- 34 -'!E31)</f>
        <v>180000</v>
      </c>
      <c r="J31" s="360">
        <f>I31/'- 3 -'!E31</f>
        <v>0.01759910471398864</v>
      </c>
      <c r="K31" s="15">
        <f>I31/'- 7 -'!G31</f>
        <v>127.2984441301273</v>
      </c>
    </row>
    <row r="32" spans="1:11" ht="12.75">
      <c r="A32" s="16">
        <v>24</v>
      </c>
      <c r="B32" s="17" t="s">
        <v>136</v>
      </c>
      <c r="C32" s="17">
        <f>SUM('- 31 -'!E32,'- 31 -'!C32,'- 30 -'!G32,'- 30 -'!E32,'- 30 -'!C32)</f>
        <v>787487</v>
      </c>
      <c r="D32" s="361">
        <f>C32/'- 3 -'!E32</f>
        <v>0.033680579064037396</v>
      </c>
      <c r="E32" s="17">
        <f>C32/'- 7 -'!G32</f>
        <v>225.16998827667055</v>
      </c>
      <c r="F32" s="17">
        <f>SUM('- 33 -'!E32,'- 33 -'!C32,'- 32 -'!G32,'- 32 -'!E32,'- 32 -'!C32)</f>
        <v>2869414</v>
      </c>
      <c r="G32" s="361">
        <f>F32/'- 3 -'!E32</f>
        <v>0.12272396254726212</v>
      </c>
      <c r="H32" s="17">
        <f>F32/'- 7 -'!G32</f>
        <v>820.4655019586538</v>
      </c>
      <c r="I32" s="17">
        <f>SUM('- 34 -'!C32,'- 34 -'!E32)</f>
        <v>408351</v>
      </c>
      <c r="J32" s="361">
        <f>I32/'- 3 -'!E32</f>
        <v>0.01746504785650904</v>
      </c>
      <c r="K32" s="17">
        <f>I32/'- 7 -'!G32</f>
        <v>116.76178766476995</v>
      </c>
    </row>
    <row r="33" spans="1:11" ht="12.75">
      <c r="A33" s="14">
        <v>25</v>
      </c>
      <c r="B33" s="15" t="s">
        <v>137</v>
      </c>
      <c r="C33" s="15">
        <f>SUM('- 31 -'!E33,'- 31 -'!C33,'- 30 -'!G33,'- 30 -'!E33,'- 30 -'!C33)</f>
        <v>920040</v>
      </c>
      <c r="D33" s="360">
        <f>C33/'- 3 -'!E33</f>
        <v>0.08650769875643068</v>
      </c>
      <c r="E33" s="15">
        <f>C33/'- 7 -'!G33</f>
        <v>658.1115879828326</v>
      </c>
      <c r="F33" s="15">
        <f>SUM('- 33 -'!E33,'- 33 -'!C33,'- 32 -'!G33,'- 32 -'!E33,'- 32 -'!C33)</f>
        <v>1170755</v>
      </c>
      <c r="G33" s="360">
        <f>F33/'- 3 -'!E33</f>
        <v>0.11008143217423698</v>
      </c>
      <c r="H33" s="15">
        <f>F33/'- 7 -'!G33</f>
        <v>837.4499284692417</v>
      </c>
      <c r="I33" s="15">
        <f>SUM('- 34 -'!C33,'- 34 -'!E33)</f>
        <v>196000</v>
      </c>
      <c r="J33" s="360">
        <f>I33/'- 3 -'!E33</f>
        <v>0.01842909977420592</v>
      </c>
      <c r="K33" s="15">
        <f>I33/'- 7 -'!G33</f>
        <v>140.2002861230329</v>
      </c>
    </row>
    <row r="34" spans="1:11" ht="12.75">
      <c r="A34" s="16">
        <v>26</v>
      </c>
      <c r="B34" s="17" t="s">
        <v>138</v>
      </c>
      <c r="C34" s="17">
        <f>SUM('- 31 -'!E34,'- 31 -'!C34,'- 30 -'!G34,'- 30 -'!E34,'- 30 -'!C34)</f>
        <v>727000</v>
      </c>
      <c r="D34" s="361">
        <f>C34/'- 3 -'!E34</f>
        <v>0.04192195136015685</v>
      </c>
      <c r="E34" s="17">
        <f>C34/'- 7 -'!G34</f>
        <v>245.6081081081081</v>
      </c>
      <c r="F34" s="17">
        <f>SUM('- 33 -'!E34,'- 33 -'!C34,'- 32 -'!G34,'- 32 -'!E34,'- 32 -'!C34)</f>
        <v>1546800</v>
      </c>
      <c r="G34" s="361">
        <f>F34/'- 3 -'!E34</f>
        <v>0.0891951504317615</v>
      </c>
      <c r="H34" s="17">
        <f>F34/'- 7 -'!G34</f>
        <v>522.5675675675676</v>
      </c>
      <c r="I34" s="17">
        <f>SUM('- 34 -'!C34,'- 34 -'!E34)</f>
        <v>314000</v>
      </c>
      <c r="J34" s="361">
        <f>I34/'- 3 -'!E34</f>
        <v>0.01810659247192469</v>
      </c>
      <c r="K34" s="17">
        <f>I34/'- 7 -'!G34</f>
        <v>106.08108108108108</v>
      </c>
    </row>
    <row r="35" spans="1:11" ht="12.75">
      <c r="A35" s="14">
        <v>28</v>
      </c>
      <c r="B35" s="15" t="s">
        <v>139</v>
      </c>
      <c r="C35" s="15">
        <f>SUM('- 31 -'!E35,'- 31 -'!C35,'- 30 -'!G35,'- 30 -'!E35,'- 30 -'!C35)</f>
        <v>511884</v>
      </c>
      <c r="D35" s="360">
        <f>C35/'- 3 -'!E35</f>
        <v>0.07993631130255754</v>
      </c>
      <c r="E35" s="15">
        <f>C35/'- 7 -'!G35</f>
        <v>624.6296522269677</v>
      </c>
      <c r="F35" s="15">
        <f>SUM('- 33 -'!E35,'- 33 -'!C35,'- 32 -'!G35,'- 32 -'!E35,'- 32 -'!C35)</f>
        <v>678729</v>
      </c>
      <c r="G35" s="360">
        <f>F35/'- 3 -'!E35</f>
        <v>0.1059909913849106</v>
      </c>
      <c r="H35" s="15">
        <f>F35/'- 7 -'!G35</f>
        <v>828.2233068944479</v>
      </c>
      <c r="I35" s="15">
        <f>SUM('- 34 -'!C35,'- 34 -'!E35)</f>
        <v>107000</v>
      </c>
      <c r="J35" s="360">
        <f>I35/'- 3 -'!E35</f>
        <v>0.016709225741327445</v>
      </c>
      <c r="K35" s="15">
        <f>I35/'- 7 -'!G35</f>
        <v>130.56741915802317</v>
      </c>
    </row>
    <row r="36" spans="1:11" ht="12.75">
      <c r="A36" s="16">
        <v>30</v>
      </c>
      <c r="B36" s="17" t="s">
        <v>140</v>
      </c>
      <c r="C36" s="17">
        <f>SUM('- 31 -'!E36,'- 31 -'!C36,'- 30 -'!G36,'- 30 -'!E36,'- 30 -'!C36)</f>
        <v>931069</v>
      </c>
      <c r="D36" s="361">
        <f>C36/'- 3 -'!E36</f>
        <v>0.09506309894375468</v>
      </c>
      <c r="E36" s="17">
        <f>C36/'- 7 -'!G36</f>
        <v>715.3265212046713</v>
      </c>
      <c r="F36" s="17">
        <f>SUM('- 33 -'!E36,'- 33 -'!C36,'- 32 -'!G36,'- 32 -'!E36,'- 32 -'!C36)</f>
        <v>1051305</v>
      </c>
      <c r="G36" s="361">
        <f>F36/'- 3 -'!E36</f>
        <v>0.10733931774665897</v>
      </c>
      <c r="H36" s="17">
        <f>F36/'- 7 -'!G36</f>
        <v>807.7020590043024</v>
      </c>
      <c r="I36" s="17">
        <f>SUM('- 34 -'!C36,'- 34 -'!E36)</f>
        <v>161004</v>
      </c>
      <c r="J36" s="361">
        <f>I36/'- 3 -'!E36</f>
        <v>0.016438673376882144</v>
      </c>
      <c r="K36" s="17">
        <f>I36/'- 7 -'!G36</f>
        <v>123.69698832206515</v>
      </c>
    </row>
    <row r="37" spans="1:11" ht="12.75">
      <c r="A37" s="14">
        <v>31</v>
      </c>
      <c r="B37" s="15" t="s">
        <v>141</v>
      </c>
      <c r="C37" s="15">
        <f>SUM('- 31 -'!E37,'- 31 -'!C37,'- 30 -'!G37,'- 30 -'!E37,'- 30 -'!C37)</f>
        <v>810891</v>
      </c>
      <c r="D37" s="360">
        <f>C37/'- 3 -'!E37</f>
        <v>0.07404595264841635</v>
      </c>
      <c r="E37" s="15">
        <f>C37/'- 7 -'!G37</f>
        <v>500.55</v>
      </c>
      <c r="F37" s="15">
        <f>SUM('- 33 -'!E37,'- 33 -'!C37,'- 32 -'!G37,'- 32 -'!E37,'- 32 -'!C37)</f>
        <v>1240390</v>
      </c>
      <c r="G37" s="360">
        <f>F37/'- 3 -'!E37</f>
        <v>0.11326535774298783</v>
      </c>
      <c r="H37" s="15">
        <f>F37/'- 7 -'!G37</f>
        <v>765.6728395061729</v>
      </c>
      <c r="I37" s="15">
        <f>SUM('- 34 -'!C37,'- 34 -'!E37)</f>
        <v>185000</v>
      </c>
      <c r="J37" s="360">
        <f>I37/'- 3 -'!E37</f>
        <v>0.01689314746366284</v>
      </c>
      <c r="K37" s="15">
        <f>I37/'- 7 -'!G37</f>
        <v>114.19753086419753</v>
      </c>
    </row>
    <row r="38" spans="1:11" ht="12.75">
      <c r="A38" s="16">
        <v>32</v>
      </c>
      <c r="B38" s="17" t="s">
        <v>142</v>
      </c>
      <c r="C38" s="17">
        <f>SUM('- 31 -'!E38,'- 31 -'!C38,'- 30 -'!G38,'- 30 -'!E38,'- 30 -'!C38)</f>
        <v>726863</v>
      </c>
      <c r="D38" s="361">
        <f>C38/'- 3 -'!E38</f>
        <v>0.10573044854451408</v>
      </c>
      <c r="E38" s="17">
        <f>C38/'- 7 -'!G38</f>
        <v>865.8284693269803</v>
      </c>
      <c r="F38" s="17">
        <f>SUM('- 33 -'!E38,'- 33 -'!C38,'- 32 -'!G38,'- 32 -'!E38,'- 32 -'!C38)</f>
        <v>791340</v>
      </c>
      <c r="G38" s="361">
        <f>F38/'- 3 -'!E38</f>
        <v>0.11510935781738205</v>
      </c>
      <c r="H38" s="17">
        <f>F38/'- 7 -'!G38</f>
        <v>942.63251935676</v>
      </c>
      <c r="I38" s="17">
        <f>SUM('- 34 -'!C38,'- 34 -'!E38)</f>
        <v>112240</v>
      </c>
      <c r="J38" s="361">
        <f>I38/'- 3 -'!E38</f>
        <v>0.016326578109817476</v>
      </c>
      <c r="K38" s="17">
        <f>I38/'- 7 -'!G38</f>
        <v>133.6986301369863</v>
      </c>
    </row>
    <row r="39" spans="1:11" ht="12.75">
      <c r="A39" s="14">
        <v>33</v>
      </c>
      <c r="B39" s="15" t="s">
        <v>143</v>
      </c>
      <c r="C39" s="15">
        <f>SUM('- 31 -'!E39,'- 31 -'!C39,'- 30 -'!G39,'- 30 -'!E39,'- 30 -'!C39)</f>
        <v>639696</v>
      </c>
      <c r="D39" s="360">
        <f>C39/'- 3 -'!E39</f>
        <v>0.046713065047601324</v>
      </c>
      <c r="E39" s="15">
        <f>C39/'- 7 -'!G39</f>
        <v>342.0651302069408</v>
      </c>
      <c r="F39" s="15">
        <f>SUM('- 33 -'!E39,'- 33 -'!C39,'- 32 -'!G39,'- 32 -'!E39,'- 32 -'!C39)</f>
        <v>1533677</v>
      </c>
      <c r="G39" s="360">
        <f>F39/'- 3 -'!E39</f>
        <v>0.1119949999109109</v>
      </c>
      <c r="H39" s="15">
        <f>F39/'- 7 -'!G39</f>
        <v>820.104272498797</v>
      </c>
      <c r="I39" s="15">
        <f>SUM('- 34 -'!C39,'- 34 -'!E39)</f>
        <v>261503</v>
      </c>
      <c r="J39" s="360">
        <f>I39/'- 3 -'!E39</f>
        <v>0.019095955968370742</v>
      </c>
      <c r="K39" s="15">
        <f>I39/'- 7 -'!G39</f>
        <v>139.8336987326881</v>
      </c>
    </row>
    <row r="40" spans="1:11" ht="12.75">
      <c r="A40" s="16">
        <v>34</v>
      </c>
      <c r="B40" s="17" t="s">
        <v>144</v>
      </c>
      <c r="C40" s="17">
        <f>SUM('- 31 -'!E40,'- 31 -'!C40,'- 30 -'!G40,'- 30 -'!E40,'- 30 -'!C40)</f>
        <v>584650</v>
      </c>
      <c r="D40" s="361">
        <f>C40/'- 3 -'!E40</f>
        <v>0.10144859888492434</v>
      </c>
      <c r="E40" s="17">
        <f>C40/'- 7 -'!G40</f>
        <v>800.3422313483915</v>
      </c>
      <c r="F40" s="17">
        <f>SUM('- 33 -'!E40,'- 33 -'!C40,'- 32 -'!G40,'- 32 -'!E40,'- 32 -'!C40)</f>
        <v>815152</v>
      </c>
      <c r="G40" s="361">
        <f>F40/'- 3 -'!E40</f>
        <v>0.14144535752714246</v>
      </c>
      <c r="H40" s="17">
        <f>F40/'- 7 -'!G40</f>
        <v>1115.8822724161532</v>
      </c>
      <c r="I40" s="17">
        <f>SUM('- 34 -'!C40,'- 34 -'!E40)</f>
        <v>85000</v>
      </c>
      <c r="J40" s="361">
        <f>I40/'- 3 -'!E40</f>
        <v>0.014749219028852423</v>
      </c>
      <c r="K40" s="17">
        <f>I40/'- 7 -'!G40</f>
        <v>116.3586584531143</v>
      </c>
    </row>
    <row r="41" spans="1:11" ht="12.75">
      <c r="A41" s="14">
        <v>35</v>
      </c>
      <c r="B41" s="15" t="s">
        <v>145</v>
      </c>
      <c r="C41" s="15">
        <f>SUM('- 31 -'!E41,'- 31 -'!C41,'- 30 -'!G41,'- 30 -'!E41,'- 30 -'!C41)</f>
        <v>1185256</v>
      </c>
      <c r="D41" s="360">
        <f>C41/'- 3 -'!E41</f>
        <v>0.08052050254593636</v>
      </c>
      <c r="E41" s="15">
        <f>C41/'- 7 -'!G41</f>
        <v>618.9972843116775</v>
      </c>
      <c r="F41" s="15">
        <f>SUM('- 33 -'!E41,'- 33 -'!C41,'- 32 -'!G41,'- 32 -'!E41,'- 32 -'!C41)</f>
        <v>1828000</v>
      </c>
      <c r="G41" s="360">
        <f>F41/'- 3 -'!E41</f>
        <v>0.12418539003723388</v>
      </c>
      <c r="H41" s="15">
        <f>F41/'- 7 -'!G41</f>
        <v>954.6688949237519</v>
      </c>
      <c r="I41" s="15">
        <f>SUM('- 34 -'!C41,'- 34 -'!E41)</f>
        <v>230000</v>
      </c>
      <c r="J41" s="360">
        <f>I41/'- 3 -'!E41</f>
        <v>0.015625076427004263</v>
      </c>
      <c r="K41" s="15">
        <f>I41/'- 7 -'!G41</f>
        <v>120.11698349697096</v>
      </c>
    </row>
    <row r="42" spans="1:11" ht="12.75">
      <c r="A42" s="16">
        <v>36</v>
      </c>
      <c r="B42" s="17" t="s">
        <v>146</v>
      </c>
      <c r="C42" s="17">
        <f>SUM('- 31 -'!E42,'- 31 -'!C42,'- 30 -'!G42,'- 30 -'!E42,'- 30 -'!C42)</f>
        <v>838080</v>
      </c>
      <c r="D42" s="361">
        <f>C42/'- 3 -'!E42</f>
        <v>0.10972505891594658</v>
      </c>
      <c r="E42" s="17">
        <f>C42/'- 7 -'!G42</f>
        <v>896.3422459893048</v>
      </c>
      <c r="F42" s="17">
        <f>SUM('- 33 -'!E42,'- 33 -'!C42,'- 32 -'!G42,'- 32 -'!E42,'- 32 -'!C42)</f>
        <v>934871</v>
      </c>
      <c r="G42" s="361">
        <f>F42/'- 3 -'!E42</f>
        <v>0.12239735532862006</v>
      </c>
      <c r="H42" s="17">
        <f>F42/'- 7 -'!G42</f>
        <v>999.8620320855615</v>
      </c>
      <c r="I42" s="17">
        <f>SUM('- 34 -'!C42,'- 34 -'!E42)</f>
        <v>130750</v>
      </c>
      <c r="J42" s="361">
        <f>I42/'- 3 -'!E42</f>
        <v>0.01711835559046871</v>
      </c>
      <c r="K42" s="17">
        <f>I42/'- 7 -'!G42</f>
        <v>139.83957219251337</v>
      </c>
    </row>
    <row r="43" spans="1:11" ht="12.75">
      <c r="A43" s="14">
        <v>37</v>
      </c>
      <c r="B43" s="15" t="s">
        <v>147</v>
      </c>
      <c r="C43" s="15">
        <f>SUM('- 31 -'!E43,'- 31 -'!C43,'- 30 -'!G43,'- 30 -'!E43,'- 30 -'!C43)</f>
        <v>814062</v>
      </c>
      <c r="D43" s="360">
        <f>C43/'- 3 -'!E43</f>
        <v>0.11755119368910799</v>
      </c>
      <c r="E43" s="15">
        <f>C43/'- 7 -'!G43</f>
        <v>882.9018578571197</v>
      </c>
      <c r="F43" s="15">
        <f>SUM('- 33 -'!E43,'- 33 -'!C43,'- 32 -'!G43,'- 32 -'!E43,'- 32 -'!C43)</f>
        <v>754879</v>
      </c>
      <c r="G43" s="360">
        <f>F43/'- 3 -'!E43</f>
        <v>0.10900512189592458</v>
      </c>
      <c r="H43" s="15">
        <f>F43/'- 7 -'!G43</f>
        <v>818.71414162229</v>
      </c>
      <c r="I43" s="15">
        <f>SUM('- 34 -'!C43,'- 34 -'!E43)</f>
        <v>100000</v>
      </c>
      <c r="J43" s="360">
        <f>I43/'- 3 -'!E43</f>
        <v>0.014440078727309222</v>
      </c>
      <c r="K43" s="15">
        <f>I43/'- 7 -'!G43</f>
        <v>108.45634089997073</v>
      </c>
    </row>
    <row r="44" spans="1:11" ht="12.75">
      <c r="A44" s="16">
        <v>38</v>
      </c>
      <c r="B44" s="17" t="s">
        <v>148</v>
      </c>
      <c r="C44" s="17">
        <f>SUM('- 31 -'!E44,'- 31 -'!C44,'- 30 -'!G44,'- 30 -'!E44,'- 30 -'!C44)</f>
        <v>959587</v>
      </c>
      <c r="D44" s="361">
        <f>C44/'- 3 -'!E44</f>
        <v>0.10714294487199728</v>
      </c>
      <c r="E44" s="17">
        <f>C44/'- 7 -'!G44</f>
        <v>821.5642123287671</v>
      </c>
      <c r="F44" s="17">
        <f>SUM('- 33 -'!E44,'- 33 -'!C44,'- 32 -'!G44,'- 32 -'!E44,'- 32 -'!C44)</f>
        <v>1031541</v>
      </c>
      <c r="G44" s="361">
        <f>F44/'- 3 -'!E44</f>
        <v>0.11517698811697631</v>
      </c>
      <c r="H44" s="17">
        <f>F44/'- 7 -'!G44</f>
        <v>883.1686643835617</v>
      </c>
      <c r="I44" s="17">
        <f>SUM('- 34 -'!C44,'- 34 -'!E44)</f>
        <v>179641</v>
      </c>
      <c r="J44" s="361">
        <f>I44/'- 3 -'!E44</f>
        <v>0.020057864226745947</v>
      </c>
      <c r="K44" s="17">
        <f>I44/'- 7 -'!G44</f>
        <v>153.80222602739727</v>
      </c>
    </row>
    <row r="45" spans="1:11" ht="12.75">
      <c r="A45" s="14">
        <v>39</v>
      </c>
      <c r="B45" s="15" t="s">
        <v>149</v>
      </c>
      <c r="C45" s="15">
        <f>SUM('- 31 -'!E45,'- 31 -'!C45,'- 30 -'!G45,'- 30 -'!E45,'- 30 -'!C45)</f>
        <v>1162400</v>
      </c>
      <c r="D45" s="360">
        <f>C45/'- 3 -'!E45</f>
        <v>0.07299146318872977</v>
      </c>
      <c r="E45" s="15">
        <f>C45/'- 7 -'!G45</f>
        <v>553.5238095238095</v>
      </c>
      <c r="F45" s="15">
        <f>SUM('- 33 -'!E45,'- 33 -'!C45,'- 32 -'!G45,'- 32 -'!E45,'- 32 -'!C45)</f>
        <v>1735300</v>
      </c>
      <c r="G45" s="360">
        <f>F45/'- 3 -'!E45</f>
        <v>0.10896600659962387</v>
      </c>
      <c r="H45" s="15">
        <f>F45/'- 7 -'!G45</f>
        <v>826.3333333333334</v>
      </c>
      <c r="I45" s="15">
        <f>SUM('- 34 -'!C45,'- 34 -'!E45)</f>
        <v>369000</v>
      </c>
      <c r="J45" s="360">
        <f>I45/'- 3 -'!E45</f>
        <v>0.023170896349484934</v>
      </c>
      <c r="K45" s="15">
        <f>I45/'- 7 -'!G45</f>
        <v>175.71428571428572</v>
      </c>
    </row>
    <row r="46" spans="1:11" ht="12.75">
      <c r="A46" s="16">
        <v>40</v>
      </c>
      <c r="B46" s="17" t="s">
        <v>150</v>
      </c>
      <c r="C46" s="17">
        <f>SUM('- 31 -'!E46,'- 31 -'!C46,'- 30 -'!G46,'- 30 -'!E46,'- 30 -'!C46)</f>
        <v>1255900</v>
      </c>
      <c r="D46" s="361">
        <f>C46/'- 3 -'!E46</f>
        <v>0.026877681829368772</v>
      </c>
      <c r="E46" s="17">
        <f>C46/'- 7 -'!G46</f>
        <v>169.68182125244883</v>
      </c>
      <c r="F46" s="17">
        <f>SUM('- 33 -'!E46,'- 33 -'!C46,'- 32 -'!G46,'- 32 -'!E46,'- 32 -'!C46)</f>
        <v>4643300</v>
      </c>
      <c r="G46" s="361">
        <f>F46/'- 3 -'!E46</f>
        <v>0.09937187677228125</v>
      </c>
      <c r="H46" s="17">
        <f>F46/'- 7 -'!G46</f>
        <v>627.3458082821049</v>
      </c>
      <c r="I46" s="17">
        <f>SUM('- 34 -'!C46,'- 34 -'!E46)</f>
        <v>805900</v>
      </c>
      <c r="J46" s="361">
        <f>I46/'- 3 -'!E46</f>
        <v>0.01724717237541866</v>
      </c>
      <c r="K46" s="17">
        <f>I46/'- 7 -'!G46</f>
        <v>108.88333445923124</v>
      </c>
    </row>
    <row r="47" spans="1:11" ht="12.75">
      <c r="A47" s="14">
        <v>41</v>
      </c>
      <c r="B47" s="15" t="s">
        <v>151</v>
      </c>
      <c r="C47" s="15">
        <f>SUM('- 31 -'!E47,'- 31 -'!C47,'- 30 -'!G47,'- 30 -'!E47,'- 30 -'!C47)</f>
        <v>1056360</v>
      </c>
      <c r="D47" s="360">
        <f>C47/'- 3 -'!E47</f>
        <v>0.08600595029996566</v>
      </c>
      <c r="E47" s="15">
        <f>C47/'- 7 -'!G47</f>
        <v>669.217611656636</v>
      </c>
      <c r="F47" s="15">
        <f>SUM('- 33 -'!E47,'- 33 -'!C47,'- 32 -'!G47,'- 32 -'!E47,'- 32 -'!C47)</f>
        <v>1366519</v>
      </c>
      <c r="G47" s="360">
        <f>F47/'- 3 -'!E47</f>
        <v>0.11125825021579648</v>
      </c>
      <c r="H47" s="15">
        <f>F47/'- 7 -'!G47</f>
        <v>865.7073170731708</v>
      </c>
      <c r="I47" s="15">
        <f>SUM('- 34 -'!C47,'- 34 -'!E47)</f>
        <v>258000</v>
      </c>
      <c r="J47" s="360">
        <f>I47/'- 3 -'!E47</f>
        <v>0.02100565638361083</v>
      </c>
      <c r="K47" s="15">
        <f>I47/'- 7 -'!G47</f>
        <v>163.4463097877732</v>
      </c>
    </row>
    <row r="48" spans="1:11" ht="12.75">
      <c r="A48" s="16">
        <v>42</v>
      </c>
      <c r="B48" s="17" t="s">
        <v>152</v>
      </c>
      <c r="C48" s="17">
        <f>SUM('- 31 -'!E48,'- 31 -'!C48,'- 30 -'!G48,'- 30 -'!E48,'- 30 -'!C48)</f>
        <v>704166</v>
      </c>
      <c r="D48" s="361">
        <f>C48/'- 3 -'!E48</f>
        <v>0.08772297436352303</v>
      </c>
      <c r="E48" s="17">
        <f>C48/'- 7 -'!G48</f>
        <v>676.7573282075925</v>
      </c>
      <c r="F48" s="17">
        <f>SUM('- 33 -'!E48,'- 33 -'!C48,'- 32 -'!G48,'- 32 -'!E48,'- 32 -'!C48)</f>
        <v>857156</v>
      </c>
      <c r="G48" s="361">
        <f>F48/'- 3 -'!E48</f>
        <v>0.10678202840458065</v>
      </c>
      <c r="H48" s="17">
        <f>F48/'- 7 -'!G48</f>
        <v>823.792407496396</v>
      </c>
      <c r="I48" s="17">
        <f>SUM('- 34 -'!C48,'- 34 -'!E48)</f>
        <v>159253</v>
      </c>
      <c r="J48" s="361">
        <f>I48/'- 3 -'!E48</f>
        <v>0.019839280562131842</v>
      </c>
      <c r="K48" s="17">
        <f>I48/'- 7 -'!G48</f>
        <v>153.05430081691495</v>
      </c>
    </row>
    <row r="49" spans="1:11" ht="12.75">
      <c r="A49" s="14">
        <v>43</v>
      </c>
      <c r="B49" s="15" t="s">
        <v>153</v>
      </c>
      <c r="C49" s="15">
        <f>SUM('- 31 -'!E49,'- 31 -'!C49,'- 30 -'!G49,'- 30 -'!E49,'- 30 -'!C49)</f>
        <v>616500</v>
      </c>
      <c r="D49" s="360">
        <f>C49/'- 3 -'!E49</f>
        <v>0.09628299234733718</v>
      </c>
      <c r="E49" s="15">
        <f>C49/'- 7 -'!G49</f>
        <v>793.947198969736</v>
      </c>
      <c r="F49" s="15">
        <f>SUM('- 33 -'!E49,'- 33 -'!C49,'- 32 -'!G49,'- 32 -'!E49,'- 32 -'!C49)</f>
        <v>706000</v>
      </c>
      <c r="G49" s="360">
        <f>F49/'- 3 -'!E49</f>
        <v>0.11026081524285491</v>
      </c>
      <c r="H49" s="15">
        <f>F49/'- 7 -'!G49</f>
        <v>909.2079845460399</v>
      </c>
      <c r="I49" s="15">
        <f>SUM('- 34 -'!C49,'- 34 -'!E49)</f>
        <v>129000</v>
      </c>
      <c r="J49" s="360">
        <f>I49/'- 3 -'!E49</f>
        <v>0.02014680618460097</v>
      </c>
      <c r="K49" s="15">
        <f>I49/'- 7 -'!G49</f>
        <v>166.13007083065037</v>
      </c>
    </row>
    <row r="50" spans="1:11" ht="12.75">
      <c r="A50" s="16">
        <v>44</v>
      </c>
      <c r="B50" s="17" t="s">
        <v>154</v>
      </c>
      <c r="C50" s="17">
        <f>SUM('- 31 -'!E50,'- 31 -'!C50,'- 30 -'!G50,'- 30 -'!E50,'- 30 -'!C50)</f>
        <v>742486</v>
      </c>
      <c r="D50" s="361">
        <f>C50/'- 3 -'!E50</f>
        <v>0.08040106649017442</v>
      </c>
      <c r="E50" s="17">
        <f>C50/'- 7 -'!G50</f>
        <v>610.8482106129165</v>
      </c>
      <c r="F50" s="17">
        <f>SUM('- 33 -'!E50,'- 33 -'!C50,'- 32 -'!G50,'- 32 -'!E50,'- 32 -'!C50)</f>
        <v>938306</v>
      </c>
      <c r="G50" s="361">
        <f>F50/'- 3 -'!E50</f>
        <v>0.10160569100848986</v>
      </c>
      <c r="H50" s="17">
        <f>F50/'- 7 -'!G50</f>
        <v>771.9506375976964</v>
      </c>
      <c r="I50" s="17">
        <f>SUM('- 34 -'!C50,'- 34 -'!E50)</f>
        <v>170000</v>
      </c>
      <c r="J50" s="361">
        <f>I50/'- 3 -'!E50</f>
        <v>0.0184086720871904</v>
      </c>
      <c r="K50" s="17">
        <f>I50/'- 7 -'!G50</f>
        <v>139.86013986013987</v>
      </c>
    </row>
    <row r="51" spans="1:11" ht="12.75">
      <c r="A51" s="14">
        <v>45</v>
      </c>
      <c r="B51" s="15" t="s">
        <v>155</v>
      </c>
      <c r="C51" s="15">
        <f>SUM('- 31 -'!E51,'- 31 -'!C51,'- 30 -'!G51,'- 30 -'!E51,'- 30 -'!C51)</f>
        <v>476130</v>
      </c>
      <c r="D51" s="360">
        <f>C51/'- 3 -'!E51</f>
        <v>0.03950234331786664</v>
      </c>
      <c r="E51" s="15">
        <f>C51/'- 7 -'!G51</f>
        <v>252.05399682371626</v>
      </c>
      <c r="F51" s="15">
        <f>SUM('- 33 -'!E51,'- 33 -'!C51,'- 32 -'!G51,'- 32 -'!E51,'- 32 -'!C51)</f>
        <v>1771785</v>
      </c>
      <c r="G51" s="360">
        <f>F51/'- 3 -'!E51</f>
        <v>0.14699695325950127</v>
      </c>
      <c r="H51" s="15">
        <f>F51/'- 7 -'!G51</f>
        <v>937.9486500794071</v>
      </c>
      <c r="I51" s="15">
        <f>SUM('- 34 -'!C51,'- 34 -'!E51)</f>
        <v>250000</v>
      </c>
      <c r="J51" s="360">
        <f>I51/'- 3 -'!E51</f>
        <v>0.02074136439515817</v>
      </c>
      <c r="K51" s="15">
        <f>I51/'- 7 -'!G51</f>
        <v>132.34515616728427</v>
      </c>
    </row>
    <row r="52" spans="1:11" ht="12.75">
      <c r="A52" s="16">
        <v>46</v>
      </c>
      <c r="B52" s="17" t="s">
        <v>156</v>
      </c>
      <c r="C52" s="17">
        <f>SUM('- 31 -'!E52,'- 31 -'!C52,'- 30 -'!G52,'- 30 -'!E52,'- 30 -'!C52)</f>
        <v>187932</v>
      </c>
      <c r="D52" s="361">
        <f>C52/'- 3 -'!E52</f>
        <v>0.017724220366122492</v>
      </c>
      <c r="E52" s="17">
        <f>C52/'- 7 -'!G52</f>
        <v>125.20453031312458</v>
      </c>
      <c r="F52" s="17">
        <f>SUM('- 33 -'!E52,'- 33 -'!C52,'- 32 -'!G52,'- 32 -'!E52,'- 32 -'!C52)</f>
        <v>1518058</v>
      </c>
      <c r="G52" s="361">
        <f>F52/'- 3 -'!E52</f>
        <v>0.1431709050111486</v>
      </c>
      <c r="H52" s="17">
        <f>F52/'- 7 -'!G52</f>
        <v>1011.3644237175216</v>
      </c>
      <c r="I52" s="17">
        <f>SUM('- 34 -'!C52,'- 34 -'!E52)</f>
        <v>226000</v>
      </c>
      <c r="J52" s="361">
        <f>I52/'- 3 -'!E52</f>
        <v>0.02131448504109829</v>
      </c>
      <c r="K52" s="17">
        <f>I52/'- 7 -'!G52</f>
        <v>150.56628914057296</v>
      </c>
    </row>
    <row r="53" spans="1:11" ht="12.75">
      <c r="A53" s="14">
        <v>47</v>
      </c>
      <c r="B53" s="15" t="s">
        <v>157</v>
      </c>
      <c r="C53" s="15">
        <f>SUM('- 31 -'!E53,'- 31 -'!C53,'- 30 -'!G53,'- 30 -'!E53,'- 30 -'!C53)</f>
        <v>394043</v>
      </c>
      <c r="D53" s="360">
        <f>C53/'- 3 -'!E53</f>
        <v>0.04114690861193312</v>
      </c>
      <c r="E53" s="15">
        <f>C53/'- 7 -'!G53</f>
        <v>277.6906272022551</v>
      </c>
      <c r="F53" s="15">
        <f>SUM('- 33 -'!E53,'- 33 -'!C53,'- 32 -'!G53,'- 32 -'!E53,'- 32 -'!C53)</f>
        <v>1059587</v>
      </c>
      <c r="G53" s="360">
        <f>F53/'- 3 -'!E53</f>
        <v>0.11064459831894584</v>
      </c>
      <c r="H53" s="15">
        <f>F53/'- 7 -'!G53</f>
        <v>746.7138830162086</v>
      </c>
      <c r="I53" s="15">
        <f>SUM('- 34 -'!C53,'- 34 -'!E53)</f>
        <v>171671</v>
      </c>
      <c r="J53" s="360">
        <f>I53/'- 3 -'!E53</f>
        <v>0.01792629471483866</v>
      </c>
      <c r="K53" s="15">
        <f>I53/'- 7 -'!G53</f>
        <v>120.98026779422128</v>
      </c>
    </row>
    <row r="54" spans="1:11" ht="12.75">
      <c r="A54" s="16">
        <v>48</v>
      </c>
      <c r="B54" s="17" t="s">
        <v>158</v>
      </c>
      <c r="C54" s="17">
        <f>SUM('- 31 -'!E54,'- 31 -'!C54,'- 30 -'!G54,'- 30 -'!E54,'- 30 -'!C54)</f>
        <v>5331814</v>
      </c>
      <c r="D54" s="361">
        <f>C54/'- 3 -'!E54</f>
        <v>0.08589873738628412</v>
      </c>
      <c r="E54" s="17">
        <f>C54/'- 7 -'!G54</f>
        <v>1027.3244701348747</v>
      </c>
      <c r="F54" s="17">
        <f>SUM('- 33 -'!E54,'- 33 -'!C54,'- 32 -'!G54,'- 32 -'!E54,'- 32 -'!C54)</f>
        <v>10771926</v>
      </c>
      <c r="G54" s="361">
        <f>F54/'- 3 -'!E54</f>
        <v>0.1735422208311254</v>
      </c>
      <c r="H54" s="17">
        <f>F54/'- 7 -'!G54</f>
        <v>2075.515606936416</v>
      </c>
      <c r="I54" s="17">
        <f>SUM('- 34 -'!C54,'- 34 -'!E54)</f>
        <v>919923</v>
      </c>
      <c r="J54" s="361">
        <f>I54/'- 3 -'!E54</f>
        <v>0.014820514030047305</v>
      </c>
      <c r="K54" s="17">
        <f>I54/'- 7 -'!G54</f>
        <v>177.24913294797688</v>
      </c>
    </row>
    <row r="55" spans="1:11" ht="12.75">
      <c r="A55" s="14">
        <v>49</v>
      </c>
      <c r="B55" s="15" t="s">
        <v>159</v>
      </c>
      <c r="C55" s="15">
        <f>SUM('- 31 -'!E55,'- 31 -'!C55,'- 30 -'!G55,'- 30 -'!E55,'- 30 -'!C55)</f>
        <v>3251147</v>
      </c>
      <c r="D55" s="360">
        <f>C55/'- 3 -'!E55</f>
        <v>0.08097054563710528</v>
      </c>
      <c r="E55" s="15">
        <f>C55/'- 7 -'!G55</f>
        <v>750.8422632794458</v>
      </c>
      <c r="F55" s="15">
        <f>SUM('- 33 -'!E55,'- 33 -'!C55,'- 32 -'!G55,'- 32 -'!E55,'- 32 -'!C55)</f>
        <v>4641877</v>
      </c>
      <c r="G55" s="360">
        <f>F55/'- 3 -'!E55</f>
        <v>0.11560698838604631</v>
      </c>
      <c r="H55" s="15">
        <f>F55/'- 7 -'!G55</f>
        <v>1072.0270207852193</v>
      </c>
      <c r="I55" s="15">
        <f>SUM('- 34 -'!C55,'- 34 -'!E55)</f>
        <v>580000</v>
      </c>
      <c r="J55" s="360">
        <f>I55/'- 3 -'!E55</f>
        <v>0.014445030159977713</v>
      </c>
      <c r="K55" s="15">
        <f>I55/'- 7 -'!G55</f>
        <v>133.94919168591224</v>
      </c>
    </row>
    <row r="56" spans="1:11" ht="12.75">
      <c r="A56" s="16">
        <v>50</v>
      </c>
      <c r="B56" s="17" t="s">
        <v>340</v>
      </c>
      <c r="C56" s="17">
        <f>SUM('- 31 -'!E56,'- 31 -'!C56,'- 30 -'!G56,'- 30 -'!E56,'- 30 -'!C56)</f>
        <v>1295000</v>
      </c>
      <c r="D56" s="361">
        <f>C56/'- 3 -'!E56</f>
        <v>0.08984632462621847</v>
      </c>
      <c r="E56" s="17">
        <f>C56/'- 7 -'!G56</f>
        <v>752.2509439442347</v>
      </c>
      <c r="F56" s="17">
        <f>SUM('- 33 -'!E56,'- 33 -'!C56,'- 32 -'!G56,'- 32 -'!E56,'- 32 -'!C56)</f>
        <v>1820500</v>
      </c>
      <c r="G56" s="361">
        <f>F56/'- 3 -'!E56</f>
        <v>0.1263051999861241</v>
      </c>
      <c r="H56" s="17">
        <f>F56/'- 7 -'!G56</f>
        <v>1057.5079872204474</v>
      </c>
      <c r="I56" s="17">
        <f>SUM('- 34 -'!C56,'- 34 -'!E56)</f>
        <v>250000</v>
      </c>
      <c r="J56" s="361">
        <f>I56/'- 3 -'!E56</f>
        <v>0.01734485031394179</v>
      </c>
      <c r="K56" s="17">
        <f>I56/'- 7 -'!G56</f>
        <v>145.22218995062445</v>
      </c>
    </row>
    <row r="57" spans="1:11" ht="12.75">
      <c r="A57" s="14">
        <v>2264</v>
      </c>
      <c r="B57" s="15" t="s">
        <v>160</v>
      </c>
      <c r="C57" s="15">
        <f>SUM('- 31 -'!E57,'- 31 -'!C57,'- 30 -'!G57,'- 30 -'!E57,'- 30 -'!C57)</f>
        <v>71585</v>
      </c>
      <c r="D57" s="360">
        <f>C57/'- 3 -'!E57</f>
        <v>0.03540001997849839</v>
      </c>
      <c r="E57" s="15">
        <f>C57/'- 7 -'!G57</f>
        <v>347.5</v>
      </c>
      <c r="F57" s="15">
        <f>SUM('- 33 -'!E57,'- 33 -'!C57,'- 32 -'!G57,'- 32 -'!E57,'- 32 -'!C57)</f>
        <v>326371</v>
      </c>
      <c r="G57" s="360">
        <f>F57/'- 3 -'!E57</f>
        <v>0.16139610142351746</v>
      </c>
      <c r="H57" s="15">
        <f>F57/'- 7 -'!G57</f>
        <v>1584.3252427184466</v>
      </c>
      <c r="I57" s="15">
        <f>SUM('- 34 -'!C57,'- 34 -'!E57)</f>
        <v>12843</v>
      </c>
      <c r="J57" s="360">
        <f>I57/'- 3 -'!E57</f>
        <v>0.0063510855148963445</v>
      </c>
      <c r="K57" s="15">
        <f>I57/'- 7 -'!G57</f>
        <v>62.34466019417476</v>
      </c>
    </row>
    <row r="58" spans="1:11" ht="12.75">
      <c r="A58" s="16">
        <v>2309</v>
      </c>
      <c r="B58" s="17" t="s">
        <v>161</v>
      </c>
      <c r="C58" s="17">
        <f>SUM('- 31 -'!E58,'- 31 -'!C58,'- 30 -'!G58,'- 30 -'!E58,'- 30 -'!C58)</f>
        <v>62780</v>
      </c>
      <c r="D58" s="361">
        <f>C58/'- 3 -'!E58</f>
        <v>0.02982067221438204</v>
      </c>
      <c r="E58" s="17">
        <f>C58/'- 7 -'!G58</f>
        <v>239.89300726022165</v>
      </c>
      <c r="F58" s="17">
        <f>SUM('- 33 -'!E58,'- 33 -'!C58,'- 32 -'!G58,'- 32 -'!E58,'- 32 -'!C58)</f>
        <v>312076</v>
      </c>
      <c r="G58" s="361">
        <f>F58/'- 3 -'!E58</f>
        <v>0.1482369560684213</v>
      </c>
      <c r="H58" s="17">
        <f>F58/'- 7 -'!G58</f>
        <v>1192.4952235384028</v>
      </c>
      <c r="I58" s="17">
        <f>SUM('- 34 -'!C58,'- 34 -'!E58)</f>
        <v>21000</v>
      </c>
      <c r="J58" s="361">
        <f>I58/'- 3 -'!E58</f>
        <v>0.009975057605957674</v>
      </c>
      <c r="K58" s="17">
        <f>I58/'- 7 -'!G58</f>
        <v>80.24455483377913</v>
      </c>
    </row>
    <row r="59" spans="1:11" ht="12.75">
      <c r="A59" s="14">
        <v>2312</v>
      </c>
      <c r="B59" s="15" t="s">
        <v>162</v>
      </c>
      <c r="C59" s="15">
        <f>SUM('- 31 -'!E59,'- 31 -'!C59,'- 30 -'!G59,'- 30 -'!E59,'- 30 -'!C59)</f>
        <v>15300</v>
      </c>
      <c r="D59" s="360">
        <f>C59/'- 3 -'!E59</f>
        <v>0.00981229653914529</v>
      </c>
      <c r="E59" s="15">
        <f>C59/'- 7 -'!G59</f>
        <v>88.18443804034582</v>
      </c>
      <c r="F59" s="15">
        <f>SUM('- 33 -'!E59,'- 33 -'!C59,'- 32 -'!G59,'- 32 -'!E59,'- 32 -'!C59)</f>
        <v>265152</v>
      </c>
      <c r="G59" s="360">
        <f>F59/'- 3 -'!E59</f>
        <v>0.17004902300310146</v>
      </c>
      <c r="H59" s="15">
        <f>F59/'- 7 -'!G59</f>
        <v>1528.2536023054754</v>
      </c>
      <c r="I59" s="15">
        <f>SUM('- 34 -'!C59,'- 34 -'!E59)</f>
        <v>15900</v>
      </c>
      <c r="J59" s="360">
        <f>I59/'- 3 -'!E59</f>
        <v>0.010197092481856872</v>
      </c>
      <c r="K59" s="15">
        <f>I59/'- 7 -'!G59</f>
        <v>91.64265129682997</v>
      </c>
    </row>
    <row r="60" spans="1:11" ht="12.75">
      <c r="A60" s="16">
        <v>2355</v>
      </c>
      <c r="B60" s="17" t="s">
        <v>163</v>
      </c>
      <c r="C60" s="17">
        <f>SUM('- 31 -'!E60,'- 31 -'!C60,'- 30 -'!G60,'- 30 -'!E60,'- 30 -'!C60)</f>
        <v>92540</v>
      </c>
      <c r="D60" s="361">
        <f>C60/'- 3 -'!E60</f>
        <v>0.003607075574586792</v>
      </c>
      <c r="E60" s="17">
        <f>C60/'- 7 -'!G60</f>
        <v>27.62800417972832</v>
      </c>
      <c r="F60" s="17">
        <f>SUM('- 33 -'!E60,'- 33 -'!C60,'- 32 -'!G60,'- 32 -'!E60,'- 32 -'!C60)</f>
        <v>3291857</v>
      </c>
      <c r="G60" s="361">
        <f>F60/'- 3 -'!E60</f>
        <v>0.1283118325019727</v>
      </c>
      <c r="H60" s="17">
        <f>F60/'- 7 -'!G60</f>
        <v>982.790565756083</v>
      </c>
      <c r="I60" s="17">
        <f>SUM('- 34 -'!C60,'- 34 -'!E60)</f>
        <v>543000</v>
      </c>
      <c r="J60" s="361">
        <f>I60/'- 3 -'!E60</f>
        <v>0.02116535592177035</v>
      </c>
      <c r="K60" s="17">
        <f>I60/'- 7 -'!G60</f>
        <v>162.11374832064487</v>
      </c>
    </row>
    <row r="61" spans="1:11" ht="12.75">
      <c r="A61" s="14">
        <v>2439</v>
      </c>
      <c r="B61" s="15" t="s">
        <v>164</v>
      </c>
      <c r="C61" s="15">
        <f>SUM('- 31 -'!E61,'- 31 -'!C61,'- 30 -'!G61,'- 30 -'!E61,'- 30 -'!C61)</f>
        <v>134599</v>
      </c>
      <c r="D61" s="360">
        <f>C61/'- 3 -'!E61</f>
        <v>0.0990770163905224</v>
      </c>
      <c r="E61" s="15">
        <f>C61/'- 7 -'!G61</f>
        <v>849.205047318612</v>
      </c>
      <c r="F61" s="15">
        <f>SUM('- 33 -'!E61,'- 33 -'!C61,'- 32 -'!G61,'- 32 -'!E61,'- 32 -'!C61)</f>
        <v>144553</v>
      </c>
      <c r="G61" s="360">
        <f>F61/'- 3 -'!E61</f>
        <v>0.10640405909627251</v>
      </c>
      <c r="H61" s="15">
        <f>F61/'- 7 -'!G61</f>
        <v>912.006309148265</v>
      </c>
      <c r="I61" s="15">
        <f>SUM('- 34 -'!C61,'- 34 -'!E61)</f>
        <v>0</v>
      </c>
      <c r="J61" s="360">
        <f>I61/'- 3 -'!E61</f>
        <v>0</v>
      </c>
      <c r="K61" s="15">
        <f>I61/'- 7 -'!G61</f>
        <v>0</v>
      </c>
    </row>
    <row r="62" spans="1:11" ht="12.75">
      <c r="A62" s="16">
        <v>2460</v>
      </c>
      <c r="B62" s="17" t="s">
        <v>165</v>
      </c>
      <c r="C62" s="17">
        <f>SUM('- 31 -'!E62,'- 31 -'!C62,'- 30 -'!G62,'- 30 -'!E62,'- 30 -'!C62)</f>
        <v>13000</v>
      </c>
      <c r="D62" s="361">
        <f>C62/'- 3 -'!E62</f>
        <v>0.006043745560171531</v>
      </c>
      <c r="E62" s="17">
        <f>C62/'- 7 -'!G62</f>
        <v>47.75900073475386</v>
      </c>
      <c r="F62" s="17">
        <f>SUM('- 33 -'!E62,'- 33 -'!C62,'- 32 -'!G62,'- 32 -'!E62,'- 32 -'!C62)</f>
        <v>519700</v>
      </c>
      <c r="G62" s="361">
        <f>F62/'- 3 -'!E62</f>
        <v>0.24161035135547265</v>
      </c>
      <c r="H62" s="17">
        <f>F62/'- 7 -'!G62</f>
        <v>1909.2578986039678</v>
      </c>
      <c r="I62" s="17">
        <f>SUM('- 34 -'!C62,'- 34 -'!E62)</f>
        <v>35000</v>
      </c>
      <c r="J62" s="361">
        <f>I62/'- 3 -'!E62</f>
        <v>0.016271622662000274</v>
      </c>
      <c r="K62" s="17">
        <f>I62/'- 7 -'!G62</f>
        <v>128.58192505510655</v>
      </c>
    </row>
    <row r="63" spans="1:11" ht="12.75">
      <c r="A63" s="14">
        <v>3000</v>
      </c>
      <c r="B63" s="15" t="s">
        <v>363</v>
      </c>
      <c r="C63" s="15">
        <f>SUM('- 31 -'!E63,'- 31 -'!C63,'- 30 -'!G63,'- 30 -'!E63,'- 30 -'!C63)</f>
        <v>0</v>
      </c>
      <c r="D63" s="360">
        <f>C63/'- 3 -'!E63</f>
        <v>0</v>
      </c>
      <c r="E63" s="15">
        <f>C63/'- 7 -'!G63</f>
        <v>0</v>
      </c>
      <c r="F63" s="15">
        <f>SUM('- 33 -'!E63,'- 33 -'!C63,'- 32 -'!G63,'- 32 -'!E63,'- 32 -'!C63)</f>
        <v>695677</v>
      </c>
      <c r="G63" s="360">
        <f>F63/'- 3 -'!E63</f>
        <v>0.0961933310665783</v>
      </c>
      <c r="H63" s="15">
        <f>F63/'- 7 -'!G63</f>
        <v>869.3789052736815</v>
      </c>
      <c r="I63" s="15">
        <f>SUM('- 34 -'!C63,'- 34 -'!E63)</f>
        <v>118775</v>
      </c>
      <c r="J63" s="360">
        <f>I63/'- 3 -'!E63</f>
        <v>0.01642337305593377</v>
      </c>
      <c r="K63" s="15">
        <f>I63/'- 7 -'!G63</f>
        <v>148.43164208947763</v>
      </c>
    </row>
    <row r="64" spans="1:11" ht="4.5" customHeight="1">
      <c r="A64" s="18"/>
      <c r="B64" s="18"/>
      <c r="C64" s="18"/>
      <c r="D64" s="198"/>
      <c r="E64" s="18"/>
      <c r="F64" s="18"/>
      <c r="G64" s="198"/>
      <c r="H64" s="18"/>
      <c r="I64" s="18"/>
      <c r="J64" s="198"/>
      <c r="K64" s="18"/>
    </row>
    <row r="65" spans="1:11" ht="12.75">
      <c r="A65" s="20"/>
      <c r="B65" s="21" t="s">
        <v>166</v>
      </c>
      <c r="C65" s="21">
        <f>SUM(C11:C63)</f>
        <v>54121144.19</v>
      </c>
      <c r="D65" s="103">
        <f>C65/'- 3 -'!E65</f>
        <v>0.040050107872347585</v>
      </c>
      <c r="E65" s="21">
        <f>C65/'- 7 -'!G65</f>
        <v>299.1861842920291</v>
      </c>
      <c r="F65" s="21">
        <f>SUM(F11:F63)</f>
        <v>163070103.20999998</v>
      </c>
      <c r="G65" s="103">
        <f>F65/'- 3 -'!E65</f>
        <v>0.1206732659122548</v>
      </c>
      <c r="H65" s="21">
        <f>F65/'- 7 -'!G65</f>
        <v>901.4650869210913</v>
      </c>
      <c r="I65" s="21">
        <f>SUM(I11:I63)</f>
        <v>23922951</v>
      </c>
      <c r="J65" s="103">
        <f>I65/'- 3 -'!E65</f>
        <v>0.017703187589886867</v>
      </c>
      <c r="K65" s="21">
        <f>I65/'- 7 -'!G65</f>
        <v>132.24806189551447</v>
      </c>
    </row>
    <row r="66" spans="1:11" ht="4.5" customHeight="1">
      <c r="A66" s="18"/>
      <c r="B66" s="18"/>
      <c r="C66" s="18"/>
      <c r="D66" s="198"/>
      <c r="E66" s="18"/>
      <c r="F66" s="18"/>
      <c r="G66" s="198"/>
      <c r="H66" s="18"/>
      <c r="I66" s="18"/>
      <c r="J66" s="198"/>
      <c r="K66" s="18"/>
    </row>
    <row r="67" spans="1:11" ht="12.75">
      <c r="A67" s="16">
        <v>2155</v>
      </c>
      <c r="B67" s="17" t="s">
        <v>167</v>
      </c>
      <c r="C67" s="17">
        <f>SUM('- 31 -'!E67,'- 31 -'!C67,'- 30 -'!G67,'- 30 -'!E67,'- 30 -'!C67)</f>
        <v>54534</v>
      </c>
      <c r="D67" s="361">
        <f>C67/'- 3 -'!E67</f>
        <v>0.04111479028697572</v>
      </c>
      <c r="E67" s="17">
        <f>C67/'- 7 -'!G67</f>
        <v>384.0422535211268</v>
      </c>
      <c r="F67" s="17">
        <f>SUM('- 33 -'!E67,'- 33 -'!C67,'- 32 -'!G67,'- 32 -'!E67,'- 32 -'!C67)</f>
        <v>185030</v>
      </c>
      <c r="G67" s="361">
        <f>F67/'- 3 -'!E67</f>
        <v>0.1394995717680551</v>
      </c>
      <c r="H67" s="17">
        <f>F67/'- 7 -'!G67</f>
        <v>1303.0281690140846</v>
      </c>
      <c r="I67" s="17">
        <f>SUM('- 34 -'!C67,'- 34 -'!E67)</f>
        <v>0</v>
      </c>
      <c r="J67" s="361">
        <f>I67/'- 3 -'!E67</f>
        <v>0</v>
      </c>
      <c r="K67" s="17">
        <f>I67/'- 7 -'!G67</f>
        <v>0</v>
      </c>
    </row>
    <row r="68" spans="1:11" ht="12.75">
      <c r="A68" s="14">
        <v>2408</v>
      </c>
      <c r="B68" s="15" t="s">
        <v>169</v>
      </c>
      <c r="C68" s="15">
        <f>SUM('- 31 -'!E68,'- 31 -'!C68,'- 30 -'!G68,'- 30 -'!E68,'- 30 -'!C68)</f>
        <v>27500</v>
      </c>
      <c r="D68" s="360">
        <f>C68/'- 3 -'!E68</f>
        <v>0.011969193472219503</v>
      </c>
      <c r="E68" s="15">
        <f>C68/'- 7 -'!G68</f>
        <v>112.70491803278688</v>
      </c>
      <c r="F68" s="15">
        <f>SUM('- 33 -'!E68,'- 33 -'!C68,'- 32 -'!G68,'- 32 -'!E68,'- 32 -'!C68)</f>
        <v>328787</v>
      </c>
      <c r="G68" s="360">
        <f>F68/'- 3 -'!E68</f>
        <v>0.1431023714236594</v>
      </c>
      <c r="H68" s="15">
        <f>F68/'- 7 -'!G68</f>
        <v>1347.4877049180327</v>
      </c>
      <c r="I68" s="15">
        <f>SUM('- 34 -'!C68,'- 34 -'!E68)</f>
        <v>9000</v>
      </c>
      <c r="J68" s="360">
        <f>I68/'- 3 -'!E68</f>
        <v>0.003917190590908201</v>
      </c>
      <c r="K68" s="15">
        <f>I68/'- 7 -'!G68</f>
        <v>36.885245901639344</v>
      </c>
    </row>
    <row r="69" ht="6.75" customHeight="1"/>
    <row r="70" spans="1:11" ht="12" customHeight="1">
      <c r="A70" s="7"/>
      <c r="B70" s="7"/>
      <c r="C70" s="18"/>
      <c r="D70" s="18"/>
      <c r="E70" s="18"/>
      <c r="F70" s="18"/>
      <c r="G70" s="18"/>
      <c r="H70" s="18"/>
      <c r="I70" s="18"/>
      <c r="J70" s="18"/>
      <c r="K70" s="18"/>
    </row>
    <row r="71" spans="1:11" ht="12" customHeight="1">
      <c r="A71" s="7"/>
      <c r="B71" s="7"/>
      <c r="C71" s="151"/>
      <c r="D71" s="151"/>
      <c r="F71" s="151"/>
      <c r="G71" s="151"/>
      <c r="I71" s="151"/>
      <c r="J71" s="18"/>
      <c r="K71" s="18"/>
    </row>
    <row r="72" spans="1:11" ht="12" customHeight="1">
      <c r="A72" s="7"/>
      <c r="B72" s="7"/>
      <c r="C72" s="18"/>
      <c r="D72" s="18"/>
      <c r="E72" s="18"/>
      <c r="F72" s="18"/>
      <c r="G72" s="18"/>
      <c r="H72" s="18"/>
      <c r="I72" s="18"/>
      <c r="J72" s="18"/>
      <c r="K72" s="18"/>
    </row>
    <row r="73" spans="1:11" ht="12" customHeight="1">
      <c r="A73" s="7"/>
      <c r="B73" s="7"/>
      <c r="C73" s="18"/>
      <c r="D73" s="18"/>
      <c r="E73" s="18"/>
      <c r="F73" s="18"/>
      <c r="G73" s="18"/>
      <c r="H73" s="18"/>
      <c r="I73" s="18"/>
      <c r="J73" s="18"/>
      <c r="K73" s="18"/>
    </row>
    <row r="74" spans="1:11" ht="12" customHeight="1">
      <c r="A74" s="7"/>
      <c r="B74" s="7"/>
      <c r="C74" s="18"/>
      <c r="D74" s="18"/>
      <c r="E74" s="18"/>
      <c r="F74" s="18"/>
      <c r="G74" s="18"/>
      <c r="H74" s="18"/>
      <c r="I74" s="18"/>
      <c r="J74" s="18"/>
      <c r="K74" s="18"/>
    </row>
    <row r="75" spans="3:11" ht="12" customHeight="1">
      <c r="C75" s="18"/>
      <c r="D75" s="18"/>
      <c r="E75" s="18"/>
      <c r="F75" s="18"/>
      <c r="G75" s="18"/>
      <c r="H75" s="18"/>
      <c r="I75" s="18"/>
      <c r="J75" s="18"/>
      <c r="K75" s="18"/>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20.83203125" style="82" customWidth="1"/>
    <col min="4" max="4" width="12.83203125" style="82" customWidth="1"/>
    <col min="5" max="5" width="15.33203125" style="82" customWidth="1"/>
    <col min="6" max="6" width="20.83203125" style="82" customWidth="1"/>
    <col min="7" max="7" width="12.83203125" style="82" customWidth="1"/>
    <col min="8" max="8" width="15.33203125" style="82" customWidth="1"/>
    <col min="9" max="16384" width="15.83203125" style="82" customWidth="1"/>
  </cols>
  <sheetData>
    <row r="1" spans="1:8" ht="6.75" customHeight="1">
      <c r="A1" s="18"/>
      <c r="B1" s="22"/>
      <c r="C1" s="23"/>
      <c r="D1" s="23"/>
      <c r="E1" s="23"/>
      <c r="F1" s="23"/>
      <c r="G1" s="23"/>
      <c r="H1" s="23"/>
    </row>
    <row r="2" spans="1:8" ht="12.75">
      <c r="A2" s="9"/>
      <c r="B2" s="24"/>
      <c r="C2" s="25" t="s">
        <v>0</v>
      </c>
      <c r="D2" s="26"/>
      <c r="E2" s="25"/>
      <c r="F2" s="25"/>
      <c r="G2" s="25"/>
      <c r="H2" s="27" t="s">
        <v>421</v>
      </c>
    </row>
    <row r="3" spans="1:8" ht="12.75">
      <c r="A3" s="10"/>
      <c r="B3" s="28"/>
      <c r="C3" s="8" t="str">
        <f>YEAR</f>
        <v>OPERATING FUND BUDGET 2002/2003</v>
      </c>
      <c r="D3" s="29"/>
      <c r="E3" s="8"/>
      <c r="F3" s="29"/>
      <c r="G3" s="29"/>
      <c r="H3" s="30"/>
    </row>
    <row r="4" spans="1:8" ht="12.75">
      <c r="A4" s="11"/>
      <c r="B4" s="18"/>
      <c r="C4" s="23"/>
      <c r="D4" s="23"/>
      <c r="E4" s="23"/>
      <c r="F4" s="23"/>
      <c r="G4" s="23"/>
      <c r="H4" s="23"/>
    </row>
    <row r="5" spans="1:8" ht="16.5">
      <c r="A5" s="11"/>
      <c r="B5" s="18"/>
      <c r="C5" s="337" t="s">
        <v>14</v>
      </c>
      <c r="D5" s="31"/>
      <c r="E5" s="32"/>
      <c r="F5" s="32"/>
      <c r="G5" s="32"/>
      <c r="H5" s="33"/>
    </row>
    <row r="6" spans="1:8" ht="12.75">
      <c r="A6" s="11"/>
      <c r="B6" s="18"/>
      <c r="C6" s="34"/>
      <c r="D6" s="35"/>
      <c r="E6" s="36"/>
      <c r="F6" s="387" t="s">
        <v>349</v>
      </c>
      <c r="G6" s="388"/>
      <c r="H6" s="389"/>
    </row>
    <row r="7" spans="1:8" ht="12.75">
      <c r="A7" s="18"/>
      <c r="B7" s="18"/>
      <c r="C7" s="39" t="s">
        <v>38</v>
      </c>
      <c r="D7" s="40"/>
      <c r="E7" s="41"/>
      <c r="F7" s="39" t="s">
        <v>505</v>
      </c>
      <c r="G7" s="40"/>
      <c r="H7" s="41"/>
    </row>
    <row r="8" spans="1:8" ht="12.75">
      <c r="A8" s="45"/>
      <c r="B8" s="46"/>
      <c r="C8" s="47"/>
      <c r="D8" s="48"/>
      <c r="E8" s="49" t="s">
        <v>75</v>
      </c>
      <c r="F8" s="95"/>
      <c r="G8" s="48"/>
      <c r="H8" s="49" t="s">
        <v>75</v>
      </c>
    </row>
    <row r="9" spans="1:8" ht="12.75">
      <c r="A9" s="52" t="s">
        <v>100</v>
      </c>
      <c r="B9" s="53" t="s">
        <v>101</v>
      </c>
      <c r="C9" s="54" t="s">
        <v>102</v>
      </c>
      <c r="D9" s="54" t="s">
        <v>103</v>
      </c>
      <c r="E9" s="54" t="s">
        <v>104</v>
      </c>
      <c r="F9" s="96" t="s">
        <v>102</v>
      </c>
      <c r="G9" s="54" t="s">
        <v>103</v>
      </c>
      <c r="H9" s="54" t="s">
        <v>104</v>
      </c>
    </row>
    <row r="10" spans="1:8" ht="4.5" customHeight="1">
      <c r="A10" s="77"/>
      <c r="B10" s="77"/>
      <c r="C10" s="90"/>
      <c r="D10" s="90"/>
      <c r="E10" s="90"/>
      <c r="F10" s="90"/>
      <c r="G10" s="90"/>
      <c r="H10" s="90"/>
    </row>
    <row r="11" spans="1:8" ht="12.75">
      <c r="A11" s="14">
        <v>1</v>
      </c>
      <c r="B11" s="15" t="s">
        <v>115</v>
      </c>
      <c r="C11" s="15">
        <v>18106800</v>
      </c>
      <c r="D11" s="360">
        <f>C11/'- 3 -'!E11</f>
        <v>0.07124243825187138</v>
      </c>
      <c r="E11" s="15">
        <f>C11/'- 7 -'!D11</f>
        <v>605.6596200160557</v>
      </c>
      <c r="F11" s="15">
        <v>4035700</v>
      </c>
      <c r="G11" s="360">
        <f>F11/'- 3 -'!E11</f>
        <v>0.015878736610172826</v>
      </c>
      <c r="H11" s="15">
        <f>IF('- 7 -'!C11=0,"",F11/'- 7 -'!C11)</f>
        <v>7550.420954162769</v>
      </c>
    </row>
    <row r="12" spans="1:8" ht="12.75">
      <c r="A12" s="16">
        <v>2</v>
      </c>
      <c r="B12" s="17" t="s">
        <v>116</v>
      </c>
      <c r="C12" s="17">
        <v>3437123</v>
      </c>
      <c r="D12" s="361">
        <f>C12/'- 3 -'!E12</f>
        <v>0.054720815696571536</v>
      </c>
      <c r="E12" s="17">
        <f>C12/'- 7 -'!D12</f>
        <v>380.7636491738046</v>
      </c>
      <c r="F12" s="17">
        <v>3251624</v>
      </c>
      <c r="G12" s="361">
        <f>F12/'- 3 -'!E12</f>
        <v>0.05176757352545973</v>
      </c>
      <c r="H12" s="17">
        <f>IF('- 7 -'!C12=0,"",F12/'- 7 -'!C12)</f>
        <v>3855.0101958552664</v>
      </c>
    </row>
    <row r="13" spans="1:8" ht="12.75">
      <c r="A13" s="14">
        <v>3</v>
      </c>
      <c r="B13" s="15" t="s">
        <v>117</v>
      </c>
      <c r="C13" s="15">
        <v>3336733</v>
      </c>
      <c r="D13" s="360">
        <f>C13/'- 3 -'!E13</f>
        <v>0.07527377414734293</v>
      </c>
      <c r="E13" s="15">
        <f>C13/'- 7 -'!D13</f>
        <v>580.755895918545</v>
      </c>
      <c r="F13" s="15">
        <v>0</v>
      </c>
      <c r="G13" s="360">
        <f>F13/'- 3 -'!E13</f>
        <v>0</v>
      </c>
      <c r="H13" s="15">
        <f>IF('- 7 -'!C13=0,"",F13/'- 7 -'!C13)</f>
      </c>
    </row>
    <row r="14" spans="1:8" ht="12.75">
      <c r="A14" s="16">
        <v>4</v>
      </c>
      <c r="B14" s="17" t="s">
        <v>118</v>
      </c>
      <c r="C14" s="17">
        <v>3196343</v>
      </c>
      <c r="D14" s="361">
        <f>C14/'- 3 -'!E14</f>
        <v>0.07339716226410173</v>
      </c>
      <c r="E14" s="17">
        <f>C14/'- 7 -'!D14</f>
        <v>522.5344122936079</v>
      </c>
      <c r="F14" s="17">
        <v>775054</v>
      </c>
      <c r="G14" s="361">
        <f>F14/'- 3 -'!E14</f>
        <v>0.017797452964666526</v>
      </c>
      <c r="H14" s="17">
        <f>IF('- 7 -'!C14=0,"",F14/'- 7 -'!C14)</f>
        <v>5536.1</v>
      </c>
    </row>
    <row r="15" spans="1:8" ht="12.75">
      <c r="A15" s="14">
        <v>5</v>
      </c>
      <c r="B15" s="15" t="s">
        <v>119</v>
      </c>
      <c r="C15" s="15">
        <v>3819350</v>
      </c>
      <c r="D15" s="360">
        <f>C15/'- 3 -'!E15</f>
        <v>0.07045953393121843</v>
      </c>
      <c r="E15" s="15">
        <f>C15/'- 7 -'!D15</f>
        <v>531.6097153594544</v>
      </c>
      <c r="F15" s="15">
        <v>0</v>
      </c>
      <c r="G15" s="360">
        <f>F15/'- 3 -'!E15</f>
        <v>0</v>
      </c>
      <c r="H15" s="15">
        <f>IF('- 7 -'!C15=0,"",F15/'- 7 -'!C15)</f>
      </c>
    </row>
    <row r="16" spans="1:8" ht="12.75">
      <c r="A16" s="16">
        <v>6</v>
      </c>
      <c r="B16" s="17" t="s">
        <v>120</v>
      </c>
      <c r="C16" s="17">
        <v>4328675</v>
      </c>
      <c r="D16" s="361">
        <f>C16/'- 3 -'!E16</f>
        <v>0.06946426529388511</v>
      </c>
      <c r="E16" s="17">
        <f>C16/'- 7 -'!D16</f>
        <v>491.1971631205674</v>
      </c>
      <c r="F16" s="17">
        <v>0</v>
      </c>
      <c r="G16" s="361">
        <f>F16/'- 3 -'!E16</f>
        <v>0</v>
      </c>
      <c r="H16" s="17">
        <f>IF('- 7 -'!C16=0,"",F16/'- 7 -'!C16)</f>
      </c>
    </row>
    <row r="17" spans="1:8" ht="12.75">
      <c r="A17" s="14">
        <v>9</v>
      </c>
      <c r="B17" s="15" t="s">
        <v>121</v>
      </c>
      <c r="C17" s="15">
        <v>5936000</v>
      </c>
      <c r="D17" s="360">
        <f>C17/'- 3 -'!E17</f>
        <v>0.07076283926212718</v>
      </c>
      <c r="E17" s="15">
        <f>C17/'- 7 -'!D17</f>
        <v>485.7212994026675</v>
      </c>
      <c r="F17" s="15">
        <v>1897150</v>
      </c>
      <c r="G17" s="360">
        <f>F17/'- 3 -'!E17</f>
        <v>0.02261585588041519</v>
      </c>
      <c r="H17" s="15">
        <f>IF('- 7 -'!C17=0,"",F17/'- 7 -'!C17)</f>
        <v>7988</v>
      </c>
    </row>
    <row r="18" spans="1:8" ht="12.75">
      <c r="A18" s="16">
        <v>10</v>
      </c>
      <c r="B18" s="17" t="s">
        <v>122</v>
      </c>
      <c r="C18" s="17">
        <v>4831288</v>
      </c>
      <c r="D18" s="361">
        <f>C18/'- 3 -'!E18</f>
        <v>0.0779914563200833</v>
      </c>
      <c r="E18" s="17">
        <f>C18/'- 7 -'!D18</f>
        <v>562.6609212135329</v>
      </c>
      <c r="F18" s="17">
        <v>468854</v>
      </c>
      <c r="G18" s="361">
        <f>F18/'- 3 -'!E18</f>
        <v>0.007568707612027339</v>
      </c>
      <c r="H18" s="17">
        <f>IF('- 7 -'!C18=0,"",F18/'- 7 -'!C18)</f>
        <v>3874.8264462809916</v>
      </c>
    </row>
    <row r="19" spans="1:8" ht="12.75">
      <c r="A19" s="14">
        <v>11</v>
      </c>
      <c r="B19" s="15" t="s">
        <v>123</v>
      </c>
      <c r="C19" s="15">
        <v>2264055</v>
      </c>
      <c r="D19" s="360">
        <f>C19/'- 3 -'!E19</f>
        <v>0.06788031767456795</v>
      </c>
      <c r="E19" s="15">
        <f>C19/'- 7 -'!D19</f>
        <v>483.3593082835184</v>
      </c>
      <c r="F19" s="15">
        <v>1199895</v>
      </c>
      <c r="G19" s="360">
        <f>F19/'- 3 -'!E19</f>
        <v>0.035974944856077135</v>
      </c>
      <c r="H19" s="15">
        <f>IF('- 7 -'!C19=0,"",F19/'- 7 -'!C19)</f>
        <v>5380.695067264574</v>
      </c>
    </row>
    <row r="20" spans="1:8" ht="12.75">
      <c r="A20" s="16">
        <v>12</v>
      </c>
      <c r="B20" s="17" t="s">
        <v>124</v>
      </c>
      <c r="C20" s="17">
        <v>3616951</v>
      </c>
      <c r="D20" s="361">
        <f>C20/'- 3 -'!E20</f>
        <v>0.06909254905178981</v>
      </c>
      <c r="E20" s="17">
        <f>C20/'- 7 -'!D20</f>
        <v>475.7893975269666</v>
      </c>
      <c r="F20" s="17">
        <v>568176</v>
      </c>
      <c r="G20" s="361">
        <f>F20/'- 3 -'!E20</f>
        <v>0.010853541601766164</v>
      </c>
      <c r="H20" s="17">
        <f>IF('- 7 -'!C20=0,"",F20/'- 7 -'!C20)</f>
        <v>4992.759226713532</v>
      </c>
    </row>
    <row r="21" spans="1:8" ht="12.75">
      <c r="A21" s="14">
        <v>13</v>
      </c>
      <c r="B21" s="15" t="s">
        <v>125</v>
      </c>
      <c r="C21" s="15">
        <v>1215626</v>
      </c>
      <c r="D21" s="360">
        <f>C21/'- 3 -'!E21</f>
        <v>0.05784807296657856</v>
      </c>
      <c r="E21" s="15">
        <f>C21/'- 7 -'!D21</f>
        <v>467.36870434448286</v>
      </c>
      <c r="F21" s="15">
        <v>0</v>
      </c>
      <c r="G21" s="360">
        <f>F21/'- 3 -'!E21</f>
        <v>0</v>
      </c>
      <c r="H21" s="15">
        <f>IF('- 7 -'!C21=0,"",F21/'- 7 -'!C21)</f>
      </c>
    </row>
    <row r="22" spans="1:8" ht="12.75">
      <c r="A22" s="16">
        <v>14</v>
      </c>
      <c r="B22" s="17" t="s">
        <v>126</v>
      </c>
      <c r="C22" s="17">
        <v>1925696</v>
      </c>
      <c r="D22" s="361">
        <f>C22/'- 3 -'!E22</f>
        <v>0.08089308299902959</v>
      </c>
      <c r="E22" s="17">
        <f>C22/'- 7 -'!D22</f>
        <v>562.411214953271</v>
      </c>
      <c r="F22" s="17">
        <v>0</v>
      </c>
      <c r="G22" s="361">
        <f>F22/'- 3 -'!E22</f>
        <v>0</v>
      </c>
      <c r="H22" s="17">
        <f>IF('- 7 -'!C22=0,"",F22/'- 7 -'!C22)</f>
      </c>
    </row>
    <row r="23" spans="1:8" ht="12.75">
      <c r="A23" s="14">
        <v>15</v>
      </c>
      <c r="B23" s="15" t="s">
        <v>127</v>
      </c>
      <c r="C23" s="15">
        <v>2067362</v>
      </c>
      <c r="D23" s="360">
        <f>C23/'- 3 -'!E23</f>
        <v>0.0608234500275158</v>
      </c>
      <c r="E23" s="15">
        <f>C23/'- 7 -'!D23</f>
        <v>340.47463768115944</v>
      </c>
      <c r="F23" s="15">
        <v>1175914</v>
      </c>
      <c r="G23" s="360">
        <f>F23/'- 3 -'!E23</f>
        <v>0.034596334079690066</v>
      </c>
      <c r="H23" s="15">
        <f>IF('- 7 -'!C23=0,"",F23/'- 7 -'!C23)</f>
        <v>5226.2844444444445</v>
      </c>
    </row>
    <row r="24" spans="1:8" ht="12.75">
      <c r="A24" s="16">
        <v>16</v>
      </c>
      <c r="B24" s="17" t="s">
        <v>128</v>
      </c>
      <c r="C24" s="17">
        <v>301756</v>
      </c>
      <c r="D24" s="361">
        <f>C24/'- 3 -'!E24</f>
        <v>0.0483534127536701</v>
      </c>
      <c r="E24" s="17">
        <f>C24/'- 7 -'!D24</f>
        <v>362.6875</v>
      </c>
      <c r="F24" s="17">
        <v>191708</v>
      </c>
      <c r="G24" s="361">
        <f>F24/'- 3 -'!E24</f>
        <v>0.030719309813825035</v>
      </c>
      <c r="H24" s="17">
        <f>IF('- 7 -'!C24=0,"",F24/'- 7 -'!C24)</f>
        <v>5044.9473684210525</v>
      </c>
    </row>
    <row r="25" spans="1:8" ht="12.75">
      <c r="A25" s="14">
        <v>17</v>
      </c>
      <c r="B25" s="15" t="s">
        <v>129</v>
      </c>
      <c r="C25" s="15">
        <v>269100</v>
      </c>
      <c r="D25" s="360">
        <f>C25/'- 3 -'!E25</f>
        <v>0.0604394629489921</v>
      </c>
      <c r="E25" s="15">
        <f>C25/'- 7 -'!D25</f>
        <v>556.106633601984</v>
      </c>
      <c r="F25" s="15">
        <v>93750</v>
      </c>
      <c r="G25" s="360">
        <f>F25/'- 3 -'!E25</f>
        <v>0.021056111673979968</v>
      </c>
      <c r="H25" s="15">
        <f>IF('- 7 -'!C25=0,"",F25/'- 7 -'!C25)</f>
        <v>6250</v>
      </c>
    </row>
    <row r="26" spans="1:8" ht="12.75">
      <c r="A26" s="16">
        <v>18</v>
      </c>
      <c r="B26" s="17" t="s">
        <v>130</v>
      </c>
      <c r="C26" s="17">
        <v>666145.42</v>
      </c>
      <c r="D26" s="361">
        <f>C26/'- 3 -'!E26</f>
        <v>0.0679574580439505</v>
      </c>
      <c r="E26" s="17">
        <f>C26/'- 7 -'!D26</f>
        <v>475.81815714285716</v>
      </c>
      <c r="F26" s="17">
        <v>442240.32</v>
      </c>
      <c r="G26" s="361">
        <f>F26/'- 3 -'!E26</f>
        <v>0.045115566495590766</v>
      </c>
      <c r="H26" s="17">
        <f>IF('- 7 -'!C26=0,"",F26/'- 7 -'!C26)</f>
        <v>5202.827294117647</v>
      </c>
    </row>
    <row r="27" spans="1:8" ht="12.75">
      <c r="A27" s="14">
        <v>19</v>
      </c>
      <c r="B27" s="15" t="s">
        <v>131</v>
      </c>
      <c r="C27" s="15">
        <v>795500</v>
      </c>
      <c r="D27" s="360">
        <f>C27/'- 3 -'!E27</f>
        <v>0.0640608283938851</v>
      </c>
      <c r="E27" s="15">
        <f>C27/'- 7 -'!D27</f>
        <v>438.654535428729</v>
      </c>
      <c r="F27" s="15">
        <v>77000</v>
      </c>
      <c r="G27" s="360">
        <f>F27/'- 3 -'!E27</f>
        <v>0.0062007338608788855</v>
      </c>
      <c r="H27" s="15">
        <f>IF('- 7 -'!C27=0,"",F27/'- 7 -'!C27)</f>
        <v>4812.5</v>
      </c>
    </row>
    <row r="28" spans="1:8" ht="12.75">
      <c r="A28" s="16">
        <v>20</v>
      </c>
      <c r="B28" s="17" t="s">
        <v>132</v>
      </c>
      <c r="C28" s="17">
        <v>439000</v>
      </c>
      <c r="D28" s="361">
        <f>C28/'- 3 -'!E28</f>
        <v>0.05554818146768418</v>
      </c>
      <c r="E28" s="17">
        <f>C28/'- 7 -'!D28</f>
        <v>469.56893785431595</v>
      </c>
      <c r="F28" s="17">
        <v>0</v>
      </c>
      <c r="G28" s="361">
        <f>F28/'- 3 -'!E28</f>
        <v>0</v>
      </c>
      <c r="H28" s="17">
        <f>IF('- 7 -'!C28=0,"",F28/'- 7 -'!C28)</f>
      </c>
    </row>
    <row r="29" spans="1:8" ht="12.75">
      <c r="A29" s="14">
        <v>21</v>
      </c>
      <c r="B29" s="15" t="s">
        <v>133</v>
      </c>
      <c r="C29" s="15">
        <v>1669000</v>
      </c>
      <c r="D29" s="360">
        <f>C29/'- 3 -'!E29</f>
        <v>0.07103336738168199</v>
      </c>
      <c r="E29" s="15">
        <f>C29/'- 7 -'!D29</f>
        <v>501.0507355148604</v>
      </c>
      <c r="F29" s="15">
        <v>0</v>
      </c>
      <c r="G29" s="360">
        <f>F29/'- 3 -'!E29</f>
        <v>0</v>
      </c>
      <c r="H29" s="15">
        <f>IF('- 7 -'!C29=0,"",F29/'- 7 -'!C29)</f>
      </c>
    </row>
    <row r="30" spans="1:8" ht="12.75">
      <c r="A30" s="16">
        <v>22</v>
      </c>
      <c r="B30" s="17" t="s">
        <v>134</v>
      </c>
      <c r="C30" s="17">
        <v>871500</v>
      </c>
      <c r="D30" s="361">
        <f>C30/'- 3 -'!E30</f>
        <v>0.06997909620411381</v>
      </c>
      <c r="E30" s="17">
        <f>C30/'- 7 -'!D30</f>
        <v>528.3419217944831</v>
      </c>
      <c r="F30" s="17">
        <v>81000</v>
      </c>
      <c r="G30" s="361">
        <f>F30/'- 3 -'!E30</f>
        <v>0.00650408123067495</v>
      </c>
      <c r="H30" s="17">
        <f>IF('- 7 -'!C30=0,"",F30/'- 7 -'!C30)</f>
        <v>4050</v>
      </c>
    </row>
    <row r="31" spans="1:8" ht="12.75">
      <c r="A31" s="14">
        <v>23</v>
      </c>
      <c r="B31" s="15" t="s">
        <v>135</v>
      </c>
      <c r="C31" s="15">
        <v>599750</v>
      </c>
      <c r="D31" s="360">
        <f>C31/'- 3 -'!E31</f>
        <v>0.05863923917897048</v>
      </c>
      <c r="E31" s="15">
        <f>C31/'- 7 -'!D31</f>
        <v>424.15134370579915</v>
      </c>
      <c r="F31" s="15">
        <v>199100</v>
      </c>
      <c r="G31" s="360">
        <f>F31/'- 3 -'!E31</f>
        <v>0.019466565269750765</v>
      </c>
      <c r="H31" s="15">
        <f>IF('- 7 -'!C31=0,"",F31/'- 7 -'!C31)</f>
        <v>4474.157303370786</v>
      </c>
    </row>
    <row r="32" spans="1:8" ht="12.75">
      <c r="A32" s="16">
        <v>24</v>
      </c>
      <c r="B32" s="17" t="s">
        <v>136</v>
      </c>
      <c r="C32" s="17">
        <v>1559896</v>
      </c>
      <c r="D32" s="361">
        <f>C32/'- 3 -'!E32</f>
        <v>0.06671627666193305</v>
      </c>
      <c r="E32" s="17">
        <f>C32/'- 7 -'!D32</f>
        <v>460.37718029690404</v>
      </c>
      <c r="F32" s="17">
        <v>247196</v>
      </c>
      <c r="G32" s="361">
        <f>F32/'- 3 -'!E32</f>
        <v>0.010572497606073228</v>
      </c>
      <c r="H32" s="17">
        <f>IF('- 7 -'!C32=0,"",F32/'- 7 -'!C32)</f>
        <v>5107.355371900827</v>
      </c>
    </row>
    <row r="33" spans="1:8" ht="12.75">
      <c r="A33" s="14">
        <v>25</v>
      </c>
      <c r="B33" s="15" t="s">
        <v>137</v>
      </c>
      <c r="C33" s="15">
        <v>589539</v>
      </c>
      <c r="D33" s="360">
        <f>C33/'- 3 -'!E33</f>
        <v>0.05543200536625297</v>
      </c>
      <c r="E33" s="15">
        <f>C33/'- 7 -'!D33</f>
        <v>421.70171673819743</v>
      </c>
      <c r="F33" s="15">
        <v>0</v>
      </c>
      <c r="G33" s="360">
        <f>F33/'- 3 -'!E33</f>
        <v>0</v>
      </c>
      <c r="H33" s="15">
        <f>IF('- 7 -'!C33=0,"",F33/'- 7 -'!C33)</f>
      </c>
    </row>
    <row r="34" spans="1:8" ht="12.75">
      <c r="A34" s="16">
        <v>26</v>
      </c>
      <c r="B34" s="17" t="s">
        <v>138</v>
      </c>
      <c r="C34" s="17">
        <v>951400</v>
      </c>
      <c r="D34" s="361">
        <f>C34/'- 3 -'!E34</f>
        <v>0.054861821903787106</v>
      </c>
      <c r="E34" s="17">
        <f>C34/'- 7 -'!D34</f>
        <v>327.61707988980714</v>
      </c>
      <c r="F34" s="17">
        <v>481600</v>
      </c>
      <c r="G34" s="361">
        <f>F34/'- 3 -'!E34</f>
        <v>0.02777113036458258</v>
      </c>
      <c r="H34" s="17">
        <f>IF('- 7 -'!C34=0,"",F34/'- 7 -'!C34)</f>
        <v>7644.444444444444</v>
      </c>
    </row>
    <row r="35" spans="1:8" ht="12.75">
      <c r="A35" s="14">
        <v>28</v>
      </c>
      <c r="B35" s="15" t="s">
        <v>139</v>
      </c>
      <c r="C35" s="15">
        <v>331521</v>
      </c>
      <c r="D35" s="360">
        <f>C35/'- 3 -'!E35</f>
        <v>0.051770646981220705</v>
      </c>
      <c r="E35" s="15">
        <f>C35/'- 7 -'!D35</f>
        <v>404.5405735204393</v>
      </c>
      <c r="F35" s="15">
        <v>0</v>
      </c>
      <c r="G35" s="360">
        <f>F35/'- 3 -'!E35</f>
        <v>0</v>
      </c>
      <c r="H35" s="15">
        <f>IF('- 7 -'!C35=0,"",F35/'- 7 -'!C35)</f>
      </c>
    </row>
    <row r="36" spans="1:8" ht="12.75">
      <c r="A36" s="16">
        <v>30</v>
      </c>
      <c r="B36" s="17" t="s">
        <v>140</v>
      </c>
      <c r="C36" s="17">
        <v>471133</v>
      </c>
      <c r="D36" s="361">
        <f>C36/'- 3 -'!E36</f>
        <v>0.0481031620585241</v>
      </c>
      <c r="E36" s="17">
        <f>C36/'- 7 -'!D36</f>
        <v>361.9645052243393</v>
      </c>
      <c r="F36" s="17">
        <v>0</v>
      </c>
      <c r="G36" s="361">
        <f>F36/'- 3 -'!E36</f>
        <v>0</v>
      </c>
      <c r="H36" s="17">
        <f>IF('- 7 -'!C36=0,"",F36/'- 7 -'!C36)</f>
      </c>
    </row>
    <row r="37" spans="1:8" ht="12.75">
      <c r="A37" s="14">
        <v>31</v>
      </c>
      <c r="B37" s="15" t="s">
        <v>141</v>
      </c>
      <c r="C37" s="15">
        <v>574798</v>
      </c>
      <c r="D37" s="360">
        <f>C37/'- 3 -'!E37</f>
        <v>0.052487283112532285</v>
      </c>
      <c r="E37" s="15">
        <f>C37/'- 7 -'!D37</f>
        <v>364.2572877059569</v>
      </c>
      <c r="F37" s="15">
        <v>0</v>
      </c>
      <c r="G37" s="360">
        <f>F37/'- 3 -'!E37</f>
        <v>0</v>
      </c>
      <c r="H37" s="15">
        <f>IF('- 7 -'!C37=0,"",F37/'- 7 -'!C37)</f>
      </c>
    </row>
    <row r="38" spans="1:8" ht="12.75">
      <c r="A38" s="16">
        <v>32</v>
      </c>
      <c r="B38" s="17" t="s">
        <v>142</v>
      </c>
      <c r="C38" s="17">
        <v>360142</v>
      </c>
      <c r="D38" s="361">
        <f>C38/'- 3 -'!E38</f>
        <v>0.05238672927321708</v>
      </c>
      <c r="E38" s="17">
        <f>C38/'- 7 -'!D38</f>
        <v>428.99583085169746</v>
      </c>
      <c r="F38" s="17">
        <v>0</v>
      </c>
      <c r="G38" s="361">
        <f>F38/'- 3 -'!E38</f>
        <v>0</v>
      </c>
      <c r="H38" s="17">
        <f>IF('- 7 -'!C38=0,"",F38/'- 7 -'!C38)</f>
      </c>
    </row>
    <row r="39" spans="1:8" ht="12.75">
      <c r="A39" s="14">
        <v>33</v>
      </c>
      <c r="B39" s="15" t="s">
        <v>143</v>
      </c>
      <c r="C39" s="15">
        <v>950984</v>
      </c>
      <c r="D39" s="360">
        <f>C39/'- 3 -'!E39</f>
        <v>0.06944451341141433</v>
      </c>
      <c r="E39" s="15">
        <f>C39/'- 7 -'!D39</f>
        <v>512.908688851734</v>
      </c>
      <c r="F39" s="15">
        <v>727642</v>
      </c>
      <c r="G39" s="360">
        <f>F39/'- 3 -'!E39</f>
        <v>0.05313522060067083</v>
      </c>
      <c r="H39" s="15">
        <f>IF('- 7 -'!C39=0,"",F39/'- 7 -'!C39)</f>
        <v>4737.252604166667</v>
      </c>
    </row>
    <row r="40" spans="1:8" ht="12.75">
      <c r="A40" s="16">
        <v>34</v>
      </c>
      <c r="B40" s="17" t="s">
        <v>144</v>
      </c>
      <c r="C40" s="17">
        <v>306200</v>
      </c>
      <c r="D40" s="361">
        <f>C40/'- 3 -'!E40</f>
        <v>0.05313189254864249</v>
      </c>
      <c r="E40" s="17">
        <f>C40/'- 7 -'!D40</f>
        <v>419.1649555099247</v>
      </c>
      <c r="F40" s="17">
        <v>0</v>
      </c>
      <c r="G40" s="361">
        <f>F40/'- 3 -'!E40</f>
        <v>0</v>
      </c>
      <c r="H40" s="17">
        <f>IF('- 7 -'!C40=0,"",F40/'- 7 -'!C40)</f>
      </c>
    </row>
    <row r="41" spans="1:8" ht="12.75">
      <c r="A41" s="14">
        <v>35</v>
      </c>
      <c r="B41" s="15" t="s">
        <v>145</v>
      </c>
      <c r="C41" s="15">
        <v>888443</v>
      </c>
      <c r="D41" s="360">
        <f>C41/'- 3 -'!E41</f>
        <v>0.06035647728711716</v>
      </c>
      <c r="E41" s="15">
        <f>C41/'- 7 -'!D41</f>
        <v>463.9873616043451</v>
      </c>
      <c r="F41" s="15">
        <v>710107</v>
      </c>
      <c r="G41" s="360">
        <f>F41/'- 3 -'!E41</f>
        <v>0.04824120063630746</v>
      </c>
      <c r="H41" s="15">
        <f>IF('- 7 -'!C41=0,"",F41/'- 7 -'!C41)</f>
        <v>5327.134283570892</v>
      </c>
    </row>
    <row r="42" spans="1:8" ht="12.75">
      <c r="A42" s="16">
        <v>36</v>
      </c>
      <c r="B42" s="17" t="s">
        <v>146</v>
      </c>
      <c r="C42" s="17">
        <v>453417</v>
      </c>
      <c r="D42" s="361">
        <f>C42/'- 3 -'!E42</f>
        <v>0.05936331500392773</v>
      </c>
      <c r="E42" s="17">
        <f>C42/'- 7 -'!D42</f>
        <v>484.9379679144385</v>
      </c>
      <c r="F42" s="17">
        <v>0</v>
      </c>
      <c r="G42" s="361">
        <f>F42/'- 3 -'!E42</f>
        <v>0</v>
      </c>
      <c r="H42" s="17">
        <f>IF('- 7 -'!C42=0,"",F42/'- 7 -'!C42)</f>
      </c>
    </row>
    <row r="43" spans="1:8" ht="12.75">
      <c r="A43" s="14">
        <v>37</v>
      </c>
      <c r="B43" s="15" t="s">
        <v>147</v>
      </c>
      <c r="C43" s="15">
        <v>309903</v>
      </c>
      <c r="D43" s="360">
        <f>C43/'- 3 -'!E43</f>
        <v>0.044750237178293094</v>
      </c>
      <c r="E43" s="15">
        <f>C43/'- 7 -'!D43</f>
        <v>336.1094541392363</v>
      </c>
      <c r="F43" s="15">
        <v>320615</v>
      </c>
      <c r="G43" s="360">
        <f>F43/'- 3 -'!E43</f>
        <v>0.04629705841156246</v>
      </c>
      <c r="H43" s="15">
        <f>IF('- 7 -'!C43=0,"",F43/'- 7 -'!C43)</f>
        <v>8634.931322380824</v>
      </c>
    </row>
    <row r="44" spans="1:8" ht="12.75">
      <c r="A44" s="16">
        <v>38</v>
      </c>
      <c r="B44" s="17" t="s">
        <v>148</v>
      </c>
      <c r="C44" s="17">
        <v>493271</v>
      </c>
      <c r="D44" s="361">
        <f>C44/'- 3 -'!E44</f>
        <v>0.0550763063275711</v>
      </c>
      <c r="E44" s="17">
        <f>C44/'- 7 -'!D44</f>
        <v>422.3210616438356</v>
      </c>
      <c r="F44" s="17">
        <v>0</v>
      </c>
      <c r="G44" s="361">
        <f>F44/'- 3 -'!E44</f>
        <v>0</v>
      </c>
      <c r="H44" s="17">
        <f>IF('- 7 -'!C44=0,"",F44/'- 7 -'!C44)</f>
      </c>
    </row>
    <row r="45" spans="1:8" ht="12.75">
      <c r="A45" s="14">
        <v>39</v>
      </c>
      <c r="B45" s="15" t="s">
        <v>149</v>
      </c>
      <c r="C45" s="15">
        <v>1038300</v>
      </c>
      <c r="D45" s="360">
        <f>C45/'- 3 -'!E45</f>
        <v>0.06519875793948565</v>
      </c>
      <c r="E45" s="15">
        <f>C45/'- 7 -'!D45</f>
        <v>494.42857142857144</v>
      </c>
      <c r="F45" s="15">
        <v>98750</v>
      </c>
      <c r="G45" s="360">
        <f>F45/'- 3 -'!E45</f>
        <v>0.006200883508161619</v>
      </c>
      <c r="H45" s="15">
        <f>IF('- 7 -'!C45=0,"",F45/'- 7 -'!C45)</f>
        <v>4817.073170731707</v>
      </c>
    </row>
    <row r="46" spans="1:8" ht="12.75">
      <c r="A46" s="16">
        <v>40</v>
      </c>
      <c r="B46" s="17" t="s">
        <v>150</v>
      </c>
      <c r="C46" s="17">
        <v>2804200</v>
      </c>
      <c r="D46" s="361">
        <f>C46/'- 3 -'!E46</f>
        <v>0.060013054690593134</v>
      </c>
      <c r="E46" s="17">
        <f>C46/'- 7 -'!D46</f>
        <v>389.8241467991937</v>
      </c>
      <c r="F46" s="17">
        <v>1840800</v>
      </c>
      <c r="G46" s="361">
        <f>F46/'- 3 -'!E46</f>
        <v>0.039395204006291935</v>
      </c>
      <c r="H46" s="17">
        <f>IF('- 7 -'!C46=0,"",F46/'- 7 -'!C46)</f>
        <v>4812.549019607844</v>
      </c>
    </row>
    <row r="47" spans="1:8" ht="12.75">
      <c r="A47" s="14">
        <v>41</v>
      </c>
      <c r="B47" s="15" t="s">
        <v>151</v>
      </c>
      <c r="C47" s="15">
        <v>778580</v>
      </c>
      <c r="D47" s="360">
        <f>C47/'- 3 -'!E47</f>
        <v>0.063389860260278</v>
      </c>
      <c r="E47" s="15">
        <f>C47/'- 7 -'!D47</f>
        <v>493.2404181184669</v>
      </c>
      <c r="F47" s="15">
        <v>134700</v>
      </c>
      <c r="G47" s="360">
        <f>F47/'- 3 -'!E47</f>
        <v>0.010966906646792167</v>
      </c>
      <c r="H47" s="15">
        <f>IF('- 7 -'!C47=0,"",F47/'- 7 -'!C47)</f>
        <v>4276.190476190476</v>
      </c>
    </row>
    <row r="48" spans="1:8" ht="12.75">
      <c r="A48" s="16">
        <v>42</v>
      </c>
      <c r="B48" s="17" t="s">
        <v>152</v>
      </c>
      <c r="C48" s="17">
        <v>423125</v>
      </c>
      <c r="D48" s="361">
        <f>C48/'- 3 -'!E48</f>
        <v>0.052711695150810575</v>
      </c>
      <c r="E48" s="17">
        <f>C48/'- 7 -'!D48</f>
        <v>406.65545410860165</v>
      </c>
      <c r="F48" s="17">
        <v>0</v>
      </c>
      <c r="G48" s="361">
        <f>F48/'- 3 -'!E48</f>
        <v>0</v>
      </c>
      <c r="H48" s="17">
        <f>IF('- 7 -'!C48=0,"",F48/'- 7 -'!C48)</f>
      </c>
    </row>
    <row r="49" spans="1:8" ht="12.75">
      <c r="A49" s="14">
        <v>43</v>
      </c>
      <c r="B49" s="15" t="s">
        <v>153</v>
      </c>
      <c r="C49" s="15">
        <v>310300</v>
      </c>
      <c r="D49" s="360">
        <f>C49/'- 3 -'!E49</f>
        <v>0.0484616585975324</v>
      </c>
      <c r="E49" s="15">
        <f>C49/'- 7 -'!D49</f>
        <v>399.61365099806824</v>
      </c>
      <c r="F49" s="15">
        <v>0</v>
      </c>
      <c r="G49" s="360">
        <f>F49/'- 3 -'!E49</f>
        <v>0</v>
      </c>
      <c r="H49" s="15">
        <f>IF('- 7 -'!C49=0,"",F49/'- 7 -'!C49)</f>
      </c>
    </row>
    <row r="50" spans="1:8" ht="12.75">
      <c r="A50" s="16">
        <v>44</v>
      </c>
      <c r="B50" s="17" t="s">
        <v>154</v>
      </c>
      <c r="C50" s="17">
        <v>443460</v>
      </c>
      <c r="D50" s="361">
        <f>C50/'- 3 -'!E50</f>
        <v>0.04802064543403209</v>
      </c>
      <c r="E50" s="17">
        <f>C50/'- 7 -'!D50</f>
        <v>364.8375154257507</v>
      </c>
      <c r="F50" s="17">
        <v>0</v>
      </c>
      <c r="G50" s="361">
        <f>F50/'- 3 -'!E50</f>
        <v>0</v>
      </c>
      <c r="H50" s="17">
        <f>IF('- 7 -'!C50=0,"",F50/'- 7 -'!C50)</f>
      </c>
    </row>
    <row r="51" spans="1:8" ht="12.75">
      <c r="A51" s="14">
        <v>45</v>
      </c>
      <c r="B51" s="15" t="s">
        <v>155</v>
      </c>
      <c r="C51" s="15">
        <v>822900</v>
      </c>
      <c r="D51" s="360">
        <f>C51/'- 3 -'!E51</f>
        <v>0.06827227504310263</v>
      </c>
      <c r="E51" s="15">
        <f>C51/'- 7 -'!D51</f>
        <v>445.0513791238507</v>
      </c>
      <c r="F51" s="15">
        <v>0</v>
      </c>
      <c r="G51" s="360">
        <f>F51/'- 3 -'!E51</f>
        <v>0</v>
      </c>
      <c r="H51" s="15">
        <f>IF('- 7 -'!C51=0,"",F51/'- 7 -'!C51)</f>
      </c>
    </row>
    <row r="52" spans="1:8" ht="12.75">
      <c r="A52" s="16">
        <v>46</v>
      </c>
      <c r="B52" s="17" t="s">
        <v>156</v>
      </c>
      <c r="C52" s="17">
        <v>879813</v>
      </c>
      <c r="D52" s="361">
        <f>C52/'- 3 -'!E52</f>
        <v>0.08297681870559208</v>
      </c>
      <c r="E52" s="17">
        <f>C52/'- 7 -'!D52</f>
        <v>592.0679676985195</v>
      </c>
      <c r="F52" s="17">
        <v>0</v>
      </c>
      <c r="G52" s="361">
        <f>F52/'- 3 -'!E52</f>
        <v>0</v>
      </c>
      <c r="H52" s="17">
        <f>IF('- 7 -'!C52=0,"",F52/'- 7 -'!C52)</f>
      </c>
    </row>
    <row r="53" spans="1:8" ht="12.75">
      <c r="A53" s="14">
        <v>47</v>
      </c>
      <c r="B53" s="15" t="s">
        <v>157</v>
      </c>
      <c r="C53" s="15">
        <v>646674</v>
      </c>
      <c r="D53" s="360">
        <f>C53/'- 3 -'!E53</f>
        <v>0.06752723936147384</v>
      </c>
      <c r="E53" s="15">
        <f>C53/'- 7 -'!D53</f>
        <v>457.9844192634561</v>
      </c>
      <c r="F53" s="15">
        <v>0</v>
      </c>
      <c r="G53" s="360">
        <f>F53/'- 3 -'!E53</f>
        <v>0</v>
      </c>
      <c r="H53" s="15">
        <f>IF('- 7 -'!C53=0,"",F53/'- 7 -'!C53)</f>
      </c>
    </row>
    <row r="54" spans="1:8" ht="12.75">
      <c r="A54" s="16">
        <v>48</v>
      </c>
      <c r="B54" s="17" t="s">
        <v>158</v>
      </c>
      <c r="C54" s="17">
        <v>2595664</v>
      </c>
      <c r="D54" s="361">
        <f>C54/'- 3 -'!E54</f>
        <v>0.04181771162291704</v>
      </c>
      <c r="E54" s="17">
        <f>C54/'- 7 -'!D54</f>
        <v>501.0934362934363</v>
      </c>
      <c r="F54" s="17">
        <v>195774</v>
      </c>
      <c r="G54" s="361">
        <f>F54/'- 3 -'!E54</f>
        <v>0.0031540371462812442</v>
      </c>
      <c r="H54" s="17">
        <f>IF('- 7 -'!C54=0,"",F54/'- 7 -'!C54)</f>
        <v>4774.975609756098</v>
      </c>
    </row>
    <row r="55" spans="1:8" ht="12.75">
      <c r="A55" s="14">
        <v>49</v>
      </c>
      <c r="B55" s="15" t="s">
        <v>159</v>
      </c>
      <c r="C55" s="15">
        <v>2797234</v>
      </c>
      <c r="D55" s="360">
        <f>C55/'- 3 -'!E55</f>
        <v>0.06966574050778465</v>
      </c>
      <c r="E55" s="15">
        <f>C55/'- 7 -'!D55</f>
        <v>654.4768366869444</v>
      </c>
      <c r="F55" s="15">
        <v>143314</v>
      </c>
      <c r="G55" s="360">
        <f>F55/'- 3 -'!E55</f>
        <v>0.0035692673316328376</v>
      </c>
      <c r="H55" s="15">
        <f>IF('- 7 -'!C55=0,"",F55/'- 7 -'!C55)</f>
        <v>5732.56</v>
      </c>
    </row>
    <row r="56" spans="1:8" ht="12.75">
      <c r="A56" s="16">
        <v>50</v>
      </c>
      <c r="B56" s="17" t="s">
        <v>340</v>
      </c>
      <c r="C56" s="17">
        <v>856900</v>
      </c>
      <c r="D56" s="361">
        <f>C56/'- 3 -'!E56</f>
        <v>0.05945120893606688</v>
      </c>
      <c r="E56" s="17">
        <f>C56/'- 7 -'!D56</f>
        <v>497.7635782747604</v>
      </c>
      <c r="F56" s="17">
        <v>0</v>
      </c>
      <c r="G56" s="361">
        <f>F56/'- 3 -'!E56</f>
        <v>0</v>
      </c>
      <c r="H56" s="17">
        <f>IF('- 7 -'!C56=0,"",F56/'- 7 -'!C56)</f>
      </c>
    </row>
    <row r="57" spans="1:8" ht="12.75">
      <c r="A57" s="14">
        <v>2264</v>
      </c>
      <c r="B57" s="15" t="s">
        <v>160</v>
      </c>
      <c r="C57" s="15">
        <v>93564</v>
      </c>
      <c r="D57" s="360">
        <f>C57/'- 3 -'!E57</f>
        <v>0.04626901542597225</v>
      </c>
      <c r="E57" s="15">
        <f>C57/'- 7 -'!D57</f>
        <v>454.19417475728153</v>
      </c>
      <c r="F57" s="15">
        <v>0</v>
      </c>
      <c r="G57" s="360">
        <f>F57/'- 3 -'!E57</f>
        <v>0</v>
      </c>
      <c r="H57" s="15">
        <f>IF('- 7 -'!C57=0,"",F57/'- 7 -'!C57)</f>
      </c>
    </row>
    <row r="58" spans="1:8" ht="12.75">
      <c r="A58" s="16">
        <v>2309</v>
      </c>
      <c r="B58" s="17" t="s">
        <v>161</v>
      </c>
      <c r="C58" s="17">
        <v>163436</v>
      </c>
      <c r="D58" s="361">
        <f>C58/'- 3 -'!E58</f>
        <v>0.0776325483279666</v>
      </c>
      <c r="E58" s="17">
        <f>C58/'- 7 -'!D58</f>
        <v>624.5166220863584</v>
      </c>
      <c r="F58" s="17">
        <v>0</v>
      </c>
      <c r="G58" s="361">
        <f>F58/'- 3 -'!E58</f>
        <v>0</v>
      </c>
      <c r="H58" s="17">
        <f>IF('- 7 -'!C58=0,"",F58/'- 7 -'!C58)</f>
      </c>
    </row>
    <row r="59" spans="1:8" ht="12.75">
      <c r="A59" s="14">
        <v>2312</v>
      </c>
      <c r="B59" s="15" t="s">
        <v>162</v>
      </c>
      <c r="C59" s="15">
        <v>110377</v>
      </c>
      <c r="D59" s="360">
        <f>C59/'- 3 -'!E59</f>
        <v>0.07078770294779345</v>
      </c>
      <c r="E59" s="15">
        <f>C59/'- 7 -'!D59</f>
        <v>636.178674351585</v>
      </c>
      <c r="F59" s="15">
        <v>0</v>
      </c>
      <c r="G59" s="360">
        <f>F59/'- 3 -'!E59</f>
        <v>0</v>
      </c>
      <c r="H59" s="15">
        <f>IF('- 7 -'!C59=0,"",F59/'- 7 -'!C59)</f>
      </c>
    </row>
    <row r="60" spans="1:8" ht="12.75">
      <c r="A60" s="16">
        <v>2355</v>
      </c>
      <c r="B60" s="17" t="s">
        <v>163</v>
      </c>
      <c r="C60" s="17">
        <v>1576344</v>
      </c>
      <c r="D60" s="361">
        <f>C60/'- 3 -'!E60</f>
        <v>0.06144361291923971</v>
      </c>
      <c r="E60" s="17">
        <f>C60/'- 7 -'!D60</f>
        <v>481.8501944098012</v>
      </c>
      <c r="F60" s="17">
        <v>745370</v>
      </c>
      <c r="G60" s="361">
        <f>F60/'- 3 -'!E60</f>
        <v>0.029053446304622404</v>
      </c>
      <c r="H60" s="17">
        <f>IF('- 7 -'!C60=0,"",F60/'- 7 -'!C60)</f>
        <v>4156.1837849894055</v>
      </c>
    </row>
    <row r="61" spans="1:8" ht="12.75">
      <c r="A61" s="14">
        <v>2439</v>
      </c>
      <c r="B61" s="15" t="s">
        <v>164</v>
      </c>
      <c r="C61" s="15">
        <v>62301</v>
      </c>
      <c r="D61" s="360">
        <f>C61/'- 3 -'!E61</f>
        <v>0.0458591609012395</v>
      </c>
      <c r="E61" s="15">
        <f>C61/'- 7 -'!D61</f>
        <v>393.06624605678235</v>
      </c>
      <c r="F61" s="15">
        <v>0</v>
      </c>
      <c r="G61" s="360">
        <f>F61/'- 3 -'!E61</f>
        <v>0</v>
      </c>
      <c r="H61" s="15">
        <f>IF('- 7 -'!C61=0,"",F61/'- 7 -'!C61)</f>
      </c>
    </row>
    <row r="62" spans="1:8" ht="12.75">
      <c r="A62" s="16">
        <v>2460</v>
      </c>
      <c r="B62" s="17" t="s">
        <v>165</v>
      </c>
      <c r="C62" s="17">
        <v>117650</v>
      </c>
      <c r="D62" s="361">
        <f>C62/'- 3 -'!E62</f>
        <v>0.05469589731955236</v>
      </c>
      <c r="E62" s="17">
        <f>C62/'- 7 -'!D62</f>
        <v>432.21895664952245</v>
      </c>
      <c r="F62" s="17">
        <v>0</v>
      </c>
      <c r="G62" s="361">
        <f>F62/'- 3 -'!E62</f>
        <v>0</v>
      </c>
      <c r="H62" s="17">
        <f>IF('- 7 -'!C62=0,"",F62/'- 7 -'!C62)</f>
      </c>
    </row>
    <row r="63" spans="1:8" ht="12.75">
      <c r="A63" s="14">
        <v>3000</v>
      </c>
      <c r="B63" s="15" t="s">
        <v>363</v>
      </c>
      <c r="C63" s="15">
        <v>262358</v>
      </c>
      <c r="D63" s="360">
        <f>C63/'- 3 -'!E63</f>
        <v>0.03627702216972151</v>
      </c>
      <c r="E63" s="15">
        <f>C63/'- 7 -'!D63</f>
        <v>327.8655336165958</v>
      </c>
      <c r="F63" s="15">
        <v>3252138</v>
      </c>
      <c r="G63" s="360">
        <f>F63/'- 3 -'!E63</f>
        <v>0.44968280870030175</v>
      </c>
      <c r="H63" s="15">
        <f>IF('- 7 -'!C63=0,"",F63/'- 7 -'!C63)</f>
        <v>4453.763352506163</v>
      </c>
    </row>
    <row r="64" spans="1:8" ht="4.5" customHeight="1">
      <c r="A64" s="18"/>
      <c r="B64" s="18"/>
      <c r="C64" s="18"/>
      <c r="D64" s="198"/>
      <c r="E64" s="18"/>
      <c r="F64" s="18"/>
      <c r="G64" s="198"/>
      <c r="H64" s="18"/>
    </row>
    <row r="65" spans="1:8" ht="12.75">
      <c r="A65" s="20"/>
      <c r="B65" s="21" t="s">
        <v>166</v>
      </c>
      <c r="C65" s="21">
        <f>SUM(C11:C63)</f>
        <v>88717580.42</v>
      </c>
      <c r="D65" s="103">
        <f>C65/'- 3 -'!E65</f>
        <v>0.06565176548228244</v>
      </c>
      <c r="E65" s="21">
        <f>C65/'- 7 -'!D65</f>
        <v>496.86252007008005</v>
      </c>
      <c r="F65" s="21">
        <f>SUM(F11:F63)</f>
        <v>23355171.32</v>
      </c>
      <c r="G65" s="103">
        <f>F65/'- 3 -'!E65</f>
        <v>0.017283025788578744</v>
      </c>
      <c r="H65" s="21">
        <f>F65/'- 7 -'!C65</f>
        <v>5187.444348936642</v>
      </c>
    </row>
    <row r="66" spans="1:8" ht="4.5" customHeight="1">
      <c r="A66" s="18"/>
      <c r="B66" s="18"/>
      <c r="C66" s="18"/>
      <c r="D66" s="198"/>
      <c r="E66" s="18"/>
      <c r="F66" s="18"/>
      <c r="G66" s="198"/>
      <c r="H66" s="18"/>
    </row>
    <row r="67" spans="1:8" ht="12.75">
      <c r="A67" s="16">
        <v>2155</v>
      </c>
      <c r="B67" s="17" t="s">
        <v>167</v>
      </c>
      <c r="C67" s="17">
        <v>44920</v>
      </c>
      <c r="D67" s="361">
        <f>C67/'- 3 -'!E67</f>
        <v>0.03386651226190907</v>
      </c>
      <c r="E67" s="17">
        <f>C67/'- 7 -'!D67</f>
        <v>316.3380281690141</v>
      </c>
      <c r="F67" s="17">
        <v>0</v>
      </c>
      <c r="G67" s="361">
        <f>F67/'- 3 -'!E67</f>
        <v>0</v>
      </c>
      <c r="H67" s="17">
        <f>IF('- 7 -'!C67=0,"",F67/'- 7 -'!C67)</f>
      </c>
    </row>
    <row r="68" spans="1:8" ht="12.75">
      <c r="A68" s="14">
        <v>2408</v>
      </c>
      <c r="B68" s="15" t="s">
        <v>169</v>
      </c>
      <c r="C68" s="15">
        <v>161953</v>
      </c>
      <c r="D68" s="360">
        <f>C68/'- 3 -'!E68</f>
        <v>0.0704889741965951</v>
      </c>
      <c r="E68" s="15">
        <f>C68/'- 7 -'!D68</f>
        <v>663.7418032786885</v>
      </c>
      <c r="F68" s="15">
        <v>0</v>
      </c>
      <c r="G68" s="360">
        <f>F68/'- 3 -'!E68</f>
        <v>0</v>
      </c>
      <c r="H68" s="15">
        <f>IF('- 7 -'!C68=0,"",F68/'- 7 -'!C68)</f>
      </c>
    </row>
    <row r="69" spans="3:8" ht="6.75" customHeight="1">
      <c r="C69" s="90"/>
      <c r="D69" s="90"/>
      <c r="E69" s="90"/>
      <c r="F69" s="90"/>
      <c r="G69" s="90"/>
      <c r="H69" s="90"/>
    </row>
    <row r="70" spans="1:8" ht="12" customHeight="1">
      <c r="A70"/>
      <c r="B70"/>
      <c r="D70" s="90"/>
      <c r="E70" s="90"/>
      <c r="F70" s="90"/>
      <c r="G70" s="90"/>
      <c r="H70" s="90"/>
    </row>
    <row r="71" spans="1:2" ht="12" customHeight="1">
      <c r="A71" s="7"/>
      <c r="B71" s="7"/>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8"/>
      <c r="B1" s="80"/>
      <c r="C1" s="80"/>
      <c r="D1" s="80"/>
      <c r="E1" s="80"/>
      <c r="F1" s="80"/>
      <c r="G1" s="80"/>
      <c r="H1" s="80"/>
      <c r="I1" s="81"/>
      <c r="J1" s="81"/>
      <c r="K1" s="81"/>
    </row>
    <row r="2" spans="1:11" ht="12.75">
      <c r="A2" s="9"/>
      <c r="B2" s="83"/>
      <c r="C2" s="84" t="s">
        <v>0</v>
      </c>
      <c r="D2" s="84"/>
      <c r="E2" s="84"/>
      <c r="F2" s="199"/>
      <c r="G2" s="199"/>
      <c r="H2" s="199"/>
      <c r="I2" s="199"/>
      <c r="J2" s="83"/>
      <c r="K2" s="85" t="s">
        <v>422</v>
      </c>
    </row>
    <row r="3" spans="1:11" ht="12.75">
      <c r="A3" s="10"/>
      <c r="B3" s="86"/>
      <c r="C3" s="87" t="str">
        <f>YEAR</f>
        <v>OPERATING FUND BUDGET 2002/2003</v>
      </c>
      <c r="D3" s="87"/>
      <c r="E3" s="87"/>
      <c r="F3" s="202"/>
      <c r="G3" s="202"/>
      <c r="H3" s="202"/>
      <c r="I3" s="202"/>
      <c r="J3" s="86"/>
      <c r="K3" s="88"/>
    </row>
    <row r="4" spans="1:11" ht="12.75">
      <c r="A4" s="11"/>
      <c r="I4" s="81"/>
      <c r="J4" s="81"/>
      <c r="K4" s="81"/>
    </row>
    <row r="5" spans="1:11" ht="16.5">
      <c r="A5" s="11"/>
      <c r="C5" s="337" t="s">
        <v>326</v>
      </c>
      <c r="D5" s="175"/>
      <c r="E5" s="175"/>
      <c r="F5" s="175"/>
      <c r="G5" s="175"/>
      <c r="H5" s="175"/>
      <c r="I5" s="175"/>
      <c r="J5" s="338"/>
      <c r="K5" s="339"/>
    </row>
    <row r="6" spans="1:11" ht="16.5">
      <c r="A6" s="11"/>
      <c r="C6" s="394" t="s">
        <v>399</v>
      </c>
      <c r="D6" s="37"/>
      <c r="E6" s="37"/>
      <c r="F6" s="37"/>
      <c r="G6" s="37"/>
      <c r="H6" s="38"/>
      <c r="I6" s="91"/>
      <c r="J6" s="92"/>
      <c r="K6" s="93"/>
    </row>
    <row r="7" spans="3:11" ht="12.75">
      <c r="C7" s="42" t="s">
        <v>39</v>
      </c>
      <c r="D7" s="43"/>
      <c r="E7" s="44"/>
      <c r="F7" s="42" t="s">
        <v>40</v>
      </c>
      <c r="G7" s="43"/>
      <c r="H7" s="44"/>
      <c r="I7" s="42" t="s">
        <v>41</v>
      </c>
      <c r="J7" s="43"/>
      <c r="K7" s="44"/>
    </row>
    <row r="8" spans="1:11" ht="12.75">
      <c r="A8" s="94"/>
      <c r="B8" s="46"/>
      <c r="C8" s="50"/>
      <c r="D8" s="51"/>
      <c r="E8" s="49" t="s">
        <v>75</v>
      </c>
      <c r="F8" s="50"/>
      <c r="G8" s="51"/>
      <c r="H8" s="49" t="s">
        <v>75</v>
      </c>
      <c r="I8" s="95"/>
      <c r="J8" s="48"/>
      <c r="K8" s="49" t="s">
        <v>75</v>
      </c>
    </row>
    <row r="9" spans="1:11" ht="12.75">
      <c r="A9" s="52" t="s">
        <v>100</v>
      </c>
      <c r="B9" s="53" t="s">
        <v>101</v>
      </c>
      <c r="C9" s="54" t="s">
        <v>102</v>
      </c>
      <c r="D9" s="54" t="s">
        <v>103</v>
      </c>
      <c r="E9" s="54" t="s">
        <v>104</v>
      </c>
      <c r="F9" s="54" t="s">
        <v>102</v>
      </c>
      <c r="G9" s="54" t="s">
        <v>103</v>
      </c>
      <c r="H9" s="54" t="s">
        <v>104</v>
      </c>
      <c r="I9" s="96" t="s">
        <v>102</v>
      </c>
      <c r="J9" s="54" t="s">
        <v>103</v>
      </c>
      <c r="K9" s="54" t="s">
        <v>104</v>
      </c>
    </row>
    <row r="10" spans="1:11" ht="4.5" customHeight="1">
      <c r="A10" s="77"/>
      <c r="B10" s="77"/>
      <c r="C10" s="90"/>
      <c r="D10" s="90"/>
      <c r="E10" s="90"/>
      <c r="F10" s="90"/>
      <c r="G10" s="90"/>
      <c r="H10" s="90"/>
      <c r="I10" s="90"/>
      <c r="J10" s="90"/>
      <c r="K10" s="90"/>
    </row>
    <row r="11" spans="1:11" ht="12.75">
      <c r="A11" s="14">
        <v>1</v>
      </c>
      <c r="B11" s="15" t="s">
        <v>115</v>
      </c>
      <c r="C11" s="15">
        <v>93765900</v>
      </c>
      <c r="D11" s="360">
        <f>C11/'- 3 -'!E11</f>
        <v>0.36892832200505593</v>
      </c>
      <c r="E11" s="15">
        <f>C11/'- 6 -'!C11</f>
        <v>4052.638630764576</v>
      </c>
      <c r="F11" s="15">
        <v>0</v>
      </c>
      <c r="G11" s="360">
        <f>F11/'- 3 -'!E11</f>
        <v>0</v>
      </c>
      <c r="H11" s="15">
        <f>IF('- 6 -'!D11=0,"",F11/'- 6 -'!D11)</f>
      </c>
      <c r="I11" s="15">
        <v>2963400</v>
      </c>
      <c r="J11" s="360">
        <f>I11/'- 3 -'!E11</f>
        <v>0.01165969920226631</v>
      </c>
      <c r="K11" s="15">
        <f>IF('- 6 -'!E11=0,"",I11/'- 6 -'!E11)</f>
        <v>3904.3478260869565</v>
      </c>
    </row>
    <row r="12" spans="1:11" ht="12.75">
      <c r="A12" s="16">
        <v>2</v>
      </c>
      <c r="B12" s="17" t="s">
        <v>116</v>
      </c>
      <c r="C12" s="17">
        <v>26344342</v>
      </c>
      <c r="D12" s="361">
        <f>C12/'- 3 -'!E12</f>
        <v>0.4194158554202013</v>
      </c>
      <c r="E12" s="17">
        <f>C12/'- 6 -'!C12</f>
        <v>4339.059926475433</v>
      </c>
      <c r="F12" s="17">
        <v>0</v>
      </c>
      <c r="G12" s="361">
        <f>F12/'- 3 -'!E12</f>
        <v>0</v>
      </c>
      <c r="H12" s="17">
        <f>IF('- 6 -'!D12=0,"",F12/'- 6 -'!D12)</f>
      </c>
      <c r="I12" s="17">
        <v>2718895</v>
      </c>
      <c r="J12" s="361">
        <f>I12/'- 3 -'!E12</f>
        <v>0.04328624614054541</v>
      </c>
      <c r="K12" s="17">
        <f>IF('- 6 -'!E12=0,"",I12/'- 6 -'!E12)</f>
        <v>3851.1260623229464</v>
      </c>
    </row>
    <row r="13" spans="1:11" ht="12.75">
      <c r="A13" s="14">
        <v>3</v>
      </c>
      <c r="B13" s="15" t="s">
        <v>117</v>
      </c>
      <c r="C13" s="15">
        <v>13412672</v>
      </c>
      <c r="D13" s="360">
        <f>C13/'- 3 -'!E13</f>
        <v>0.30257813341384837</v>
      </c>
      <c r="E13" s="15">
        <f>C13/'- 6 -'!C13</f>
        <v>4047.2757996379</v>
      </c>
      <c r="F13" s="15">
        <v>0</v>
      </c>
      <c r="G13" s="360">
        <f>F13/'- 3 -'!E13</f>
        <v>0</v>
      </c>
      <c r="H13" s="15">
        <f>IF('- 6 -'!D13=0,"",F13/'- 6 -'!D13)</f>
      </c>
      <c r="I13" s="15">
        <v>587712</v>
      </c>
      <c r="J13" s="360">
        <f>I13/'- 3 -'!E13</f>
        <v>0.01325826799797383</v>
      </c>
      <c r="K13" s="15">
        <f>IF('- 6 -'!E13=0,"",I13/'- 6 -'!E13)</f>
        <v>3696.301886792453</v>
      </c>
    </row>
    <row r="14" spans="1:11" ht="12.75">
      <c r="A14" s="16">
        <v>4</v>
      </c>
      <c r="B14" s="17" t="s">
        <v>118</v>
      </c>
      <c r="C14" s="17">
        <v>14874335</v>
      </c>
      <c r="D14" s="361">
        <f>C14/'- 3 -'!E14</f>
        <v>0.34155720445697085</v>
      </c>
      <c r="E14" s="17">
        <f>C14/'- 6 -'!C14</f>
        <v>3684.9585036541557</v>
      </c>
      <c r="F14" s="17">
        <v>1557210</v>
      </c>
      <c r="G14" s="361">
        <f>F14/'- 3 -'!E14</f>
        <v>0.035757988128708916</v>
      </c>
      <c r="H14" s="17">
        <f>IF('- 6 -'!D14=0,"",F14/'- 6 -'!D14)</f>
        <v>3285.253164556962</v>
      </c>
      <c r="I14" s="17">
        <v>5582672</v>
      </c>
      <c r="J14" s="361">
        <f>I14/'- 3 -'!E14</f>
        <v>0.12819409013715277</v>
      </c>
      <c r="K14" s="17">
        <f>IF('- 6 -'!E14=0,"",I14/'- 6 -'!E14)</f>
        <v>3806.799863620866</v>
      </c>
    </row>
    <row r="15" spans="1:11" ht="12.75">
      <c r="A15" s="14">
        <v>5</v>
      </c>
      <c r="B15" s="15" t="s">
        <v>119</v>
      </c>
      <c r="C15" s="15">
        <v>22513988</v>
      </c>
      <c r="D15" s="360">
        <f>C15/'- 3 -'!E15</f>
        <v>0.41533902402582756</v>
      </c>
      <c r="E15" s="15">
        <f>C15/'- 6 -'!C15</f>
        <v>4173.894697812384</v>
      </c>
      <c r="F15" s="15">
        <v>0</v>
      </c>
      <c r="G15" s="360">
        <f>F15/'- 3 -'!E15</f>
        <v>0</v>
      </c>
      <c r="H15" s="15">
        <f>IF('- 6 -'!D15=0,"",F15/'- 6 -'!D15)</f>
      </c>
      <c r="I15" s="15">
        <v>3086668</v>
      </c>
      <c r="J15" s="360">
        <f>I15/'- 3 -'!E15</f>
        <v>0.05694298471740116</v>
      </c>
      <c r="K15" s="15">
        <f>IF('- 6 -'!E15=0,"",I15/'- 6 -'!E15)</f>
        <v>4118.302868579052</v>
      </c>
    </row>
    <row r="16" spans="1:11" ht="12.75">
      <c r="A16" s="16">
        <v>6</v>
      </c>
      <c r="B16" s="17" t="s">
        <v>120</v>
      </c>
      <c r="C16" s="17">
        <v>27075034</v>
      </c>
      <c r="D16" s="361">
        <f>C16/'- 3 -'!E16</f>
        <v>0.4344856901053924</v>
      </c>
      <c r="E16" s="17">
        <f>C16/'- 6 -'!C16</f>
        <v>3886.461494294122</v>
      </c>
      <c r="F16" s="17">
        <v>0</v>
      </c>
      <c r="G16" s="361">
        <f>F16/'- 3 -'!E16</f>
        <v>0</v>
      </c>
      <c r="H16" s="17">
        <f>IF('- 6 -'!D16=0,"",F16/'- 6 -'!D16)</f>
      </c>
      <c r="I16" s="17">
        <v>6354294</v>
      </c>
      <c r="J16" s="361">
        <f>I16/'- 3 -'!E16</f>
        <v>0.10197031751548508</v>
      </c>
      <c r="K16" s="17">
        <f>IF('- 6 -'!E16=0,"",I16/'- 6 -'!E16)</f>
        <v>3442.196099674973</v>
      </c>
    </row>
    <row r="17" spans="1:11" ht="12.75">
      <c r="A17" s="14">
        <v>9</v>
      </c>
      <c r="B17" s="15" t="s">
        <v>121</v>
      </c>
      <c r="C17" s="15">
        <v>26241221</v>
      </c>
      <c r="D17" s="360">
        <f>C17/'- 3 -'!E17</f>
        <v>0.31282063740986454</v>
      </c>
      <c r="E17" s="15">
        <f>C17/'- 6 -'!C17</f>
        <v>3572.9077541017086</v>
      </c>
      <c r="F17" s="15">
        <v>0</v>
      </c>
      <c r="G17" s="360">
        <f>F17/'- 3 -'!E17</f>
        <v>0</v>
      </c>
      <c r="H17" s="15">
        <f>IF('- 6 -'!D17=0,"",F17/'- 6 -'!D17)</f>
      </c>
      <c r="I17" s="15">
        <v>0</v>
      </c>
      <c r="J17" s="360">
        <f>I17/'- 3 -'!E17</f>
        <v>0</v>
      </c>
      <c r="K17" s="15">
        <f>IF('- 6 -'!E17=0,"",I17/'- 6 -'!E17)</f>
      </c>
    </row>
    <row r="18" spans="1:11" ht="12.75">
      <c r="A18" s="16">
        <v>10</v>
      </c>
      <c r="B18" s="17" t="s">
        <v>122</v>
      </c>
      <c r="C18" s="17">
        <v>18526058</v>
      </c>
      <c r="D18" s="361">
        <f>C18/'- 3 -'!E18</f>
        <v>0.2990660551162195</v>
      </c>
      <c r="E18" s="17">
        <f>C18/'- 6 -'!C18</f>
        <v>4012.1403356794804</v>
      </c>
      <c r="F18" s="17">
        <v>0</v>
      </c>
      <c r="G18" s="361">
        <f>F18/'- 3 -'!E18</f>
        <v>0</v>
      </c>
      <c r="H18" s="17">
        <f>IF('- 6 -'!D18=0,"",F18/'- 6 -'!D18)</f>
      </c>
      <c r="I18" s="17">
        <v>722208</v>
      </c>
      <c r="J18" s="361">
        <f>I18/'- 3 -'!E18</f>
        <v>0.011658599877716816</v>
      </c>
      <c r="K18" s="17">
        <f>IF('- 6 -'!E18=0,"",I18/'- 6 -'!E18)</f>
        <v>3841.531914893617</v>
      </c>
    </row>
    <row r="19" spans="1:11" ht="12.75">
      <c r="A19" s="14">
        <v>11</v>
      </c>
      <c r="B19" s="15" t="s">
        <v>123</v>
      </c>
      <c r="C19" s="15">
        <v>12419235</v>
      </c>
      <c r="D19" s="360">
        <f>C19/'- 3 -'!E19</f>
        <v>0.3723503258865677</v>
      </c>
      <c r="E19" s="15">
        <f>C19/'- 6 -'!C19</f>
        <v>3914.0356129845572</v>
      </c>
      <c r="F19" s="15">
        <v>0</v>
      </c>
      <c r="G19" s="360">
        <f>F19/'- 3 -'!E19</f>
        <v>0</v>
      </c>
      <c r="H19" s="15">
        <f>IF('- 6 -'!D19=0,"",F19/'- 6 -'!D19)</f>
      </c>
      <c r="I19" s="15">
        <v>648950</v>
      </c>
      <c r="J19" s="360">
        <f>I19/'- 3 -'!E19</f>
        <v>0.01945665284408324</v>
      </c>
      <c r="K19" s="15">
        <f>IF('- 6 -'!E19=0,"",I19/'- 6 -'!E19)</f>
        <v>3451.8617021276596</v>
      </c>
    </row>
    <row r="20" spans="1:11" ht="12.75">
      <c r="A20" s="16">
        <v>12</v>
      </c>
      <c r="B20" s="17" t="s">
        <v>124</v>
      </c>
      <c r="C20" s="17">
        <v>19622659</v>
      </c>
      <c r="D20" s="361">
        <f>C20/'- 3 -'!E20</f>
        <v>0.3748404469632143</v>
      </c>
      <c r="E20" s="17">
        <f>C20/'- 6 -'!C20</f>
        <v>3836.89707090063</v>
      </c>
      <c r="F20" s="17">
        <v>0</v>
      </c>
      <c r="G20" s="361">
        <f>F20/'- 3 -'!E20</f>
        <v>0</v>
      </c>
      <c r="H20" s="17">
        <f>IF('- 6 -'!D20=0,"",F20/'- 6 -'!D20)</f>
      </c>
      <c r="I20" s="17">
        <v>3676672</v>
      </c>
      <c r="J20" s="361">
        <f>I20/'- 3 -'!E20</f>
        <v>0.07023336520382559</v>
      </c>
      <c r="K20" s="17">
        <f>IF('- 6 -'!E20=0,"",I20/'- 6 -'!E20)</f>
        <v>3413.8087279480037</v>
      </c>
    </row>
    <row r="21" spans="1:11" ht="12.75">
      <c r="A21" s="14">
        <v>13</v>
      </c>
      <c r="B21" s="15" t="s">
        <v>125</v>
      </c>
      <c r="C21" s="15">
        <v>7343339.390000001</v>
      </c>
      <c r="D21" s="360">
        <f>C21/'- 3 -'!E21</f>
        <v>0.3494479657814743</v>
      </c>
      <c r="E21" s="15">
        <f>C21/'- 6 -'!C21</f>
        <v>4215.4646326062</v>
      </c>
      <c r="F21" s="15">
        <v>0</v>
      </c>
      <c r="G21" s="360">
        <f>F21/'- 3 -'!E21</f>
        <v>0</v>
      </c>
      <c r="H21" s="15">
        <f>IF('- 6 -'!D21=0,"",F21/'- 6 -'!D21)</f>
      </c>
      <c r="I21" s="15">
        <v>0</v>
      </c>
      <c r="J21" s="360">
        <f>I21/'- 3 -'!E21</f>
        <v>0</v>
      </c>
      <c r="K21" s="15">
        <f>IF('- 6 -'!E21=0,"",I21/'- 6 -'!E21)</f>
      </c>
    </row>
    <row r="22" spans="1:11" ht="12.75">
      <c r="A22" s="16">
        <v>14</v>
      </c>
      <c r="B22" s="17" t="s">
        <v>126</v>
      </c>
      <c r="C22" s="17">
        <v>5719619</v>
      </c>
      <c r="D22" s="361">
        <f>C22/'- 3 -'!E22</f>
        <v>0.24026513763845728</v>
      </c>
      <c r="E22" s="17">
        <f>C22/'- 6 -'!C22</f>
        <v>3592.725502512563</v>
      </c>
      <c r="F22" s="17">
        <v>0</v>
      </c>
      <c r="G22" s="361">
        <f>F22/'- 3 -'!E22</f>
        <v>0</v>
      </c>
      <c r="H22" s="17">
        <f>IF('- 6 -'!D22=0,"",F22/'- 6 -'!D22)</f>
      </c>
      <c r="I22" s="17">
        <v>2190490</v>
      </c>
      <c r="J22" s="361">
        <f>I22/'- 3 -'!E22</f>
        <v>0.09201633558907757</v>
      </c>
      <c r="K22" s="17">
        <f>IF('- 6 -'!E22=0,"",I22/'- 6 -'!E22)</f>
        <v>3482.4960254372018</v>
      </c>
    </row>
    <row r="23" spans="1:11" ht="12.75">
      <c r="A23" s="14">
        <v>15</v>
      </c>
      <c r="B23" s="15" t="s">
        <v>127</v>
      </c>
      <c r="C23" s="15">
        <v>18420304</v>
      </c>
      <c r="D23" s="360">
        <f>C23/'- 3 -'!E23</f>
        <v>0.5419401342559501</v>
      </c>
      <c r="E23" s="15">
        <f>C23/'- 6 -'!C23</f>
        <v>3150.385496835984</v>
      </c>
      <c r="F23" s="15">
        <v>0</v>
      </c>
      <c r="G23" s="360">
        <f>F23/'- 3 -'!E23</f>
        <v>0</v>
      </c>
      <c r="H23" s="15">
        <f>IF('- 6 -'!D23=0,"",F23/'- 6 -'!D23)</f>
      </c>
      <c r="I23" s="15">
        <v>0</v>
      </c>
      <c r="J23" s="360">
        <f>I23/'- 3 -'!E23</f>
        <v>0</v>
      </c>
      <c r="K23" s="15">
        <f>IF('- 6 -'!E23=0,"",I23/'- 6 -'!E23)</f>
      </c>
    </row>
    <row r="24" spans="1:11" ht="12.75">
      <c r="A24" s="16">
        <v>16</v>
      </c>
      <c r="B24" s="17" t="s">
        <v>128</v>
      </c>
      <c r="C24" s="17">
        <v>3262693</v>
      </c>
      <c r="D24" s="361">
        <f>C24/'- 3 -'!E24</f>
        <v>0.522814264894518</v>
      </c>
      <c r="E24" s="17">
        <f>C24/'- 6 -'!C24</f>
        <v>4109.185138539043</v>
      </c>
      <c r="F24" s="17">
        <v>0</v>
      </c>
      <c r="G24" s="361">
        <f>F24/'- 3 -'!E24</f>
        <v>0</v>
      </c>
      <c r="H24" s="17">
        <f>IF('- 6 -'!D24=0,"",F24/'- 6 -'!D24)</f>
      </c>
      <c r="I24" s="17">
        <v>0</v>
      </c>
      <c r="J24" s="361">
        <f>I24/'- 3 -'!E24</f>
        <v>0</v>
      </c>
      <c r="K24" s="17">
        <f>IF('- 6 -'!E24=0,"",I24/'- 6 -'!E24)</f>
      </c>
    </row>
    <row r="25" spans="1:11" ht="12.75">
      <c r="A25" s="14">
        <v>17</v>
      </c>
      <c r="B25" s="15" t="s">
        <v>129</v>
      </c>
      <c r="C25" s="15">
        <v>188170</v>
      </c>
      <c r="D25" s="360">
        <f>C25/'- 3 -'!E25</f>
        <v>0.04226270435938998</v>
      </c>
      <c r="E25" s="15">
        <f>C25/'- 6 -'!C25</f>
        <v>4276.590909090909</v>
      </c>
      <c r="F25" s="15">
        <v>732887</v>
      </c>
      <c r="G25" s="360">
        <f>F25/'- 3 -'!E25</f>
        <v>0.16460533884168702</v>
      </c>
      <c r="H25" s="15">
        <f>IF('- 6 -'!D25=0,"",F25/'- 6 -'!D25)</f>
        <v>4482.489296636086</v>
      </c>
      <c r="I25" s="15">
        <v>1222947</v>
      </c>
      <c r="J25" s="360">
        <f>I25/'- 3 -'!E25</f>
        <v>0.27467209176916035</v>
      </c>
      <c r="K25" s="15">
        <f>IF('- 6 -'!E25=0,"",I25/'- 6 -'!E25)</f>
        <v>4678.4506503443</v>
      </c>
    </row>
    <row r="26" spans="1:11" ht="12.75">
      <c r="A26" s="16">
        <v>18</v>
      </c>
      <c r="B26" s="17" t="s">
        <v>130</v>
      </c>
      <c r="C26" s="17">
        <v>4421535</v>
      </c>
      <c r="D26" s="361">
        <f>C26/'- 3 -'!E26</f>
        <v>0.4510670947078772</v>
      </c>
      <c r="E26" s="17">
        <f>C26/'- 6 -'!C26</f>
        <v>3362.384030418251</v>
      </c>
      <c r="F26" s="17">
        <v>0</v>
      </c>
      <c r="G26" s="361">
        <f>F26/'- 3 -'!E26</f>
        <v>0</v>
      </c>
      <c r="H26" s="17">
        <f>IF('- 6 -'!D26=0,"",F26/'- 6 -'!D26)</f>
      </c>
      <c r="I26" s="17">
        <v>0</v>
      </c>
      <c r="J26" s="361">
        <f>I26/'- 3 -'!E26</f>
        <v>0</v>
      </c>
      <c r="K26" s="17">
        <f>IF('- 6 -'!E26=0,"",I26/'- 6 -'!E26)</f>
      </c>
    </row>
    <row r="27" spans="1:11" ht="12.75">
      <c r="A27" s="14">
        <v>19</v>
      </c>
      <c r="B27" s="15" t="s">
        <v>131</v>
      </c>
      <c r="C27" s="15">
        <v>6565785</v>
      </c>
      <c r="D27" s="360">
        <f>C27/'- 3 -'!E27</f>
        <v>0.5287361736720867</v>
      </c>
      <c r="E27" s="15">
        <f>C27/'- 6 -'!C27</f>
        <v>3652.73157162726</v>
      </c>
      <c r="F27" s="15">
        <v>0</v>
      </c>
      <c r="G27" s="360">
        <f>F27/'- 3 -'!E27</f>
        <v>0</v>
      </c>
      <c r="H27" s="15">
        <f>IF('- 6 -'!D27=0,"",F27/'- 6 -'!D27)</f>
      </c>
      <c r="I27" s="15">
        <v>0</v>
      </c>
      <c r="J27" s="360">
        <f>I27/'- 3 -'!E27</f>
        <v>0</v>
      </c>
      <c r="K27" s="15">
        <f>IF('- 6 -'!E27=0,"",I27/'- 6 -'!E27)</f>
      </c>
    </row>
    <row r="28" spans="1:11" ht="12.75">
      <c r="A28" s="16">
        <v>20</v>
      </c>
      <c r="B28" s="17" t="s">
        <v>132</v>
      </c>
      <c r="C28" s="17">
        <v>2004650</v>
      </c>
      <c r="D28" s="361">
        <f>C28/'- 3 -'!E28</f>
        <v>0.2536552664674102</v>
      </c>
      <c r="E28" s="17">
        <f>C28/'- 6 -'!C28</f>
        <v>4766.1673799334285</v>
      </c>
      <c r="F28" s="17">
        <v>0</v>
      </c>
      <c r="G28" s="361">
        <f>F28/'- 3 -'!E28</f>
        <v>0</v>
      </c>
      <c r="H28" s="17">
        <f>IF('- 6 -'!D28=0,"",F28/'- 6 -'!D28)</f>
      </c>
      <c r="I28" s="17">
        <v>525000</v>
      </c>
      <c r="J28" s="361">
        <f>I28/'- 3 -'!E28</f>
        <v>0.06643005756385921</v>
      </c>
      <c r="K28" s="17">
        <f>IF('- 6 -'!E28=0,"",I28/'- 6 -'!E28)</f>
        <v>4929.577464788732</v>
      </c>
    </row>
    <row r="29" spans="1:11" ht="12.75">
      <c r="A29" s="14">
        <v>21</v>
      </c>
      <c r="B29" s="15" t="s">
        <v>133</v>
      </c>
      <c r="C29" s="15">
        <v>12248500</v>
      </c>
      <c r="D29" s="360">
        <f>C29/'- 3 -'!E29</f>
        <v>0.5213014981273408</v>
      </c>
      <c r="E29" s="15">
        <f>C29/'- 6 -'!C29</f>
        <v>3677.1239867907534</v>
      </c>
      <c r="F29" s="15">
        <v>0</v>
      </c>
      <c r="G29" s="360">
        <f>F29/'- 3 -'!E29</f>
        <v>0</v>
      </c>
      <c r="H29" s="15">
        <f>IF('- 6 -'!D29=0,"",F29/'- 6 -'!D29)</f>
      </c>
      <c r="I29" s="15">
        <v>0</v>
      </c>
      <c r="J29" s="360">
        <f>I29/'- 3 -'!E29</f>
        <v>0</v>
      </c>
      <c r="K29" s="15">
        <f>IF('- 6 -'!E29=0,"",I29/'- 6 -'!E29)</f>
      </c>
    </row>
    <row r="30" spans="1:11" ht="12.75">
      <c r="A30" s="16">
        <v>22</v>
      </c>
      <c r="B30" s="17" t="s">
        <v>134</v>
      </c>
      <c r="C30" s="17">
        <v>6110704</v>
      </c>
      <c r="D30" s="361">
        <f>C30/'- 3 -'!E30</f>
        <v>0.4906730270692634</v>
      </c>
      <c r="E30" s="17">
        <f>C30/'- 6 -'!C30</f>
        <v>3750.048481129181</v>
      </c>
      <c r="F30" s="17">
        <v>0</v>
      </c>
      <c r="G30" s="361">
        <f>F30/'- 3 -'!E30</f>
        <v>0</v>
      </c>
      <c r="H30" s="17">
        <f>IF('- 6 -'!D30=0,"",F30/'- 6 -'!D30)</f>
      </c>
      <c r="I30" s="17">
        <v>0</v>
      </c>
      <c r="J30" s="361">
        <f>I30/'- 3 -'!E30</f>
        <v>0</v>
      </c>
      <c r="K30" s="17">
        <f>IF('- 6 -'!E30=0,"",I30/'- 6 -'!E30)</f>
      </c>
    </row>
    <row r="31" spans="1:11" ht="12.75">
      <c r="A31" s="14">
        <v>23</v>
      </c>
      <c r="B31" s="15" t="s">
        <v>135</v>
      </c>
      <c r="C31" s="15">
        <v>5040176</v>
      </c>
      <c r="D31" s="360">
        <f>C31/'- 3 -'!E31</f>
        <v>0.49279214000518</v>
      </c>
      <c r="E31" s="15">
        <f>C31/'- 6 -'!C31</f>
        <v>3680.3037604965316</v>
      </c>
      <c r="F31" s="15">
        <v>0</v>
      </c>
      <c r="G31" s="360">
        <f>F31/'- 3 -'!E31</f>
        <v>0</v>
      </c>
      <c r="H31" s="15">
        <f>IF('- 6 -'!D31=0,"",F31/'- 6 -'!D31)</f>
      </c>
      <c r="I31" s="15">
        <v>0</v>
      </c>
      <c r="J31" s="360">
        <f>I31/'- 3 -'!E31</f>
        <v>0</v>
      </c>
      <c r="K31" s="15">
        <f>IF('- 6 -'!E31=0,"",I31/'- 6 -'!E31)</f>
      </c>
    </row>
    <row r="32" spans="1:11" ht="12.75">
      <c r="A32" s="16">
        <v>24</v>
      </c>
      <c r="B32" s="17" t="s">
        <v>136</v>
      </c>
      <c r="C32" s="17">
        <v>10422139</v>
      </c>
      <c r="D32" s="361">
        <f>C32/'- 3 -'!E32</f>
        <v>0.4457517096864934</v>
      </c>
      <c r="E32" s="17">
        <f>C32/'- 6 -'!C32</f>
        <v>3656.3777013752456</v>
      </c>
      <c r="F32" s="17">
        <v>0</v>
      </c>
      <c r="G32" s="361">
        <f>F32/'- 3 -'!E32</f>
        <v>0</v>
      </c>
      <c r="H32" s="17">
        <f>IF('- 6 -'!D32=0,"",F32/'- 6 -'!D32)</f>
      </c>
      <c r="I32" s="17">
        <v>0</v>
      </c>
      <c r="J32" s="361">
        <f>I32/'- 3 -'!E32</f>
        <v>0</v>
      </c>
      <c r="K32" s="17">
        <f>IF('- 6 -'!E32=0,"",I32/'- 6 -'!E32)</f>
      </c>
    </row>
    <row r="33" spans="1:11" ht="12.75">
      <c r="A33" s="14">
        <v>25</v>
      </c>
      <c r="B33" s="15" t="s">
        <v>137</v>
      </c>
      <c r="C33" s="15">
        <v>5788058</v>
      </c>
      <c r="D33" s="360">
        <f>C33/'- 3 -'!E33</f>
        <v>0.5442280529637283</v>
      </c>
      <c r="E33" s="15">
        <f>C33/'- 6 -'!C33</f>
        <v>4140.241773962804</v>
      </c>
      <c r="F33" s="15">
        <v>0</v>
      </c>
      <c r="G33" s="360">
        <f>F33/'- 3 -'!E33</f>
        <v>0</v>
      </c>
      <c r="H33" s="15">
        <f>IF('- 6 -'!D33=0,"",F33/'- 6 -'!D33)</f>
      </c>
      <c r="I33" s="15">
        <v>0</v>
      </c>
      <c r="J33" s="360">
        <f>I33/'- 3 -'!E33</f>
        <v>0</v>
      </c>
      <c r="K33" s="15">
        <f>IF('- 6 -'!E33=0,"",I33/'- 6 -'!E33)</f>
      </c>
    </row>
    <row r="34" spans="1:11" ht="12.75">
      <c r="A34" s="16">
        <v>26</v>
      </c>
      <c r="B34" s="17" t="s">
        <v>138</v>
      </c>
      <c r="C34" s="17">
        <v>9851300</v>
      </c>
      <c r="D34" s="361">
        <f>C34/'- 3 -'!E34</f>
        <v>0.5680683898683813</v>
      </c>
      <c r="E34" s="17">
        <f>C34/'- 6 -'!C34</f>
        <v>3467.546638507568</v>
      </c>
      <c r="F34" s="17">
        <v>0</v>
      </c>
      <c r="G34" s="361">
        <f>F34/'- 3 -'!E34</f>
        <v>0</v>
      </c>
      <c r="H34" s="17">
        <f>IF('- 6 -'!D34=0,"",F34/'- 6 -'!D34)</f>
      </c>
      <c r="I34" s="17">
        <v>0</v>
      </c>
      <c r="J34" s="361">
        <f>I34/'- 3 -'!E34</f>
        <v>0</v>
      </c>
      <c r="K34" s="17">
        <f>IF('- 6 -'!E34=0,"",I34/'- 6 -'!E34)</f>
      </c>
    </row>
    <row r="35" spans="1:11" ht="12.75">
      <c r="A35" s="14">
        <v>28</v>
      </c>
      <c r="B35" s="15" t="s">
        <v>139</v>
      </c>
      <c r="C35" s="15">
        <v>1805818</v>
      </c>
      <c r="D35" s="360">
        <f>C35/'- 3 -'!E35</f>
        <v>0.2819983234556303</v>
      </c>
      <c r="E35" s="15">
        <f>C35/'- 6 -'!C35</f>
        <v>4933.928961748634</v>
      </c>
      <c r="F35" s="15">
        <v>0</v>
      </c>
      <c r="G35" s="360">
        <f>F35/'- 3 -'!E35</f>
        <v>0</v>
      </c>
      <c r="H35" s="15">
        <f>IF('- 6 -'!D35=0,"",F35/'- 6 -'!D35)</f>
      </c>
      <c r="I35" s="15">
        <v>261519</v>
      </c>
      <c r="J35" s="360">
        <f>I35/'- 3 -'!E35</f>
        <v>0.04083906548267487</v>
      </c>
      <c r="K35" s="15">
        <f>IF('- 6 -'!E35=0,"",I35/'- 6 -'!E35)</f>
        <v>4184.304</v>
      </c>
    </row>
    <row r="36" spans="1:11" ht="12.75">
      <c r="A36" s="16">
        <v>30</v>
      </c>
      <c r="B36" s="17" t="s">
        <v>140</v>
      </c>
      <c r="C36" s="17">
        <v>5205163</v>
      </c>
      <c r="D36" s="361">
        <f>C36/'- 3 -'!E36</f>
        <v>0.5314524759039029</v>
      </c>
      <c r="E36" s="17">
        <f>C36/'- 6 -'!C36</f>
        <v>3999.0496312231103</v>
      </c>
      <c r="F36" s="17">
        <v>0</v>
      </c>
      <c r="G36" s="361">
        <f>F36/'- 3 -'!E36</f>
        <v>0</v>
      </c>
      <c r="H36" s="17">
        <f>IF('- 6 -'!D36=0,"",F36/'- 6 -'!D36)</f>
      </c>
      <c r="I36" s="17">
        <v>0</v>
      </c>
      <c r="J36" s="361">
        <f>I36/'- 3 -'!E36</f>
        <v>0</v>
      </c>
      <c r="K36" s="17">
        <f>IF('- 6 -'!E36=0,"",I36/'- 6 -'!E36)</f>
      </c>
    </row>
    <row r="37" spans="1:11" ht="12.75">
      <c r="A37" s="14">
        <v>31</v>
      </c>
      <c r="B37" s="15" t="s">
        <v>141</v>
      </c>
      <c r="C37" s="15">
        <v>6001564</v>
      </c>
      <c r="D37" s="360">
        <f>C37/'- 3 -'!E37</f>
        <v>0.5480286792681632</v>
      </c>
      <c r="E37" s="15">
        <f>C37/'- 6 -'!C37</f>
        <v>3803.2724968314324</v>
      </c>
      <c r="F37" s="15">
        <v>0</v>
      </c>
      <c r="G37" s="360">
        <f>F37/'- 3 -'!E37</f>
        <v>0</v>
      </c>
      <c r="H37" s="15">
        <f>IF('- 6 -'!D37=0,"",F37/'- 6 -'!D37)</f>
      </c>
      <c r="I37" s="15">
        <v>0</v>
      </c>
      <c r="J37" s="360">
        <f>I37/'- 3 -'!E37</f>
        <v>0</v>
      </c>
      <c r="K37" s="15">
        <f>IF('- 6 -'!E37=0,"",I37/'- 6 -'!E37)</f>
      </c>
    </row>
    <row r="38" spans="1:11" ht="12.75">
      <c r="A38" s="16">
        <v>32</v>
      </c>
      <c r="B38" s="17" t="s">
        <v>142</v>
      </c>
      <c r="C38" s="17">
        <v>3265663</v>
      </c>
      <c r="D38" s="361">
        <f>C38/'- 3 -'!E38</f>
        <v>0.47502763765004336</v>
      </c>
      <c r="E38" s="17">
        <f>C38/'- 6 -'!C38</f>
        <v>4112.925692695214</v>
      </c>
      <c r="F38" s="17">
        <v>161599</v>
      </c>
      <c r="G38" s="361">
        <f>F38/'- 3 -'!E38</f>
        <v>0.023506403207131096</v>
      </c>
      <c r="H38" s="17">
        <f>IF('- 6 -'!D38=0,"",F38/'- 6 -'!D38)</f>
        <v>3551.6263736263736</v>
      </c>
      <c r="I38" s="17">
        <v>0</v>
      </c>
      <c r="J38" s="361">
        <f>I38/'- 3 -'!E38</f>
        <v>0</v>
      </c>
      <c r="K38" s="17">
        <f>IF('- 6 -'!E38=0,"",I38/'- 6 -'!E38)</f>
      </c>
    </row>
    <row r="39" spans="1:11" ht="12.75">
      <c r="A39" s="14">
        <v>33</v>
      </c>
      <c r="B39" s="15" t="s">
        <v>143</v>
      </c>
      <c r="C39" s="15">
        <v>4641883</v>
      </c>
      <c r="D39" s="360">
        <f>C39/'- 3 -'!E39</f>
        <v>0.33896817007196356</v>
      </c>
      <c r="E39" s="15">
        <f>C39/'- 6 -'!C39</f>
        <v>3726.9233239662785</v>
      </c>
      <c r="F39" s="15">
        <v>0</v>
      </c>
      <c r="G39" s="360">
        <f>F39/'- 3 -'!E39</f>
        <v>0</v>
      </c>
      <c r="H39" s="15">
        <f>IF('- 6 -'!D39=0,"",F39/'- 6 -'!D39)</f>
      </c>
      <c r="I39" s="15">
        <v>366637</v>
      </c>
      <c r="J39" s="360">
        <f>I39/'- 3 -'!E39</f>
        <v>0.026773245463247244</v>
      </c>
      <c r="K39" s="15">
        <f>IF('- 6 -'!E39=0,"",I39/'- 6 -'!E39)</f>
        <v>3612.1871921182264</v>
      </c>
    </row>
    <row r="40" spans="1:11" ht="12.75">
      <c r="A40" s="16">
        <v>34</v>
      </c>
      <c r="B40" s="17" t="s">
        <v>144</v>
      </c>
      <c r="C40" s="17">
        <v>3104335</v>
      </c>
      <c r="D40" s="361">
        <f>C40/'- 3 -'!E40</f>
        <v>0.5386649041639128</v>
      </c>
      <c r="E40" s="17">
        <f>C40/'- 6 -'!C40</f>
        <v>4249.603011635866</v>
      </c>
      <c r="F40" s="17">
        <v>0</v>
      </c>
      <c r="G40" s="361">
        <f>F40/'- 3 -'!E40</f>
        <v>0</v>
      </c>
      <c r="H40" s="17">
        <f>IF('- 6 -'!D40=0,"",F40/'- 6 -'!D40)</f>
      </c>
      <c r="I40" s="17">
        <v>0</v>
      </c>
      <c r="J40" s="361">
        <f>I40/'- 3 -'!E40</f>
        <v>0</v>
      </c>
      <c r="K40" s="17">
        <f>IF('- 6 -'!E40=0,"",I40/'- 6 -'!E40)</f>
      </c>
    </row>
    <row r="41" spans="1:11" ht="12.75">
      <c r="A41" s="14">
        <v>35</v>
      </c>
      <c r="B41" s="15" t="s">
        <v>145</v>
      </c>
      <c r="C41" s="15">
        <v>5896802</v>
      </c>
      <c r="D41" s="360">
        <f>C41/'- 3 -'!E41</f>
        <v>0.4005999214126591</v>
      </c>
      <c r="E41" s="15">
        <f>C41/'- 6 -'!C41</f>
        <v>3973.586253369272</v>
      </c>
      <c r="F41" s="15">
        <v>0</v>
      </c>
      <c r="G41" s="360">
        <f>F41/'- 3 -'!E41</f>
        <v>0</v>
      </c>
      <c r="H41" s="15">
        <f>IF('- 6 -'!D41=0,"",F41/'- 6 -'!D41)</f>
      </c>
      <c r="I41" s="15">
        <v>0</v>
      </c>
      <c r="J41" s="360">
        <f>I41/'- 3 -'!E41</f>
        <v>0</v>
      </c>
      <c r="K41" s="15">
        <f>IF('- 6 -'!E41=0,"",I41/'- 6 -'!E41)</f>
      </c>
    </row>
    <row r="42" spans="1:11" ht="12.75">
      <c r="A42" s="16">
        <v>36</v>
      </c>
      <c r="B42" s="17" t="s">
        <v>146</v>
      </c>
      <c r="C42" s="17">
        <v>3972066</v>
      </c>
      <c r="D42" s="361">
        <f>C42/'- 3 -'!E42</f>
        <v>0.5200400628436763</v>
      </c>
      <c r="E42" s="17">
        <f>C42/'- 6 -'!C42</f>
        <v>4248.198930481283</v>
      </c>
      <c r="F42" s="17">
        <v>0</v>
      </c>
      <c r="G42" s="361">
        <f>F42/'- 3 -'!E42</f>
        <v>0</v>
      </c>
      <c r="H42" s="17">
        <f>IF('- 6 -'!D42=0,"",F42/'- 6 -'!D42)</f>
      </c>
      <c r="I42" s="17">
        <v>0</v>
      </c>
      <c r="J42" s="361">
        <f>I42/'- 3 -'!E42</f>
        <v>0</v>
      </c>
      <c r="K42" s="17">
        <f>IF('- 6 -'!E42=0,"",I42/'- 6 -'!E42)</f>
      </c>
    </row>
    <row r="43" spans="1:11" ht="12.75">
      <c r="A43" s="14">
        <v>37</v>
      </c>
      <c r="B43" s="15" t="s">
        <v>147</v>
      </c>
      <c r="C43" s="15">
        <v>3506158</v>
      </c>
      <c r="D43" s="360">
        <f>C43/'- 3 -'!E43</f>
        <v>0.5062919755038504</v>
      </c>
      <c r="E43" s="15">
        <f>C43/'- 6 -'!C43</f>
        <v>3962.2081591140245</v>
      </c>
      <c r="F43" s="15">
        <v>0</v>
      </c>
      <c r="G43" s="360">
        <f>F43/'- 3 -'!E43</f>
        <v>0</v>
      </c>
      <c r="H43" s="15">
        <f>IF('- 6 -'!D43=0,"",F43/'- 6 -'!D43)</f>
      </c>
      <c r="I43" s="15">
        <v>0</v>
      </c>
      <c r="J43" s="360">
        <f>I43/'- 3 -'!E43</f>
        <v>0</v>
      </c>
      <c r="K43" s="15">
        <f>IF('- 6 -'!E43=0,"",I43/'- 6 -'!E43)</f>
      </c>
    </row>
    <row r="44" spans="1:11" ht="12.75">
      <c r="A44" s="16">
        <v>38</v>
      </c>
      <c r="B44" s="17" t="s">
        <v>148</v>
      </c>
      <c r="C44" s="17">
        <v>4567911</v>
      </c>
      <c r="D44" s="361">
        <f>C44/'- 3 -'!E44</f>
        <v>0.5100313327016622</v>
      </c>
      <c r="E44" s="17">
        <f>C44/'- 6 -'!C44</f>
        <v>3910.882705479452</v>
      </c>
      <c r="F44" s="17">
        <v>0</v>
      </c>
      <c r="G44" s="361">
        <f>F44/'- 3 -'!E44</f>
        <v>0</v>
      </c>
      <c r="H44" s="17">
        <f>IF('- 6 -'!D44=0,"",F44/'- 6 -'!D44)</f>
      </c>
      <c r="I44" s="17">
        <v>0</v>
      </c>
      <c r="J44" s="361">
        <f>I44/'- 3 -'!E44</f>
        <v>0</v>
      </c>
      <c r="K44" s="17">
        <f>IF('- 6 -'!E44=0,"",I44/'- 6 -'!E44)</f>
      </c>
    </row>
    <row r="45" spans="1:11" ht="12.75">
      <c r="A45" s="14">
        <v>39</v>
      </c>
      <c r="B45" s="15" t="s">
        <v>149</v>
      </c>
      <c r="C45" s="15">
        <v>8887200</v>
      </c>
      <c r="D45" s="360">
        <f>C45/'- 3 -'!E45</f>
        <v>0.5580606776074323</v>
      </c>
      <c r="E45" s="15">
        <f>C45/'- 6 -'!C45</f>
        <v>4273.719644145227</v>
      </c>
      <c r="F45" s="15">
        <v>0</v>
      </c>
      <c r="G45" s="360">
        <f>F45/'- 3 -'!E45</f>
        <v>0</v>
      </c>
      <c r="H45" s="15">
        <f>IF('- 6 -'!D45=0,"",F45/'- 6 -'!D45)</f>
      </c>
      <c r="I45" s="15">
        <v>0</v>
      </c>
      <c r="J45" s="360">
        <f>I45/'- 3 -'!E45</f>
        <v>0</v>
      </c>
      <c r="K45" s="15">
        <f>IF('- 6 -'!E45=0,"",I45/'- 6 -'!E45)</f>
      </c>
    </row>
    <row r="46" spans="1:11" ht="12.75">
      <c r="A46" s="16">
        <v>40</v>
      </c>
      <c r="B46" s="17" t="s">
        <v>150</v>
      </c>
      <c r="C46" s="17">
        <v>20539500</v>
      </c>
      <c r="D46" s="361">
        <f>C46/'- 3 -'!E46</f>
        <v>0.43956855317646304</v>
      </c>
      <c r="E46" s="17">
        <f>C46/'- 6 -'!C46</f>
        <v>3644.0166770158785</v>
      </c>
      <c r="F46" s="17">
        <v>0</v>
      </c>
      <c r="G46" s="361">
        <f>F46/'- 3 -'!E46</f>
        <v>0</v>
      </c>
      <c r="H46" s="17">
        <f>IF('- 6 -'!D46=0,"",F46/'- 6 -'!D46)</f>
      </c>
      <c r="I46" s="17">
        <v>0</v>
      </c>
      <c r="J46" s="361">
        <f>I46/'- 3 -'!E46</f>
        <v>0</v>
      </c>
      <c r="K46" s="17">
        <f>IF('- 6 -'!E46=0,"",I46/'- 6 -'!E46)</f>
      </c>
    </row>
    <row r="47" spans="1:11" ht="12.75">
      <c r="A47" s="14">
        <v>41</v>
      </c>
      <c r="B47" s="15" t="s">
        <v>151</v>
      </c>
      <c r="C47" s="15">
        <v>6307667</v>
      </c>
      <c r="D47" s="360">
        <f>C47/'- 3 -'!E47</f>
        <v>0.5135530449001604</v>
      </c>
      <c r="E47" s="15">
        <f>C47/'- 6 -'!C47</f>
        <v>4077.3542340012928</v>
      </c>
      <c r="F47" s="15">
        <v>0</v>
      </c>
      <c r="G47" s="360">
        <f>F47/'- 3 -'!E47</f>
        <v>0</v>
      </c>
      <c r="H47" s="15">
        <f>IF('- 6 -'!D47=0,"",F47/'- 6 -'!D47)</f>
      </c>
      <c r="I47" s="15">
        <v>0</v>
      </c>
      <c r="J47" s="360">
        <f>I47/'- 3 -'!E47</f>
        <v>0</v>
      </c>
      <c r="K47" s="15">
        <f>IF('- 6 -'!E47=0,"",I47/'- 6 -'!E47)</f>
      </c>
    </row>
    <row r="48" spans="1:11" ht="12.75">
      <c r="A48" s="16">
        <v>42</v>
      </c>
      <c r="B48" s="17" t="s">
        <v>152</v>
      </c>
      <c r="C48" s="17">
        <v>4219018</v>
      </c>
      <c r="D48" s="361">
        <f>C48/'- 3 -'!E48</f>
        <v>0.5255931241401064</v>
      </c>
      <c r="E48" s="17">
        <f>C48/'- 6 -'!C48</f>
        <v>4054.7986544930322</v>
      </c>
      <c r="F48" s="17">
        <v>0</v>
      </c>
      <c r="G48" s="361">
        <f>F48/'- 3 -'!E48</f>
        <v>0</v>
      </c>
      <c r="H48" s="17">
        <f>IF('- 6 -'!D48=0,"",F48/'- 6 -'!D48)</f>
      </c>
      <c r="I48" s="17">
        <v>0</v>
      </c>
      <c r="J48" s="361">
        <f>I48/'- 3 -'!E48</f>
        <v>0</v>
      </c>
      <c r="K48" s="17">
        <f>IF('- 6 -'!E48=0,"",I48/'- 6 -'!E48)</f>
      </c>
    </row>
    <row r="49" spans="1:11" ht="12.75">
      <c r="A49" s="14">
        <v>43</v>
      </c>
      <c r="B49" s="15" t="s">
        <v>153</v>
      </c>
      <c r="C49" s="15">
        <v>3514200</v>
      </c>
      <c r="D49" s="360">
        <f>C49/'- 3 -'!E49</f>
        <v>0.5488364828986413</v>
      </c>
      <c r="E49" s="15">
        <f>C49/'- 6 -'!C49</f>
        <v>4525.692208628461</v>
      </c>
      <c r="F49" s="15">
        <v>0</v>
      </c>
      <c r="G49" s="360">
        <f>F49/'- 3 -'!E49</f>
        <v>0</v>
      </c>
      <c r="H49" s="15">
        <f>IF('- 6 -'!D49=0,"",F49/'- 6 -'!D49)</f>
      </c>
      <c r="I49" s="15">
        <v>0</v>
      </c>
      <c r="J49" s="360">
        <f>I49/'- 3 -'!E49</f>
        <v>0</v>
      </c>
      <c r="K49" s="15">
        <f>IF('- 6 -'!E49=0,"",I49/'- 6 -'!E49)</f>
      </c>
    </row>
    <row r="50" spans="1:11" ht="12.75">
      <c r="A50" s="16">
        <v>44</v>
      </c>
      <c r="B50" s="17" t="s">
        <v>154</v>
      </c>
      <c r="C50" s="17">
        <v>4766478</v>
      </c>
      <c r="D50" s="361">
        <f>C50/'- 3 -'!E50</f>
        <v>0.5161442971341595</v>
      </c>
      <c r="E50" s="17">
        <f>C50/'- 6 -'!C50</f>
        <v>3921.4134101192926</v>
      </c>
      <c r="F50" s="17">
        <v>0</v>
      </c>
      <c r="G50" s="361">
        <f>F50/'- 3 -'!E50</f>
        <v>0</v>
      </c>
      <c r="H50" s="17">
        <f>IF('- 6 -'!D50=0,"",F50/'- 6 -'!D50)</f>
      </c>
      <c r="I50" s="17">
        <v>0</v>
      </c>
      <c r="J50" s="361">
        <f>I50/'- 3 -'!E50</f>
        <v>0</v>
      </c>
      <c r="K50" s="17">
        <f>IF('- 6 -'!E50=0,"",I50/'- 6 -'!E50)</f>
      </c>
    </row>
    <row r="51" spans="1:11" ht="12.75">
      <c r="A51" s="14">
        <v>45</v>
      </c>
      <c r="B51" s="15" t="s">
        <v>155</v>
      </c>
      <c r="C51" s="15">
        <v>4017544</v>
      </c>
      <c r="D51" s="360">
        <f>C51/'- 3 -'!E51</f>
        <v>0.3333173763103253</v>
      </c>
      <c r="E51" s="15">
        <f>C51/'- 6 -'!C51</f>
        <v>3167.161214032322</v>
      </c>
      <c r="F51" s="15">
        <v>0</v>
      </c>
      <c r="G51" s="360">
        <f>F51/'- 3 -'!E51</f>
        <v>0</v>
      </c>
      <c r="H51" s="15">
        <f>IF('- 6 -'!D51=0,"",F51/'- 6 -'!D51)</f>
      </c>
      <c r="I51" s="15">
        <v>0</v>
      </c>
      <c r="J51" s="360">
        <f>I51/'- 3 -'!E51</f>
        <v>0</v>
      </c>
      <c r="K51" s="15">
        <f>IF('- 6 -'!E51=0,"",I51/'- 6 -'!E51)</f>
      </c>
    </row>
    <row r="52" spans="1:11" ht="12.75">
      <c r="A52" s="16">
        <v>46</v>
      </c>
      <c r="B52" s="17" t="s">
        <v>156</v>
      </c>
      <c r="C52" s="17">
        <v>4098155</v>
      </c>
      <c r="D52" s="361">
        <f>C52/'- 3 -'!E52</f>
        <v>0.3865047055026644</v>
      </c>
      <c r="E52" s="17">
        <f>C52/'- 6 -'!C52</f>
        <v>3880.8285984848485</v>
      </c>
      <c r="F52" s="17">
        <v>0</v>
      </c>
      <c r="G52" s="361">
        <f>F52/'- 3 -'!E52</f>
        <v>0</v>
      </c>
      <c r="H52" s="17">
        <f>IF('- 6 -'!D52=0,"",F52/'- 6 -'!D52)</f>
      </c>
      <c r="I52" s="17">
        <v>0</v>
      </c>
      <c r="J52" s="361">
        <f>I52/'- 3 -'!E52</f>
        <v>0</v>
      </c>
      <c r="K52" s="17">
        <f>IF('- 6 -'!E52=0,"",I52/'- 6 -'!E52)</f>
      </c>
    </row>
    <row r="53" spans="1:11" ht="12.75">
      <c r="A53" s="14">
        <v>47</v>
      </c>
      <c r="B53" s="15" t="s">
        <v>157</v>
      </c>
      <c r="C53" s="15">
        <v>3316523</v>
      </c>
      <c r="D53" s="360">
        <f>C53/'- 3 -'!E53</f>
        <v>0.34631923112547175</v>
      </c>
      <c r="E53" s="15">
        <f>C53/'- 6 -'!C53</f>
        <v>3783.8254420992585</v>
      </c>
      <c r="F53" s="15">
        <v>0</v>
      </c>
      <c r="G53" s="360">
        <f>F53/'- 3 -'!E53</f>
        <v>0</v>
      </c>
      <c r="H53" s="15">
        <f>IF('- 6 -'!D53=0,"",F53/'- 6 -'!D53)</f>
      </c>
      <c r="I53" s="15">
        <v>0</v>
      </c>
      <c r="J53" s="360">
        <f>I53/'- 3 -'!E53</f>
        <v>0</v>
      </c>
      <c r="K53" s="15">
        <f>IF('- 6 -'!E53=0,"",I53/'- 6 -'!E53)</f>
      </c>
    </row>
    <row r="54" spans="1:11" ht="12.75">
      <c r="A54" s="16">
        <v>48</v>
      </c>
      <c r="B54" s="17" t="s">
        <v>158</v>
      </c>
      <c r="C54" s="17">
        <v>25237737</v>
      </c>
      <c r="D54" s="361">
        <f>C54/'- 3 -'!E54</f>
        <v>0.4065951555675247</v>
      </c>
      <c r="E54" s="17">
        <f>C54/'- 6 -'!C54</f>
        <v>4911.021015761821</v>
      </c>
      <c r="F54" s="17">
        <v>0</v>
      </c>
      <c r="G54" s="361">
        <f>F54/'- 3 -'!E54</f>
        <v>0</v>
      </c>
      <c r="H54" s="17">
        <f>IF('- 6 -'!D54=0,"",F54/'- 6 -'!D54)</f>
      </c>
      <c r="I54" s="17">
        <v>0</v>
      </c>
      <c r="J54" s="361">
        <f>I54/'- 3 -'!E54</f>
        <v>0</v>
      </c>
      <c r="K54" s="17">
        <f>IF('- 6 -'!E54=0,"",I54/'- 6 -'!E54)</f>
      </c>
    </row>
    <row r="55" spans="1:11" ht="12.75">
      <c r="A55" s="14">
        <v>49</v>
      </c>
      <c r="B55" s="15" t="s">
        <v>159</v>
      </c>
      <c r="C55" s="15"/>
      <c r="D55" s="360"/>
      <c r="E55" s="15"/>
      <c r="F55" s="15">
        <v>20102141</v>
      </c>
      <c r="G55" s="360">
        <f>F55/'- 3 -'!E55</f>
        <v>0.5006483328019389</v>
      </c>
      <c r="H55" s="15">
        <f>IF('- 6 -'!D55=0,"",F55/'- 6 -'!D55)</f>
        <v>4731.028712638268</v>
      </c>
      <c r="I55" s="15">
        <v>0</v>
      </c>
      <c r="J55" s="360">
        <f>I55/'- 3 -'!E55</f>
        <v>0</v>
      </c>
      <c r="K55" s="15">
        <f>IF('- 6 -'!E55=0,"",I55/'- 6 -'!E55)</f>
      </c>
    </row>
    <row r="56" spans="1:11" ht="12.75">
      <c r="A56" s="16">
        <v>50</v>
      </c>
      <c r="B56" s="17" t="s">
        <v>340</v>
      </c>
      <c r="C56" s="17">
        <v>7360200</v>
      </c>
      <c r="D56" s="361">
        <f>C56/'- 3 -'!E56</f>
        <v>0.5106462691226975</v>
      </c>
      <c r="E56" s="17">
        <f>C56/'- 6 -'!C56</f>
        <v>4275.457449898345</v>
      </c>
      <c r="F56" s="17">
        <v>0</v>
      </c>
      <c r="G56" s="361">
        <f>F56/'- 3 -'!E56</f>
        <v>0</v>
      </c>
      <c r="H56" s="17">
        <f>IF('- 6 -'!D56=0,"",F56/'- 6 -'!D56)</f>
      </c>
      <c r="I56" s="17">
        <v>0</v>
      </c>
      <c r="J56" s="361">
        <f>I56/'- 3 -'!E56</f>
        <v>0</v>
      </c>
      <c r="K56" s="17">
        <f>IF('- 6 -'!E56=0,"",I56/'- 6 -'!E56)</f>
      </c>
    </row>
    <row r="57" spans="1:11" ht="12.75">
      <c r="A57" s="14">
        <v>2264</v>
      </c>
      <c r="B57" s="15" t="s">
        <v>160</v>
      </c>
      <c r="C57" s="15">
        <v>985364</v>
      </c>
      <c r="D57" s="360">
        <f>C57/'- 3 -'!E57</f>
        <v>0.4872795318305942</v>
      </c>
      <c r="E57" s="15">
        <f>C57/'- 6 -'!C57</f>
        <v>4783.320388349514</v>
      </c>
      <c r="F57" s="15">
        <v>0</v>
      </c>
      <c r="G57" s="360">
        <f>F57/'- 3 -'!E57</f>
        <v>0</v>
      </c>
      <c r="H57" s="15">
        <f>IF('- 6 -'!D57=0,"",F57/'- 6 -'!D57)</f>
      </c>
      <c r="I57" s="15">
        <v>0</v>
      </c>
      <c r="J57" s="360">
        <f>I57/'- 3 -'!E57</f>
        <v>0</v>
      </c>
      <c r="K57" s="15">
        <f>IF('- 6 -'!E57=0,"",I57/'- 6 -'!E57)</f>
      </c>
    </row>
    <row r="58" spans="1:11" ht="12.75">
      <c r="A58" s="16">
        <v>2309</v>
      </c>
      <c r="B58" s="17" t="s">
        <v>161</v>
      </c>
      <c r="C58" s="17">
        <v>1167722</v>
      </c>
      <c r="D58" s="361">
        <f>C58/'- 3 -'!E58</f>
        <v>0.5546711532259099</v>
      </c>
      <c r="E58" s="17">
        <f>C58/'- 6 -'!C58</f>
        <v>4462.063431410012</v>
      </c>
      <c r="F58" s="17">
        <v>0</v>
      </c>
      <c r="G58" s="361">
        <f>F58/'- 3 -'!E58</f>
        <v>0</v>
      </c>
      <c r="H58" s="17">
        <f>IF('- 6 -'!D58=0,"",F58/'- 6 -'!D58)</f>
      </c>
      <c r="I58" s="17">
        <v>0</v>
      </c>
      <c r="J58" s="361">
        <f>I58/'- 3 -'!E58</f>
        <v>0</v>
      </c>
      <c r="K58" s="17">
        <f>IF('- 6 -'!E58=0,"",I58/'- 6 -'!E58)</f>
      </c>
    </row>
    <row r="59" spans="1:11" ht="12.75">
      <c r="A59" s="14">
        <v>2312</v>
      </c>
      <c r="B59" s="15" t="s">
        <v>162</v>
      </c>
      <c r="C59" s="15">
        <v>761493</v>
      </c>
      <c r="D59" s="360">
        <f>C59/'- 3 -'!E59</f>
        <v>0.4883656946721154</v>
      </c>
      <c r="E59" s="15">
        <f>C59/'- 6 -'!C59</f>
        <v>4389.008645533141</v>
      </c>
      <c r="F59" s="15">
        <v>0</v>
      </c>
      <c r="G59" s="360">
        <f>F59/'- 3 -'!E59</f>
        <v>0</v>
      </c>
      <c r="H59" s="15">
        <f>IF('- 6 -'!D59=0,"",F59/'- 6 -'!D59)</f>
      </c>
      <c r="I59" s="15">
        <v>0</v>
      </c>
      <c r="J59" s="360">
        <f>I59/'- 3 -'!E59</f>
        <v>0</v>
      </c>
      <c r="K59" s="15">
        <f>IF('- 6 -'!E59=0,"",I59/'- 6 -'!E59)</f>
      </c>
    </row>
    <row r="60" spans="1:11" ht="12.75">
      <c r="A60" s="16">
        <v>2355</v>
      </c>
      <c r="B60" s="17" t="s">
        <v>163</v>
      </c>
      <c r="C60" s="17">
        <v>11910265</v>
      </c>
      <c r="D60" s="361">
        <f>C60/'- 3 -'!E60</f>
        <v>0.46424493157938146</v>
      </c>
      <c r="E60" s="17">
        <f>C60/'- 6 -'!C60</f>
        <v>4513.002538744269</v>
      </c>
      <c r="F60" s="17">
        <v>0</v>
      </c>
      <c r="G60" s="361">
        <f>F60/'- 3 -'!E60</f>
        <v>0</v>
      </c>
      <c r="H60" s="17">
        <f>IF('- 6 -'!D60=0,"",F60/'- 6 -'!D60)</f>
      </c>
      <c r="I60" s="17">
        <v>0</v>
      </c>
      <c r="J60" s="361">
        <f>I60/'- 3 -'!E60</f>
        <v>0</v>
      </c>
      <c r="K60" s="17">
        <f>IF('- 6 -'!E60=0,"",I60/'- 6 -'!E60)</f>
      </c>
    </row>
    <row r="61" spans="1:11" ht="12.75">
      <c r="A61" s="14">
        <v>2439</v>
      </c>
      <c r="B61" s="15" t="s">
        <v>164</v>
      </c>
      <c r="C61" s="15">
        <v>631639</v>
      </c>
      <c r="D61" s="360">
        <f>C61/'- 3 -'!E61</f>
        <v>0.46494333208934074</v>
      </c>
      <c r="E61" s="15">
        <f>C61/'- 6 -'!C61</f>
        <v>3985.1041009463725</v>
      </c>
      <c r="F61" s="15">
        <v>0</v>
      </c>
      <c r="G61" s="360">
        <f>F61/'- 3 -'!E61</f>
        <v>0</v>
      </c>
      <c r="H61" s="15">
        <f>IF('- 6 -'!D61=0,"",F61/'- 6 -'!D61)</f>
      </c>
      <c r="I61" s="15">
        <v>0</v>
      </c>
      <c r="J61" s="360">
        <f>I61/'- 3 -'!E61</f>
        <v>0</v>
      </c>
      <c r="K61" s="15">
        <f>IF('- 6 -'!E61=0,"",I61/'- 6 -'!E61)</f>
      </c>
    </row>
    <row r="62" spans="1:11" ht="12.75">
      <c r="A62" s="16">
        <v>2460</v>
      </c>
      <c r="B62" s="17" t="s">
        <v>165</v>
      </c>
      <c r="C62" s="17">
        <v>1016750</v>
      </c>
      <c r="D62" s="361">
        <f>C62/'- 3 -'!E62</f>
        <v>0.47269063833110797</v>
      </c>
      <c r="E62" s="17">
        <f>C62/'- 6 -'!C62</f>
        <v>3735.3049228508453</v>
      </c>
      <c r="F62" s="17">
        <v>0</v>
      </c>
      <c r="G62" s="361">
        <f>F62/'- 3 -'!E62</f>
        <v>0</v>
      </c>
      <c r="H62" s="17">
        <f>IF('- 6 -'!D62=0,"",F62/'- 6 -'!D62)</f>
      </c>
      <c r="I62" s="17">
        <v>0</v>
      </c>
      <c r="J62" s="361">
        <f>I62/'- 3 -'!E62</f>
        <v>0</v>
      </c>
      <c r="K62" s="17">
        <f>IF('- 6 -'!E62=0,"",I62/'- 6 -'!E62)</f>
      </c>
    </row>
    <row r="63" spans="1:11" ht="12.75">
      <c r="A63" s="14">
        <v>3000</v>
      </c>
      <c r="B63" s="15" t="s">
        <v>363</v>
      </c>
      <c r="C63" s="15">
        <v>279814</v>
      </c>
      <c r="D63" s="360">
        <f>C63/'- 3 -'!E63</f>
        <v>0.038690715287502016</v>
      </c>
      <c r="E63" s="15">
        <f>C63/'- 6 -'!C63</f>
        <v>3997.342857142857</v>
      </c>
      <c r="F63" s="15">
        <v>0</v>
      </c>
      <c r="G63" s="360">
        <f>F63/'- 3 -'!E63</f>
        <v>0</v>
      </c>
      <c r="H63" s="15">
        <f>IF('- 6 -'!D63=0,"",F63/'- 6 -'!D63)</f>
      </c>
      <c r="I63" s="15">
        <v>0</v>
      </c>
      <c r="J63" s="360">
        <f>I63/'- 3 -'!E63</f>
        <v>0</v>
      </c>
      <c r="K63" s="15">
        <f>IF('- 6 -'!E63=0,"",I63/'- 6 -'!E63)</f>
      </c>
    </row>
    <row r="64" spans="1:11" ht="4.5" customHeight="1">
      <c r="A64" s="18"/>
      <c r="B64" s="18"/>
      <c r="C64" s="18"/>
      <c r="D64" s="198"/>
      <c r="E64" s="18"/>
      <c r="F64" s="18"/>
      <c r="G64" s="198"/>
      <c r="H64" s="18"/>
      <c r="I64" s="18"/>
      <c r="J64" s="198"/>
      <c r="K64" s="18"/>
    </row>
    <row r="65" spans="1:11" ht="12.75">
      <c r="A65" s="20"/>
      <c r="B65" s="21" t="s">
        <v>166</v>
      </c>
      <c r="C65" s="21">
        <f>SUM(C11:C63)</f>
        <v>523167048.39</v>
      </c>
      <c r="D65" s="103">
        <f>C65/'- 3 -'!E65</f>
        <v>0.3871480737679724</v>
      </c>
      <c r="E65" s="21">
        <f>C65/'- 6 -'!C65</f>
        <v>3940.530459462252</v>
      </c>
      <c r="F65" s="21">
        <f>SUM(F11:F63)</f>
        <v>22553837</v>
      </c>
      <c r="G65" s="103">
        <f>F65/'- 3 -'!E65</f>
        <v>0.016690031563527895</v>
      </c>
      <c r="H65" s="21">
        <f>F65/'- 6 -'!D65</f>
        <v>4572.959651257096</v>
      </c>
      <c r="I65" s="21">
        <f>SUM(I11:I63)</f>
        <v>30908064</v>
      </c>
      <c r="J65" s="103">
        <f>I65/'- 3 -'!E65</f>
        <v>0.022872230730741745</v>
      </c>
      <c r="K65" s="21">
        <f>I65/'- 6 -'!E65</f>
        <v>3723.9079988915532</v>
      </c>
    </row>
    <row r="66" spans="1:11" ht="4.5" customHeight="1">
      <c r="A66" s="18"/>
      <c r="B66" s="18"/>
      <c r="C66" s="18"/>
      <c r="D66" s="198"/>
      <c r="E66" s="18"/>
      <c r="F66" s="18"/>
      <c r="G66" s="198"/>
      <c r="H66" s="18"/>
      <c r="I66" s="18"/>
      <c r="J66" s="198"/>
      <c r="K66" s="18"/>
    </row>
    <row r="67" spans="1:11" ht="12.75">
      <c r="A67" s="16">
        <v>2155</v>
      </c>
      <c r="B67" s="17" t="s">
        <v>167</v>
      </c>
      <c r="C67" s="17">
        <v>841444</v>
      </c>
      <c r="D67" s="361">
        <f>C67/'- 3 -'!E67</f>
        <v>0.6343894377495507</v>
      </c>
      <c r="E67" s="17">
        <f>C67/'- 6 -'!C67</f>
        <v>5925.661971830986</v>
      </c>
      <c r="F67" s="17">
        <v>0</v>
      </c>
      <c r="G67" s="361">
        <f>F67/'- 3 -'!E67</f>
        <v>0</v>
      </c>
      <c r="H67" s="17">
        <f>IF('- 6 -'!D67=0,"",F67/'- 6 -'!D67)</f>
      </c>
      <c r="I67" s="17">
        <v>0</v>
      </c>
      <c r="J67" s="361">
        <f>I67/'- 3 -'!E67</f>
        <v>0</v>
      </c>
      <c r="K67" s="17">
        <f>IF('- 6 -'!E67=0,"",I67/'- 6 -'!E67)</f>
      </c>
    </row>
    <row r="68" spans="1:11" ht="12.75">
      <c r="A68" s="14">
        <v>2408</v>
      </c>
      <c r="B68" s="15" t="s">
        <v>169</v>
      </c>
      <c r="C68" s="15">
        <v>1297149</v>
      </c>
      <c r="D68" s="360">
        <f>C68/'- 3 -'!E68</f>
        <v>0.5645755397562202</v>
      </c>
      <c r="E68" s="15">
        <f>C68/'- 6 -'!C68</f>
        <v>5316.184426229508</v>
      </c>
      <c r="F68" s="15">
        <v>0</v>
      </c>
      <c r="G68" s="360">
        <f>F68/'- 3 -'!E68</f>
        <v>0</v>
      </c>
      <c r="H68" s="15">
        <f>IF('- 6 -'!D68=0,"",F68/'- 6 -'!D68)</f>
      </c>
      <c r="I68" s="15">
        <v>0</v>
      </c>
      <c r="J68" s="360">
        <f>I68/'- 3 -'!E68</f>
        <v>0</v>
      </c>
      <c r="K68" s="15">
        <f>IF('- 6 -'!E68=0,"",I68/'- 6 -'!E68)</f>
      </c>
    </row>
    <row r="69" spans="9:11" ht="6.75" customHeight="1">
      <c r="I69" s="90"/>
      <c r="J69" s="90"/>
      <c r="K69" s="90"/>
    </row>
    <row r="70" spans="1:11" ht="12" customHeight="1">
      <c r="A70" s="396" t="s">
        <v>351</v>
      </c>
      <c r="B70" s="56" t="s">
        <v>339</v>
      </c>
      <c r="C70" s="56"/>
      <c r="D70" s="56"/>
      <c r="E70" s="56"/>
      <c r="F70" s="56"/>
      <c r="G70" s="56"/>
      <c r="H70" s="56"/>
      <c r="I70" s="18"/>
      <c r="J70" s="90"/>
      <c r="K70" s="90"/>
    </row>
    <row r="71" spans="1:8" ht="12" customHeight="1">
      <c r="A71" s="7"/>
      <c r="B71" s="7"/>
      <c r="C71" s="7"/>
      <c r="D71" s="7"/>
      <c r="E71" s="7"/>
      <c r="F71" s="7"/>
      <c r="G71" s="7"/>
      <c r="H71" s="7"/>
    </row>
    <row r="72" spans="1:8" ht="12" customHeight="1">
      <c r="A72" s="7"/>
      <c r="B72" s="7"/>
      <c r="C72" s="7"/>
      <c r="D72" s="7"/>
      <c r="E72" s="7"/>
      <c r="F72" s="7"/>
      <c r="G72" s="7"/>
      <c r="H72" s="7"/>
    </row>
    <row r="73" spans="1:8" ht="12" customHeight="1">
      <c r="A73" s="7"/>
      <c r="B73" s="7"/>
      <c r="C73" s="7"/>
      <c r="D73" s="7"/>
      <c r="E73" s="7"/>
      <c r="F73" s="7"/>
      <c r="G73" s="7"/>
      <c r="H73" s="7"/>
    </row>
    <row r="74" spans="1:8" ht="12" customHeight="1">
      <c r="A74" s="7"/>
      <c r="B74" s="7"/>
      <c r="C74" s="7"/>
      <c r="D74" s="7"/>
      <c r="E74" s="7"/>
      <c r="F74" s="7"/>
      <c r="G74" s="7"/>
      <c r="H74" s="7"/>
    </row>
    <row r="75" ht="12" customHeight="1"/>
  </sheetData>
  <printOptions horizontalCentered="1"/>
  <pageMargins left="0.5" right="0.5" top="0.6" bottom="0" header="0.3" footer="0"/>
  <pageSetup fitToHeight="1" fitToWidth="1" horizontalDpi="300" verticalDpi="300" orientation="portrait" scale="81"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0.83203125" style="82" customWidth="1"/>
    <col min="7" max="8" width="13.83203125" style="82" customWidth="1"/>
    <col min="9" max="9" width="14.83203125" style="82" customWidth="1"/>
    <col min="10" max="10" width="13.83203125" style="82" customWidth="1"/>
    <col min="11" max="16384" width="15.83203125" style="82" customWidth="1"/>
  </cols>
  <sheetData>
    <row r="1" spans="1:10" ht="6.75" customHeight="1">
      <c r="A1" s="18"/>
      <c r="B1" s="80"/>
      <c r="C1" s="81"/>
      <c r="D1" s="81"/>
      <c r="E1" s="81"/>
      <c r="F1" s="81"/>
      <c r="G1" s="81"/>
      <c r="H1" s="81"/>
      <c r="I1" s="81"/>
      <c r="J1" s="81"/>
    </row>
    <row r="2" spans="1:10" ht="12.75">
      <c r="A2" s="9"/>
      <c r="B2" s="83"/>
      <c r="C2" s="84" t="s">
        <v>0</v>
      </c>
      <c r="D2" s="84"/>
      <c r="E2" s="84"/>
      <c r="F2" s="84"/>
      <c r="G2" s="84"/>
      <c r="H2" s="84"/>
      <c r="I2" s="242"/>
      <c r="J2" s="85" t="s">
        <v>423</v>
      </c>
    </row>
    <row r="3" spans="1:10" ht="12.75">
      <c r="A3" s="10"/>
      <c r="B3" s="86"/>
      <c r="C3" s="87" t="str">
        <f>YEAR</f>
        <v>OPERATING FUND BUDGET 2002/2003</v>
      </c>
      <c r="D3" s="87"/>
      <c r="E3" s="87"/>
      <c r="F3" s="87"/>
      <c r="G3" s="87"/>
      <c r="H3" s="87"/>
      <c r="I3" s="88"/>
      <c r="J3" s="243"/>
    </row>
    <row r="4" spans="1:10" ht="12.75">
      <c r="A4" s="11"/>
      <c r="C4" s="81"/>
      <c r="D4" s="81"/>
      <c r="E4" s="81"/>
      <c r="F4" s="81"/>
      <c r="G4" s="81"/>
      <c r="H4" s="81"/>
      <c r="I4" s="81"/>
      <c r="J4" s="81"/>
    </row>
    <row r="5" spans="1:10" ht="16.5">
      <c r="A5" s="11"/>
      <c r="C5" s="337" t="s">
        <v>326</v>
      </c>
      <c r="D5" s="244"/>
      <c r="E5" s="244"/>
      <c r="F5" s="244"/>
      <c r="G5" s="244"/>
      <c r="H5" s="244"/>
      <c r="I5" s="244"/>
      <c r="J5" s="89"/>
    </row>
    <row r="6" spans="1:10" ht="16.5">
      <c r="A6" s="11"/>
      <c r="C6" s="39" t="s">
        <v>400</v>
      </c>
      <c r="D6" s="40"/>
      <c r="E6" s="40"/>
      <c r="F6" s="40"/>
      <c r="G6" s="40"/>
      <c r="H6" s="40"/>
      <c r="I6" s="40"/>
      <c r="J6" s="41"/>
    </row>
    <row r="7" spans="3:10" ht="12.75">
      <c r="C7" s="95"/>
      <c r="D7" s="51"/>
      <c r="E7" s="51"/>
      <c r="F7" s="245" t="s">
        <v>301</v>
      </c>
      <c r="G7" s="246" t="s">
        <v>302</v>
      </c>
      <c r="H7" s="246"/>
      <c r="I7" s="246"/>
      <c r="J7" s="247"/>
    </row>
    <row r="8" spans="1:10" ht="12.75">
      <c r="A8" s="94"/>
      <c r="B8" s="46"/>
      <c r="C8" s="248"/>
      <c r="D8" s="249"/>
      <c r="E8" s="49" t="s">
        <v>75</v>
      </c>
      <c r="F8" s="250" t="s">
        <v>303</v>
      </c>
      <c r="G8" s="249"/>
      <c r="H8" s="251"/>
      <c r="I8" s="252" t="s">
        <v>86</v>
      </c>
      <c r="J8" s="249"/>
    </row>
    <row r="9" spans="1:10" ht="12.75">
      <c r="A9" s="52" t="s">
        <v>100</v>
      </c>
      <c r="B9" s="53" t="s">
        <v>101</v>
      </c>
      <c r="C9" s="96" t="s">
        <v>102</v>
      </c>
      <c r="D9" s="54" t="s">
        <v>103</v>
      </c>
      <c r="E9" s="54" t="s">
        <v>104</v>
      </c>
      <c r="F9" s="253" t="s">
        <v>108</v>
      </c>
      <c r="G9" s="54" t="s">
        <v>85</v>
      </c>
      <c r="H9" s="254" t="s">
        <v>40</v>
      </c>
      <c r="I9" s="54" t="s">
        <v>106</v>
      </c>
      <c r="J9" s="54" t="s">
        <v>57</v>
      </c>
    </row>
    <row r="10" spans="1:10" ht="4.5" customHeight="1">
      <c r="A10" s="77"/>
      <c r="B10" s="77"/>
      <c r="C10" s="90"/>
      <c r="D10" s="90"/>
      <c r="E10" s="90"/>
      <c r="F10" s="90"/>
      <c r="G10" s="90"/>
      <c r="H10" s="90"/>
      <c r="I10" s="90"/>
      <c r="J10" s="90"/>
    </row>
    <row r="11" spans="1:10" ht="12.75">
      <c r="A11" s="14">
        <v>1</v>
      </c>
      <c r="B11" s="15" t="s">
        <v>115</v>
      </c>
      <c r="C11" s="15">
        <v>18919100</v>
      </c>
      <c r="D11" s="360">
        <f>C11/'- 3 -'!E11</f>
        <v>0.07443848794546688</v>
      </c>
      <c r="E11" s="362">
        <f>IF(F11=0,"",C11/F11)</f>
        <v>3461.549720977038</v>
      </c>
      <c r="F11" s="348">
        <f>SUM('- 6 -'!F11:I11)</f>
        <v>5465.5</v>
      </c>
      <c r="G11" s="360">
        <f>IF(F11=0,"",'- 6 -'!F11/F11)</f>
        <v>0.6422102277925167</v>
      </c>
      <c r="H11" s="360">
        <f>IF(F11=0,"",'- 6 -'!G11/F11)</f>
        <v>0</v>
      </c>
      <c r="I11" s="360">
        <f>IF(F11=0,"",'- 6 -'!H11/F11)</f>
        <v>0.3037233555941817</v>
      </c>
      <c r="J11" s="360">
        <f>IF(F11=0,"",'- 6 -'!I11/F11)</f>
        <v>0.05406641661330162</v>
      </c>
    </row>
    <row r="12" spans="1:10" ht="12.75">
      <c r="A12" s="16">
        <v>2</v>
      </c>
      <c r="B12" s="17" t="s">
        <v>116</v>
      </c>
      <c r="C12" s="17">
        <v>5281427</v>
      </c>
      <c r="D12" s="361">
        <f>C12/'- 3 -'!E12</f>
        <v>0.08408311063697653</v>
      </c>
      <c r="E12" s="363">
        <f aca="true" t="shared" si="0" ref="E12:E63">IF(F12=0,"",C12/F12)</f>
        <v>3756.3492176386912</v>
      </c>
      <c r="F12" s="349">
        <f>SUM('- 6 -'!F12:I12)</f>
        <v>1406</v>
      </c>
      <c r="G12" s="361">
        <f>IF(F12=0,"",'- 6 -'!F12/F12)</f>
        <v>0.6394025604551921</v>
      </c>
      <c r="H12" s="361">
        <f>IF(F12=0,"",'- 6 -'!G12/F12)</f>
        <v>0</v>
      </c>
      <c r="I12" s="361">
        <f>IF(F12=0,"",'- 6 -'!H12/F12)</f>
        <v>0.36059743954480794</v>
      </c>
      <c r="J12" s="361">
        <f>IF(F12=0,"",'- 6 -'!I12/F12)</f>
        <v>0</v>
      </c>
    </row>
    <row r="13" spans="1:10" ht="12.75">
      <c r="A13" s="14">
        <v>3</v>
      </c>
      <c r="B13" s="15" t="s">
        <v>117</v>
      </c>
      <c r="C13" s="15">
        <v>8988157</v>
      </c>
      <c r="D13" s="360">
        <f>C13/'- 3 -'!E13</f>
        <v>0.20276495003311906</v>
      </c>
      <c r="E13" s="362">
        <f t="shared" si="0"/>
        <v>3955.184598459846</v>
      </c>
      <c r="F13" s="348">
        <f>SUM('- 6 -'!F13:I13)</f>
        <v>2272.5</v>
      </c>
      <c r="G13" s="360">
        <f>IF(F13=0,"",'- 6 -'!F13/F13)</f>
        <v>0.6321232123212321</v>
      </c>
      <c r="H13" s="360">
        <f>IF(F13=0,"",'- 6 -'!G13/F13)</f>
        <v>0</v>
      </c>
      <c r="I13" s="360">
        <f>IF(F13=0,"",'- 6 -'!H13/F13)</f>
        <v>0.36787678767876786</v>
      </c>
      <c r="J13" s="360">
        <f>IF(F13=0,"",'- 6 -'!I13/F13)</f>
        <v>0</v>
      </c>
    </row>
    <row r="14" spans="1:10" ht="12.75">
      <c r="A14" s="16">
        <v>4</v>
      </c>
      <c r="B14" s="17" t="s">
        <v>118</v>
      </c>
      <c r="C14" s="17">
        <v>0</v>
      </c>
      <c r="D14" s="361">
        <f>C14/'- 3 -'!E14</f>
        <v>0</v>
      </c>
      <c r="E14" s="363">
        <f t="shared" si="0"/>
      </c>
      <c r="F14" s="349">
        <f>SUM('- 6 -'!F14:I14)</f>
        <v>0</v>
      </c>
      <c r="G14" s="361">
        <f>IF(F14=0,"",'- 6 -'!F14/F14)</f>
      </c>
      <c r="H14" s="361">
        <f>IF(F14=0,"",'- 6 -'!G14/F14)</f>
      </c>
      <c r="I14" s="361">
        <f>IF(F14=0,"",'- 6 -'!H14/F14)</f>
      </c>
      <c r="J14" s="361">
        <f>IF(F14=0,"",'- 6 -'!I14/F14)</f>
      </c>
    </row>
    <row r="15" spans="1:10" ht="12.75">
      <c r="A15" s="14">
        <v>5</v>
      </c>
      <c r="B15" s="15" t="s">
        <v>119</v>
      </c>
      <c r="C15" s="15">
        <v>4167173</v>
      </c>
      <c r="D15" s="360">
        <f>C15/'- 3 -'!E15</f>
        <v>0.07687618767349347</v>
      </c>
      <c r="E15" s="362">
        <f t="shared" si="0"/>
        <v>4003.0480307396733</v>
      </c>
      <c r="F15" s="348">
        <f>SUM('- 6 -'!F15:I15)</f>
        <v>1041</v>
      </c>
      <c r="G15" s="360">
        <f>IF(F15=0,"",'- 6 -'!F15/F15)</f>
        <v>0.8232468780019212</v>
      </c>
      <c r="H15" s="360">
        <f>IF(F15=0,"",'- 6 -'!G15/F15)</f>
        <v>0</v>
      </c>
      <c r="I15" s="360">
        <f>IF(F15=0,"",'- 6 -'!H15/F15)</f>
        <v>0.17675312199807877</v>
      </c>
      <c r="J15" s="360">
        <f>IF(F15=0,"",'- 6 -'!I15/F15)</f>
        <v>0</v>
      </c>
    </row>
    <row r="16" spans="1:10" ht="12.75">
      <c r="A16" s="16">
        <v>6</v>
      </c>
      <c r="B16" s="17" t="s">
        <v>120</v>
      </c>
      <c r="C16" s="17">
        <v>0</v>
      </c>
      <c r="D16" s="361">
        <f>C16/'- 3 -'!E16</f>
        <v>0</v>
      </c>
      <c r="E16" s="363">
        <f t="shared" si="0"/>
      </c>
      <c r="F16" s="349">
        <f>SUM('- 6 -'!F16:I16)</f>
        <v>0</v>
      </c>
      <c r="G16" s="361">
        <f>IF(F16=0,"",'- 6 -'!F16/F16)</f>
      </c>
      <c r="H16" s="361">
        <f>IF(F16=0,"",'- 6 -'!G16/F16)</f>
      </c>
      <c r="I16" s="361">
        <f>IF(F16=0,"",'- 6 -'!H16/F16)</f>
      </c>
      <c r="J16" s="361">
        <f>IF(F16=0,"",'- 6 -'!I16/F16)</f>
      </c>
    </row>
    <row r="17" spans="1:10" ht="12.75">
      <c r="A17" s="14">
        <v>9</v>
      </c>
      <c r="B17" s="15" t="s">
        <v>121</v>
      </c>
      <c r="C17" s="15">
        <v>17350600</v>
      </c>
      <c r="D17" s="360">
        <f>C17/'- 3 -'!E17</f>
        <v>0.2068358690871738</v>
      </c>
      <c r="E17" s="362">
        <f t="shared" si="0"/>
        <v>3740.159517137314</v>
      </c>
      <c r="F17" s="348">
        <f>SUM('- 6 -'!F17:I17)</f>
        <v>4639</v>
      </c>
      <c r="G17" s="360">
        <f>IF(F17=0,"",'- 6 -'!F17/F17)</f>
        <v>0.6311705108859668</v>
      </c>
      <c r="H17" s="360">
        <f>IF(F17=0,"",'- 6 -'!G17/F17)</f>
        <v>0</v>
      </c>
      <c r="I17" s="360">
        <f>IF(F17=0,"",'- 6 -'!H17/F17)</f>
        <v>0.24056908816555292</v>
      </c>
      <c r="J17" s="360">
        <f>IF(F17=0,"",'- 6 -'!I17/F17)</f>
        <v>0.12826040094848026</v>
      </c>
    </row>
    <row r="18" spans="1:10" ht="12.75">
      <c r="A18" s="16">
        <v>10</v>
      </c>
      <c r="B18" s="17" t="s">
        <v>122</v>
      </c>
      <c r="C18" s="17">
        <v>13617815</v>
      </c>
      <c r="D18" s="361">
        <f>C18/'- 3 -'!E18</f>
        <v>0.21983231464310865</v>
      </c>
      <c r="E18" s="363">
        <f t="shared" si="0"/>
        <v>3720.714480874317</v>
      </c>
      <c r="F18" s="349">
        <f>SUM('- 6 -'!F18:I18)</f>
        <v>3660</v>
      </c>
      <c r="G18" s="361">
        <f>IF(F18=0,"",'- 6 -'!F18/F18)</f>
        <v>0.7441256830601093</v>
      </c>
      <c r="H18" s="361">
        <f>IF(F18=0,"",'- 6 -'!G18/F18)</f>
        <v>0</v>
      </c>
      <c r="I18" s="361">
        <f>IF(F18=0,"",'- 6 -'!H18/F18)</f>
        <v>0.1867486338797814</v>
      </c>
      <c r="J18" s="361">
        <f>IF(F18=0,"",'- 6 -'!I18/F18)</f>
        <v>0.06912568306010929</v>
      </c>
    </row>
    <row r="19" spans="1:10" ht="12.75">
      <c r="A19" s="14">
        <v>11</v>
      </c>
      <c r="B19" s="15" t="s">
        <v>123</v>
      </c>
      <c r="C19" s="15">
        <v>3971895</v>
      </c>
      <c r="D19" s="360">
        <f>C19/'- 3 -'!E19</f>
        <v>0.11908433954565065</v>
      </c>
      <c r="E19" s="362">
        <f t="shared" si="0"/>
        <v>3610.8136363636363</v>
      </c>
      <c r="F19" s="348">
        <f>SUM('- 6 -'!F19:I19)</f>
        <v>1100</v>
      </c>
      <c r="G19" s="360">
        <f>IF(F19=0,"",'- 6 -'!F19/F19)</f>
        <v>0.8327272727272728</v>
      </c>
      <c r="H19" s="360">
        <f>IF(F19=0,"",'- 6 -'!G19/F19)</f>
        <v>0</v>
      </c>
      <c r="I19" s="360">
        <f>IF(F19=0,"",'- 6 -'!H19/F19)</f>
        <v>0.05454545454545454</v>
      </c>
      <c r="J19" s="360">
        <f>IF(F19=0,"",'- 6 -'!I19/F19)</f>
        <v>0.11272727272727273</v>
      </c>
    </row>
    <row r="20" spans="1:10" ht="12.75">
      <c r="A20" s="16">
        <v>12</v>
      </c>
      <c r="B20" s="17" t="s">
        <v>124</v>
      </c>
      <c r="C20" s="17">
        <v>4894074</v>
      </c>
      <c r="D20" s="361">
        <f>C20/'- 3 -'!E20</f>
        <v>0.09348870026386567</v>
      </c>
      <c r="E20" s="363">
        <f t="shared" si="0"/>
        <v>3773.3801079414034</v>
      </c>
      <c r="F20" s="349">
        <f>SUM('- 6 -'!F20:I20)</f>
        <v>1297</v>
      </c>
      <c r="G20" s="361">
        <f>IF(F20=0,"",'- 6 -'!F20/F20)</f>
        <v>0.7367000771010023</v>
      </c>
      <c r="H20" s="361">
        <f>IF(F20=0,"",'- 6 -'!G20/F20)</f>
        <v>0</v>
      </c>
      <c r="I20" s="361">
        <f>IF(F20=0,"",'- 6 -'!H20/F20)</f>
        <v>0.1592135697764071</v>
      </c>
      <c r="J20" s="361">
        <f>IF(F20=0,"",'- 6 -'!I20/F20)</f>
        <v>0.1040863531225906</v>
      </c>
    </row>
    <row r="21" spans="1:10" ht="12.75">
      <c r="A21" s="14">
        <v>13</v>
      </c>
      <c r="B21" s="15" t="s">
        <v>125</v>
      </c>
      <c r="C21" s="15">
        <v>3317082.61</v>
      </c>
      <c r="D21" s="360">
        <f>C21/'- 3 -'!E21</f>
        <v>0.1578502243777682</v>
      </c>
      <c r="E21" s="362">
        <f t="shared" si="0"/>
        <v>3861.5629918509894</v>
      </c>
      <c r="F21" s="348">
        <f>SUM('- 6 -'!F21:I21)</f>
        <v>859</v>
      </c>
      <c r="G21" s="360">
        <f>IF(F21=0,"",'- 6 -'!F21/F21)</f>
        <v>0</v>
      </c>
      <c r="H21" s="360">
        <f>IF(F21=0,"",'- 6 -'!G21/F21)</f>
        <v>0</v>
      </c>
      <c r="I21" s="360">
        <f>IF(F21=0,"",'- 6 -'!H21/F21)</f>
        <v>1</v>
      </c>
      <c r="J21" s="360">
        <f>IF(F21=0,"",'- 6 -'!I21/F21)</f>
        <v>0</v>
      </c>
    </row>
    <row r="22" spans="1:10" ht="12.75">
      <c r="A22" s="16">
        <v>14</v>
      </c>
      <c r="B22" s="17" t="s">
        <v>126</v>
      </c>
      <c r="C22" s="17">
        <v>4259288</v>
      </c>
      <c r="D22" s="361">
        <f>C22/'- 3 -'!E22</f>
        <v>0.17892073188123708</v>
      </c>
      <c r="E22" s="363">
        <f t="shared" si="0"/>
        <v>3540.5552784704905</v>
      </c>
      <c r="F22" s="349">
        <f>SUM('- 6 -'!F22:I22)</f>
        <v>1203</v>
      </c>
      <c r="G22" s="361">
        <f>IF(F22=0,"",'- 6 -'!F22/F22)</f>
        <v>0.6450540315876975</v>
      </c>
      <c r="H22" s="361">
        <f>IF(F22=0,"",'- 6 -'!G22/F22)</f>
        <v>0.3549459684123026</v>
      </c>
      <c r="I22" s="361">
        <f>IF(F22=0,"",'- 6 -'!H22/F22)</f>
        <v>0</v>
      </c>
      <c r="J22" s="361">
        <f>IF(F22=0,"",'- 6 -'!I22/F22)</f>
        <v>0</v>
      </c>
    </row>
    <row r="23" spans="1:10" ht="12.75">
      <c r="A23" s="14">
        <v>15</v>
      </c>
      <c r="B23" s="15" t="s">
        <v>127</v>
      </c>
      <c r="C23" s="15">
        <v>0</v>
      </c>
      <c r="D23" s="360">
        <f>C23/'- 3 -'!E23</f>
        <v>0</v>
      </c>
      <c r="E23" s="362">
        <f t="shared" si="0"/>
      </c>
      <c r="F23" s="348">
        <f>SUM('- 6 -'!F23:I23)</f>
        <v>0</v>
      </c>
      <c r="G23" s="360">
        <f>IF(F23=0,"",'- 6 -'!F23/F23)</f>
      </c>
      <c r="H23" s="360">
        <f>IF(F23=0,"",'- 6 -'!G23/F23)</f>
      </c>
      <c r="I23" s="360">
        <f>IF(F23=0,"",'- 6 -'!H23/F23)</f>
      </c>
      <c r="J23" s="360">
        <f>IF(F23=0,"",'- 6 -'!I23/F23)</f>
      </c>
    </row>
    <row r="24" spans="1:10" ht="12.75">
      <c r="A24" s="16">
        <v>16</v>
      </c>
      <c r="B24" s="17" t="s">
        <v>128</v>
      </c>
      <c r="C24" s="17">
        <v>0</v>
      </c>
      <c r="D24" s="361">
        <f>C24/'- 3 -'!E24</f>
        <v>0</v>
      </c>
      <c r="E24" s="363">
        <f t="shared" si="0"/>
      </c>
      <c r="F24" s="349">
        <f>SUM('- 6 -'!F24:I24)</f>
        <v>0</v>
      </c>
      <c r="G24" s="361">
        <f>IF(F24=0,"",'- 6 -'!F24/F24)</f>
      </c>
      <c r="H24" s="361">
        <f>IF(F24=0,"",'- 6 -'!G24/F24)</f>
      </c>
      <c r="I24" s="361">
        <f>IF(F24=0,"",'- 6 -'!H24/F24)</f>
      </c>
      <c r="J24" s="361">
        <f>IF(F24=0,"",'- 6 -'!I24/F24)</f>
      </c>
    </row>
    <row r="25" spans="1:10" ht="12.75">
      <c r="A25" s="14">
        <v>17</v>
      </c>
      <c r="B25" s="15" t="s">
        <v>129</v>
      </c>
      <c r="C25" s="15">
        <v>0</v>
      </c>
      <c r="D25" s="360">
        <f>C25/'- 3 -'!E25</f>
        <v>0</v>
      </c>
      <c r="E25" s="362">
        <f t="shared" si="0"/>
      </c>
      <c r="F25" s="348">
        <f>SUM('- 6 -'!F25:I25)</f>
        <v>0</v>
      </c>
      <c r="G25" s="360">
        <f>IF(F25=0,"",'- 6 -'!F25/F25)</f>
      </c>
      <c r="H25" s="360">
        <f>IF(F25=0,"",'- 6 -'!G25/F25)</f>
      </c>
      <c r="I25" s="360">
        <f>IF(F25=0,"",'- 6 -'!H25/F25)</f>
      </c>
      <c r="J25" s="360">
        <f>IF(F25=0,"",'- 6 -'!I25/F25)</f>
      </c>
    </row>
    <row r="26" spans="1:10" ht="12.75">
      <c r="A26" s="16">
        <v>18</v>
      </c>
      <c r="B26" s="17" t="s">
        <v>130</v>
      </c>
      <c r="C26" s="17">
        <v>0</v>
      </c>
      <c r="D26" s="361">
        <f>C26/'- 3 -'!E26</f>
        <v>0</v>
      </c>
      <c r="E26" s="363">
        <f t="shared" si="0"/>
      </c>
      <c r="F26" s="349">
        <f>SUM('- 6 -'!F26:I26)</f>
        <v>0</v>
      </c>
      <c r="G26" s="361">
        <f>IF(F26=0,"",'- 6 -'!F26/F26)</f>
      </c>
      <c r="H26" s="361">
        <f>IF(F26=0,"",'- 6 -'!G26/F26)</f>
      </c>
      <c r="I26" s="361">
        <f>IF(F26=0,"",'- 6 -'!H26/F26)</f>
      </c>
      <c r="J26" s="361">
        <f>IF(F26=0,"",'- 6 -'!I26/F26)</f>
      </c>
    </row>
    <row r="27" spans="1:10" ht="12.75">
      <c r="A27" s="14">
        <v>19</v>
      </c>
      <c r="B27" s="15" t="s">
        <v>131</v>
      </c>
      <c r="C27" s="15">
        <v>0</v>
      </c>
      <c r="D27" s="360">
        <f>C27/'- 3 -'!E27</f>
        <v>0</v>
      </c>
      <c r="E27" s="362">
        <f t="shared" si="0"/>
      </c>
      <c r="F27" s="348">
        <f>SUM('- 6 -'!F27:I27)</f>
        <v>0</v>
      </c>
      <c r="G27" s="360">
        <f>IF(F27=0,"",'- 6 -'!F27/F27)</f>
      </c>
      <c r="H27" s="360">
        <f>IF(F27=0,"",'- 6 -'!G27/F27)</f>
      </c>
      <c r="I27" s="360">
        <f>IF(F27=0,"",'- 6 -'!H27/F27)</f>
      </c>
      <c r="J27" s="360">
        <f>IF(F27=0,"",'- 6 -'!I27/F27)</f>
      </c>
    </row>
    <row r="28" spans="1:10" ht="12.75">
      <c r="A28" s="16">
        <v>20</v>
      </c>
      <c r="B28" s="17" t="s">
        <v>132</v>
      </c>
      <c r="C28" s="17">
        <v>1971100</v>
      </c>
      <c r="D28" s="361">
        <f>C28/'- 3 -'!E28</f>
        <v>0.24941006945547217</v>
      </c>
      <c r="E28" s="363">
        <f t="shared" si="0"/>
        <v>4833.496812162824</v>
      </c>
      <c r="F28" s="349">
        <f>SUM('- 6 -'!F28:I28)</f>
        <v>407.8</v>
      </c>
      <c r="G28" s="361">
        <f>IF(F28=0,"",'- 6 -'!F28/F28)</f>
        <v>0.6542422756253066</v>
      </c>
      <c r="H28" s="361">
        <f>IF(F28=0,"",'- 6 -'!G28/F28)</f>
        <v>0</v>
      </c>
      <c r="I28" s="361">
        <f>IF(F28=0,"",'- 6 -'!H28/F28)</f>
        <v>0.3457577243746935</v>
      </c>
      <c r="J28" s="361">
        <f>IF(F28=0,"",'- 6 -'!I28/F28)</f>
        <v>0</v>
      </c>
    </row>
    <row r="29" spans="1:10" ht="12.75">
      <c r="A29" s="14">
        <v>21</v>
      </c>
      <c r="B29" s="15" t="s">
        <v>133</v>
      </c>
      <c r="C29" s="15">
        <v>0</v>
      </c>
      <c r="D29" s="360">
        <f>C29/'- 3 -'!E29</f>
        <v>0</v>
      </c>
      <c r="E29" s="362">
        <f t="shared" si="0"/>
      </c>
      <c r="F29" s="348">
        <f>SUM('- 6 -'!F29:I29)</f>
        <v>0</v>
      </c>
      <c r="G29" s="360">
        <f>IF(F29=0,"",'- 6 -'!F29/F29)</f>
      </c>
      <c r="H29" s="360">
        <f>IF(F29=0,"",'- 6 -'!G29/F29)</f>
      </c>
      <c r="I29" s="360">
        <f>IF(F29=0,"",'- 6 -'!H29/F29)</f>
      </c>
      <c r="J29" s="360">
        <f>IF(F29=0,"",'- 6 -'!I29/F29)</f>
      </c>
    </row>
    <row r="30" spans="1:10" ht="12.75">
      <c r="A30" s="16">
        <v>22</v>
      </c>
      <c r="B30" s="17" t="s">
        <v>134</v>
      </c>
      <c r="C30" s="17">
        <v>0</v>
      </c>
      <c r="D30" s="361">
        <f>C30/'- 3 -'!E30</f>
        <v>0</v>
      </c>
      <c r="E30" s="363">
        <f t="shared" si="0"/>
      </c>
      <c r="F30" s="349">
        <f>SUM('- 6 -'!F30:I30)</f>
        <v>0</v>
      </c>
      <c r="G30" s="361">
        <f>IF(F30=0,"",'- 6 -'!F30/F30)</f>
      </c>
      <c r="H30" s="361">
        <f>IF(F30=0,"",'- 6 -'!G30/F30)</f>
      </c>
      <c r="I30" s="361">
        <f>IF(F30=0,"",'- 6 -'!H30/F30)</f>
      </c>
      <c r="J30" s="361">
        <f>IF(F30=0,"",'- 6 -'!I30/F30)</f>
      </c>
    </row>
    <row r="31" spans="1:10" ht="12.75">
      <c r="A31" s="14">
        <v>23</v>
      </c>
      <c r="B31" s="15" t="s">
        <v>135</v>
      </c>
      <c r="C31" s="15">
        <v>0</v>
      </c>
      <c r="D31" s="360">
        <f>C31/'- 3 -'!E31</f>
        <v>0</v>
      </c>
      <c r="E31" s="362">
        <f t="shared" si="0"/>
      </c>
      <c r="F31" s="348">
        <f>SUM('- 6 -'!F31:I31)</f>
        <v>0</v>
      </c>
      <c r="G31" s="360">
        <f>IF(F31=0,"",'- 6 -'!F31/F31)</f>
      </c>
      <c r="H31" s="360">
        <f>IF(F31=0,"",'- 6 -'!G31/F31)</f>
      </c>
      <c r="I31" s="360">
        <f>IF(F31=0,"",'- 6 -'!H31/F31)</f>
      </c>
      <c r="J31" s="360">
        <f>IF(F31=0,"",'- 6 -'!I31/F31)</f>
      </c>
    </row>
    <row r="32" spans="1:10" ht="12.75">
      <c r="A32" s="16">
        <v>24</v>
      </c>
      <c r="B32" s="17" t="s">
        <v>136</v>
      </c>
      <c r="C32" s="17">
        <v>1875105</v>
      </c>
      <c r="D32" s="361">
        <f>C32/'- 3 -'!E32</f>
        <v>0.08019766955628709</v>
      </c>
      <c r="E32" s="363">
        <f t="shared" si="0"/>
        <v>3830.6537282941777</v>
      </c>
      <c r="F32" s="349">
        <f>SUM('- 6 -'!F32:I32)</f>
        <v>489.5</v>
      </c>
      <c r="G32" s="361">
        <f>IF(F32=0,"",'- 6 -'!F32/F32)</f>
        <v>0.5485188968335035</v>
      </c>
      <c r="H32" s="361">
        <f>IF(F32=0,"",'- 6 -'!G32/F32)</f>
        <v>0</v>
      </c>
      <c r="I32" s="361">
        <f>IF(F32=0,"",'- 6 -'!H32/F32)</f>
        <v>0.4514811031664964</v>
      </c>
      <c r="J32" s="361">
        <f>IF(F32=0,"",'- 6 -'!I32/F32)</f>
        <v>0</v>
      </c>
    </row>
    <row r="33" spans="1:10" ht="12.75">
      <c r="A33" s="14">
        <v>25</v>
      </c>
      <c r="B33" s="15" t="s">
        <v>137</v>
      </c>
      <c r="C33" s="15">
        <v>0</v>
      </c>
      <c r="D33" s="360">
        <f>C33/'- 3 -'!E33</f>
        <v>0</v>
      </c>
      <c r="E33" s="362">
        <f t="shared" si="0"/>
      </c>
      <c r="F33" s="348">
        <f>SUM('- 6 -'!F33:I33)</f>
        <v>0</v>
      </c>
      <c r="G33" s="360">
        <f>IF(F33=0,"",'- 6 -'!F33/F33)</f>
      </c>
      <c r="H33" s="360">
        <f>IF(F33=0,"",'- 6 -'!G33/F33)</f>
      </c>
      <c r="I33" s="360">
        <f>IF(F33=0,"",'- 6 -'!H33/F33)</f>
      </c>
      <c r="J33" s="360">
        <f>IF(F33=0,"",'- 6 -'!I33/F33)</f>
      </c>
    </row>
    <row r="34" spans="1:10" ht="12.75">
      <c r="A34" s="16">
        <v>26</v>
      </c>
      <c r="B34" s="17" t="s">
        <v>138</v>
      </c>
      <c r="C34" s="17">
        <v>0</v>
      </c>
      <c r="D34" s="361">
        <f>C34/'- 3 -'!E34</f>
        <v>0</v>
      </c>
      <c r="E34" s="363">
        <f t="shared" si="0"/>
      </c>
      <c r="F34" s="349">
        <f>SUM('- 6 -'!F34:I34)</f>
        <v>0</v>
      </c>
      <c r="G34" s="361">
        <f>IF(F34=0,"",'- 6 -'!F34/F34)</f>
      </c>
      <c r="H34" s="361">
        <f>IF(F34=0,"",'- 6 -'!G34/F34)</f>
      </c>
      <c r="I34" s="361">
        <f>IF(F34=0,"",'- 6 -'!H34/F34)</f>
      </c>
      <c r="J34" s="361">
        <f>IF(F34=0,"",'- 6 -'!I34/F34)</f>
      </c>
    </row>
    <row r="35" spans="1:10" ht="12.75">
      <c r="A35" s="14">
        <v>28</v>
      </c>
      <c r="B35" s="15" t="s">
        <v>139</v>
      </c>
      <c r="C35" s="15">
        <v>1632304</v>
      </c>
      <c r="D35" s="360">
        <f>C35/'- 3 -'!E35</f>
        <v>0.25490220574272665</v>
      </c>
      <c r="E35" s="362">
        <f t="shared" si="0"/>
        <v>4174.690537084399</v>
      </c>
      <c r="F35" s="348">
        <f>SUM('- 6 -'!F35:I35)</f>
        <v>391</v>
      </c>
      <c r="G35" s="360">
        <f>IF(F35=0,"",'- 6 -'!F35/F35)</f>
        <v>0.40153452685422</v>
      </c>
      <c r="H35" s="360">
        <f>IF(F35=0,"",'- 6 -'!G35/F35)</f>
        <v>0.4373401534526854</v>
      </c>
      <c r="I35" s="360">
        <f>IF(F35=0,"",'- 6 -'!H35/F35)</f>
        <v>0.16112531969309463</v>
      </c>
      <c r="J35" s="360">
        <f>IF(F35=0,"",'- 6 -'!I35/F35)</f>
        <v>0</v>
      </c>
    </row>
    <row r="36" spans="1:10" ht="12.75">
      <c r="A36" s="16">
        <v>30</v>
      </c>
      <c r="B36" s="17" t="s">
        <v>140</v>
      </c>
      <c r="C36" s="17">
        <v>0</v>
      </c>
      <c r="D36" s="361">
        <f>C36/'- 3 -'!E36</f>
        <v>0</v>
      </c>
      <c r="E36" s="363">
        <f t="shared" si="0"/>
      </c>
      <c r="F36" s="349">
        <f>SUM('- 6 -'!F36:I36)</f>
        <v>0</v>
      </c>
      <c r="G36" s="361">
        <f>IF(F36=0,"",'- 6 -'!F36/F36)</f>
      </c>
      <c r="H36" s="361">
        <f>IF(F36=0,"",'- 6 -'!G36/F36)</f>
      </c>
      <c r="I36" s="361">
        <f>IF(F36=0,"",'- 6 -'!H36/F36)</f>
      </c>
      <c r="J36" s="361">
        <f>IF(F36=0,"",'- 6 -'!I36/F36)</f>
      </c>
    </row>
    <row r="37" spans="1:10" ht="12.75">
      <c r="A37" s="14">
        <v>31</v>
      </c>
      <c r="B37" s="15" t="s">
        <v>141</v>
      </c>
      <c r="C37" s="15">
        <v>0</v>
      </c>
      <c r="D37" s="360">
        <f>C37/'- 3 -'!E37</f>
        <v>0</v>
      </c>
      <c r="E37" s="362">
        <f t="shared" si="0"/>
      </c>
      <c r="F37" s="348">
        <f>SUM('- 6 -'!F37:I37)</f>
        <v>0</v>
      </c>
      <c r="G37" s="360">
        <f>IF(F37=0,"",'- 6 -'!F37/F37)</f>
      </c>
      <c r="H37" s="360">
        <f>IF(F37=0,"",'- 6 -'!G37/F37)</f>
      </c>
      <c r="I37" s="360">
        <f>IF(F37=0,"",'- 6 -'!H37/F37)</f>
      </c>
      <c r="J37" s="360">
        <f>IF(F37=0,"",'- 6 -'!I37/F37)</f>
      </c>
    </row>
    <row r="38" spans="1:10" ht="12.75">
      <c r="A38" s="16">
        <v>32</v>
      </c>
      <c r="B38" s="17" t="s">
        <v>142</v>
      </c>
      <c r="C38" s="17">
        <v>0</v>
      </c>
      <c r="D38" s="361">
        <f>C38/'- 3 -'!E38</f>
        <v>0</v>
      </c>
      <c r="E38" s="363">
        <f t="shared" si="0"/>
      </c>
      <c r="F38" s="349">
        <f>SUM('- 6 -'!F38:I38)</f>
        <v>0</v>
      </c>
      <c r="G38" s="361">
        <f>IF(F38=0,"",'- 6 -'!F38/F38)</f>
      </c>
      <c r="H38" s="361">
        <f>IF(F38=0,"",'- 6 -'!G38/F38)</f>
      </c>
      <c r="I38" s="361">
        <f>IF(F38=0,"",'- 6 -'!H38/F38)</f>
      </c>
      <c r="J38" s="361">
        <f>IF(F38=0,"",'- 6 -'!I38/F38)</f>
      </c>
    </row>
    <row r="39" spans="1:10" ht="12.75">
      <c r="A39" s="14">
        <v>33</v>
      </c>
      <c r="B39" s="15" t="s">
        <v>143</v>
      </c>
      <c r="C39" s="15">
        <v>1214866</v>
      </c>
      <c r="D39" s="360">
        <f>C39/'- 3 -'!E39</f>
        <v>0.08871419312004332</v>
      </c>
      <c r="E39" s="362">
        <f t="shared" si="0"/>
        <v>3436.678925035361</v>
      </c>
      <c r="F39" s="348">
        <f>SUM('- 6 -'!F39:I39)</f>
        <v>353.5</v>
      </c>
      <c r="G39" s="360">
        <f>IF(F39=0,"",'- 6 -'!F39/F39)</f>
        <v>0.6082036775106082</v>
      </c>
      <c r="H39" s="360">
        <f>IF(F39=0,"",'- 6 -'!G39/F39)</f>
        <v>0</v>
      </c>
      <c r="I39" s="360">
        <f>IF(F39=0,"",'- 6 -'!H39/F39)</f>
        <v>0.11315417256011315</v>
      </c>
      <c r="J39" s="360">
        <f>IF(F39=0,"",'- 6 -'!I39/F39)</f>
        <v>0.27864214992927866</v>
      </c>
    </row>
    <row r="40" spans="1:10" ht="12.75">
      <c r="A40" s="16">
        <v>34</v>
      </c>
      <c r="B40" s="17" t="s">
        <v>144</v>
      </c>
      <c r="C40" s="17">
        <v>0</v>
      </c>
      <c r="D40" s="361">
        <f>C40/'- 3 -'!E40</f>
        <v>0</v>
      </c>
      <c r="E40" s="363">
        <f t="shared" si="0"/>
      </c>
      <c r="F40" s="349">
        <f>SUM('- 6 -'!F40:I40)</f>
        <v>0</v>
      </c>
      <c r="G40" s="361">
        <f>IF(F40=0,"",'- 6 -'!F40/F40)</f>
      </c>
      <c r="H40" s="361">
        <f>IF(F40=0,"",'- 6 -'!G40/F40)</f>
      </c>
      <c r="I40" s="361">
        <f>IF(F40=0,"",'- 6 -'!H40/F40)</f>
      </c>
      <c r="J40" s="361">
        <f>IF(F40=0,"",'- 6 -'!I40/F40)</f>
      </c>
    </row>
    <row r="41" spans="1:10" ht="12.75">
      <c r="A41" s="14">
        <v>35</v>
      </c>
      <c r="B41" s="15" t="s">
        <v>145</v>
      </c>
      <c r="C41" s="15">
        <v>1148893</v>
      </c>
      <c r="D41" s="360">
        <f>C41/'- 3 -'!E41</f>
        <v>0.078050177962827</v>
      </c>
      <c r="E41" s="362">
        <f t="shared" si="0"/>
        <v>3861.8252100840336</v>
      </c>
      <c r="F41" s="348">
        <f>SUM('- 6 -'!F41:I41)</f>
        <v>297.5</v>
      </c>
      <c r="G41" s="360">
        <f>IF(F41=0,"",'- 6 -'!F41/F41)</f>
        <v>0.7001680672268908</v>
      </c>
      <c r="H41" s="360">
        <f>IF(F41=0,"",'- 6 -'!G41/F41)</f>
        <v>0</v>
      </c>
      <c r="I41" s="360">
        <f>IF(F41=0,"",'- 6 -'!H41/F41)</f>
        <v>0.29983193277310927</v>
      </c>
      <c r="J41" s="360">
        <f>IF(F41=0,"",'- 6 -'!I41/F41)</f>
        <v>0</v>
      </c>
    </row>
    <row r="42" spans="1:10" ht="12.75">
      <c r="A42" s="16">
        <v>36</v>
      </c>
      <c r="B42" s="17" t="s">
        <v>146</v>
      </c>
      <c r="C42" s="17">
        <v>0</v>
      </c>
      <c r="D42" s="361">
        <f>C42/'- 3 -'!E42</f>
        <v>0</v>
      </c>
      <c r="E42" s="363">
        <f t="shared" si="0"/>
      </c>
      <c r="F42" s="349">
        <f>SUM('- 6 -'!F42:I42)</f>
        <v>0</v>
      </c>
      <c r="G42" s="361">
        <f>IF(F42=0,"",'- 6 -'!F42/F42)</f>
      </c>
      <c r="H42" s="361">
        <f>IF(F42=0,"",'- 6 -'!G42/F42)</f>
      </c>
      <c r="I42" s="361">
        <f>IF(F42=0,"",'- 6 -'!H42/F42)</f>
      </c>
      <c r="J42" s="361">
        <f>IF(F42=0,"",'- 6 -'!I42/F42)</f>
      </c>
    </row>
    <row r="43" spans="1:10" ht="12.75">
      <c r="A43" s="14">
        <v>37</v>
      </c>
      <c r="B43" s="15" t="s">
        <v>147</v>
      </c>
      <c r="C43" s="15">
        <v>0</v>
      </c>
      <c r="D43" s="360">
        <f>C43/'- 3 -'!E43</f>
        <v>0</v>
      </c>
      <c r="E43" s="362">
        <f t="shared" si="0"/>
      </c>
      <c r="F43" s="348">
        <f>SUM('- 6 -'!F43:I43)</f>
        <v>0</v>
      </c>
      <c r="G43" s="360">
        <f>IF(F43=0,"",'- 6 -'!F43/F43)</f>
      </c>
      <c r="H43" s="360">
        <f>IF(F43=0,"",'- 6 -'!G43/F43)</f>
      </c>
      <c r="I43" s="360">
        <f>IF(F43=0,"",'- 6 -'!H43/F43)</f>
      </c>
      <c r="J43" s="360">
        <f>IF(F43=0,"",'- 6 -'!I43/F43)</f>
      </c>
    </row>
    <row r="44" spans="1:10" ht="12.75">
      <c r="A44" s="16">
        <v>38</v>
      </c>
      <c r="B44" s="17" t="s">
        <v>148</v>
      </c>
      <c r="C44" s="17">
        <v>0</v>
      </c>
      <c r="D44" s="361">
        <f>C44/'- 3 -'!E44</f>
        <v>0</v>
      </c>
      <c r="E44" s="363">
        <f t="shared" si="0"/>
      </c>
      <c r="F44" s="349">
        <f>SUM('- 6 -'!F44:I44)</f>
        <v>0</v>
      </c>
      <c r="G44" s="361">
        <f>IF(F44=0,"",'- 6 -'!F44/F44)</f>
      </c>
      <c r="H44" s="361">
        <f>IF(F44=0,"",'- 6 -'!G44/F44)</f>
      </c>
      <c r="I44" s="361">
        <f>IF(F44=0,"",'- 6 -'!H44/F44)</f>
      </c>
      <c r="J44" s="361">
        <f>IF(F44=0,"",'- 6 -'!I44/F44)</f>
      </c>
    </row>
    <row r="45" spans="1:10" ht="12.75">
      <c r="A45" s="14">
        <v>39</v>
      </c>
      <c r="B45" s="15" t="s">
        <v>149</v>
      </c>
      <c r="C45" s="15">
        <v>0</v>
      </c>
      <c r="D45" s="360">
        <f>C45/'- 3 -'!E45</f>
        <v>0</v>
      </c>
      <c r="E45" s="362">
        <f t="shared" si="0"/>
      </c>
      <c r="F45" s="348">
        <f>SUM('- 6 -'!F45:I45)</f>
        <v>0</v>
      </c>
      <c r="G45" s="360">
        <f>IF(F45=0,"",'- 6 -'!F45/F45)</f>
      </c>
      <c r="H45" s="360">
        <f>IF(F45=0,"",'- 6 -'!G45/F45)</f>
      </c>
      <c r="I45" s="360">
        <f>IF(F45=0,"",'- 6 -'!H45/F45)</f>
      </c>
      <c r="J45" s="360">
        <f>IF(F45=0,"",'- 6 -'!I45/F45)</f>
      </c>
    </row>
    <row r="46" spans="1:10" ht="12.75">
      <c r="A46" s="16">
        <v>40</v>
      </c>
      <c r="B46" s="17" t="s">
        <v>150</v>
      </c>
      <c r="C46" s="17">
        <v>3708900</v>
      </c>
      <c r="D46" s="361">
        <f>C46/'- 3 -'!E46</f>
        <v>0.07937465891945684</v>
      </c>
      <c r="E46" s="363">
        <f t="shared" si="0"/>
        <v>3157.854406130268</v>
      </c>
      <c r="F46" s="349">
        <f>SUM('- 6 -'!F46:I46)</f>
        <v>1174.5</v>
      </c>
      <c r="G46" s="361">
        <f>IF(F46=0,"",'- 6 -'!F46/F46)</f>
        <v>0.6526181353767561</v>
      </c>
      <c r="H46" s="361">
        <f>IF(F46=0,"",'- 6 -'!G46/F46)</f>
        <v>0</v>
      </c>
      <c r="I46" s="361">
        <f>IF(F46=0,"",'- 6 -'!H46/F46)</f>
        <v>0.34738186462324394</v>
      </c>
      <c r="J46" s="361">
        <f>IF(F46=0,"",'- 6 -'!I46/F46)</f>
        <v>0</v>
      </c>
    </row>
    <row r="47" spans="1:10" ht="12.75">
      <c r="A47" s="14">
        <v>41</v>
      </c>
      <c r="B47" s="15" t="s">
        <v>151</v>
      </c>
      <c r="C47" s="15">
        <v>0</v>
      </c>
      <c r="D47" s="360">
        <f>C47/'- 3 -'!E47</f>
        <v>0</v>
      </c>
      <c r="E47" s="362">
        <f t="shared" si="0"/>
      </c>
      <c r="F47" s="348">
        <f>SUM('- 6 -'!F47:I47)</f>
        <v>0</v>
      </c>
      <c r="G47" s="360">
        <f>IF(F47=0,"",'- 6 -'!F47/F47)</f>
      </c>
      <c r="H47" s="360">
        <f>IF(F47=0,"",'- 6 -'!G47/F47)</f>
      </c>
      <c r="I47" s="360">
        <f>IF(F47=0,"",'- 6 -'!H47/F47)</f>
      </c>
      <c r="J47" s="360">
        <f>IF(F47=0,"",'- 6 -'!I47/F47)</f>
      </c>
    </row>
    <row r="48" spans="1:10" ht="12.75">
      <c r="A48" s="16">
        <v>42</v>
      </c>
      <c r="B48" s="17" t="s">
        <v>152</v>
      </c>
      <c r="C48" s="17">
        <v>0</v>
      </c>
      <c r="D48" s="361">
        <f>C48/'- 3 -'!E48</f>
        <v>0</v>
      </c>
      <c r="E48" s="363">
        <f t="shared" si="0"/>
      </c>
      <c r="F48" s="349">
        <f>SUM('- 6 -'!F48:I48)</f>
        <v>0</v>
      </c>
      <c r="G48" s="361">
        <f>IF(F48=0,"",'- 6 -'!F48/F48)</f>
      </c>
      <c r="H48" s="361">
        <f>IF(F48=0,"",'- 6 -'!G48/F48)</f>
      </c>
      <c r="I48" s="361">
        <f>IF(F48=0,"",'- 6 -'!H48/F48)</f>
      </c>
      <c r="J48" s="361">
        <f>IF(F48=0,"",'- 6 -'!I48/F48)</f>
      </c>
    </row>
    <row r="49" spans="1:10" ht="12.75">
      <c r="A49" s="14">
        <v>43</v>
      </c>
      <c r="B49" s="15" t="s">
        <v>153</v>
      </c>
      <c r="C49" s="15">
        <v>0</v>
      </c>
      <c r="D49" s="360">
        <f>C49/'- 3 -'!E49</f>
        <v>0</v>
      </c>
      <c r="E49" s="362">
        <f t="shared" si="0"/>
      </c>
      <c r="F49" s="348">
        <f>SUM('- 6 -'!F49:I49)</f>
        <v>0</v>
      </c>
      <c r="G49" s="360">
        <f>IF(F49=0,"",'- 6 -'!F49/F49)</f>
      </c>
      <c r="H49" s="360">
        <f>IF(F49=0,"",'- 6 -'!G49/F49)</f>
      </c>
      <c r="I49" s="360">
        <f>IF(F49=0,"",'- 6 -'!H49/F49)</f>
      </c>
      <c r="J49" s="360">
        <f>IF(F49=0,"",'- 6 -'!I49/F49)</f>
      </c>
    </row>
    <row r="50" spans="1:10" ht="12.75">
      <c r="A50" s="16">
        <v>44</v>
      </c>
      <c r="B50" s="17" t="s">
        <v>154</v>
      </c>
      <c r="C50" s="17">
        <v>0</v>
      </c>
      <c r="D50" s="361">
        <f>C50/'- 3 -'!E50</f>
        <v>0</v>
      </c>
      <c r="E50" s="363">
        <f t="shared" si="0"/>
      </c>
      <c r="F50" s="349">
        <f>SUM('- 6 -'!F50:I50)</f>
        <v>0</v>
      </c>
      <c r="G50" s="361">
        <f>IF(F50=0,"",'- 6 -'!F50/F50)</f>
      </c>
      <c r="H50" s="361">
        <f>IF(F50=0,"",'- 6 -'!G50/F50)</f>
      </c>
      <c r="I50" s="361">
        <f>IF(F50=0,"",'- 6 -'!H50/F50)</f>
      </c>
      <c r="J50" s="361">
        <f>IF(F50=0,"",'- 6 -'!I50/F50)</f>
      </c>
    </row>
    <row r="51" spans="1:10" ht="12.75">
      <c r="A51" s="14">
        <v>45</v>
      </c>
      <c r="B51" s="15" t="s">
        <v>155</v>
      </c>
      <c r="C51" s="15">
        <v>2005785</v>
      </c>
      <c r="D51" s="360">
        <f>C51/'- 3 -'!E51</f>
        <v>0.16641087033336932</v>
      </c>
      <c r="E51" s="362">
        <f t="shared" si="0"/>
        <v>3455.2713178294575</v>
      </c>
      <c r="F51" s="348">
        <f>SUM('- 6 -'!F51:I51)</f>
        <v>580.5</v>
      </c>
      <c r="G51" s="360">
        <f>IF(F51=0,"",'- 6 -'!F51/F51)</f>
        <v>0.6037898363479759</v>
      </c>
      <c r="H51" s="360">
        <f>IF(F51=0,"",'- 6 -'!G51/F51)</f>
        <v>0</v>
      </c>
      <c r="I51" s="360">
        <f>IF(F51=0,"",'- 6 -'!H51/F51)</f>
        <v>0.3962101636520241</v>
      </c>
      <c r="J51" s="360">
        <f>IF(F51=0,"",'- 6 -'!I51/F51)</f>
        <v>0</v>
      </c>
    </row>
    <row r="52" spans="1:10" ht="12.75">
      <c r="A52" s="16">
        <v>46</v>
      </c>
      <c r="B52" s="17" t="s">
        <v>156</v>
      </c>
      <c r="C52" s="17">
        <v>1634214</v>
      </c>
      <c r="D52" s="361">
        <f>C52/'- 3 -'!E52</f>
        <v>0.15412579582722744</v>
      </c>
      <c r="E52" s="363">
        <f t="shared" si="0"/>
        <v>3800.4976744186047</v>
      </c>
      <c r="F52" s="349">
        <f>SUM('- 6 -'!F52:I52)</f>
        <v>430</v>
      </c>
      <c r="G52" s="361">
        <f>IF(F52=0,"",'- 6 -'!F52/F52)</f>
        <v>0.7546511627906977</v>
      </c>
      <c r="H52" s="361">
        <f>IF(F52=0,"",'- 6 -'!G52/F52)</f>
        <v>0</v>
      </c>
      <c r="I52" s="361">
        <f>IF(F52=0,"",'- 6 -'!H52/F52)</f>
        <v>0.2453488372093023</v>
      </c>
      <c r="J52" s="361">
        <f>IF(F52=0,"",'- 6 -'!I52/F52)</f>
        <v>0</v>
      </c>
    </row>
    <row r="53" spans="1:10" ht="12.75">
      <c r="A53" s="14">
        <v>47</v>
      </c>
      <c r="B53" s="15" t="s">
        <v>157</v>
      </c>
      <c r="C53" s="15">
        <v>1759414</v>
      </c>
      <c r="D53" s="360">
        <f>C53/'- 3 -'!E53</f>
        <v>0.1837222005429755</v>
      </c>
      <c r="E53" s="362">
        <f t="shared" si="0"/>
        <v>3285.5536881419234</v>
      </c>
      <c r="F53" s="348">
        <f>SUM('- 6 -'!F53:I53)</f>
        <v>535.5</v>
      </c>
      <c r="G53" s="360">
        <f>IF(F53=0,"",'- 6 -'!F53/F53)</f>
        <v>0.8048552754435108</v>
      </c>
      <c r="H53" s="360">
        <f>IF(F53=0,"",'- 6 -'!G53/F53)</f>
        <v>0</v>
      </c>
      <c r="I53" s="360">
        <f>IF(F53=0,"",'- 6 -'!H53/F53)</f>
        <v>0.19514472455648926</v>
      </c>
      <c r="J53" s="360">
        <f>IF(F53=0,"",'- 6 -'!I53/F53)</f>
        <v>0</v>
      </c>
    </row>
    <row r="54" spans="1:10" ht="12.75">
      <c r="A54" s="16">
        <v>48</v>
      </c>
      <c r="B54" s="17" t="s">
        <v>158</v>
      </c>
      <c r="C54" s="17">
        <v>0</v>
      </c>
      <c r="D54" s="361">
        <f>C54/'- 3 -'!E54</f>
        <v>0</v>
      </c>
      <c r="E54" s="363">
        <f t="shared" si="0"/>
      </c>
      <c r="F54" s="349">
        <f>SUM('- 6 -'!F54:I54)</f>
        <v>0</v>
      </c>
      <c r="G54" s="361">
        <f>IF(F54=0,"",'- 6 -'!F54/F54)</f>
      </c>
      <c r="H54" s="361">
        <f>IF(F54=0,"",'- 6 -'!G54/F54)</f>
      </c>
      <c r="I54" s="361">
        <f>IF(F54=0,"",'- 6 -'!H54/F54)</f>
      </c>
      <c r="J54" s="361">
        <f>IF(F54=0,"",'- 6 -'!I54/F54)</f>
      </c>
    </row>
    <row r="55" spans="1:10" ht="12.75">
      <c r="A55" s="14">
        <v>49</v>
      </c>
      <c r="B55" s="15" t="s">
        <v>159</v>
      </c>
      <c r="C55" s="15">
        <v>0</v>
      </c>
      <c r="D55" s="360">
        <f>C55/'- 3 -'!E55</f>
        <v>0</v>
      </c>
      <c r="E55" s="362">
        <f t="shared" si="0"/>
      </c>
      <c r="F55" s="348">
        <f>SUM('- 6 -'!F55:I55)</f>
        <v>0</v>
      </c>
      <c r="G55" s="360">
        <f>IF(F55=0,"",'- 6 -'!F55/F55)</f>
      </c>
      <c r="H55" s="360">
        <f>IF(F55=0,"",'- 6 -'!G55/F55)</f>
      </c>
      <c r="I55" s="360">
        <f>IF(F55=0,"",'- 6 -'!H55/F55)</f>
      </c>
      <c r="J55" s="360">
        <f>IF(F55=0,"",'- 6 -'!I55/F55)</f>
      </c>
    </row>
    <row r="56" spans="1:10" ht="12.75">
      <c r="A56" s="16">
        <v>50</v>
      </c>
      <c r="B56" s="17" t="s">
        <v>340</v>
      </c>
      <c r="C56" s="17">
        <v>0</v>
      </c>
      <c r="D56" s="361">
        <f>C56/'- 3 -'!E56</f>
        <v>0</v>
      </c>
      <c r="E56" s="363">
        <f t="shared" si="0"/>
      </c>
      <c r="F56" s="349">
        <f>SUM('- 6 -'!F56:I56)</f>
        <v>0</v>
      </c>
      <c r="G56" s="361">
        <f>IF(F56=0,"",'- 6 -'!F56/F56)</f>
      </c>
      <c r="H56" s="361">
        <f>IF(F56=0,"",'- 6 -'!G56/F56)</f>
      </c>
      <c r="I56" s="361">
        <f>IF(F56=0,"",'- 6 -'!H56/F56)</f>
      </c>
      <c r="J56" s="361">
        <f>IF(F56=0,"",'- 6 -'!I56/F56)</f>
      </c>
    </row>
    <row r="57" spans="1:10" ht="12.75">
      <c r="A57" s="14">
        <v>2264</v>
      </c>
      <c r="B57" s="15" t="s">
        <v>160</v>
      </c>
      <c r="C57" s="15">
        <v>0</v>
      </c>
      <c r="D57" s="360">
        <f>C57/'- 3 -'!E57</f>
        <v>0</v>
      </c>
      <c r="E57" s="362">
        <f t="shared" si="0"/>
      </c>
      <c r="F57" s="348">
        <f>SUM('- 6 -'!F57:I57)</f>
        <v>0</v>
      </c>
      <c r="G57" s="360">
        <f>IF(F57=0,"",'- 6 -'!F57/F57)</f>
      </c>
      <c r="H57" s="360">
        <f>IF(F57=0,"",'- 6 -'!G57/F57)</f>
      </c>
      <c r="I57" s="360">
        <f>IF(F57=0,"",'- 6 -'!H57/F57)</f>
      </c>
      <c r="J57" s="360">
        <f>IF(F57=0,"",'- 6 -'!I57/F57)</f>
      </c>
    </row>
    <row r="58" spans="1:10" ht="12.75">
      <c r="A58" s="16">
        <v>2309</v>
      </c>
      <c r="B58" s="17" t="s">
        <v>161</v>
      </c>
      <c r="C58" s="17">
        <v>0</v>
      </c>
      <c r="D58" s="361">
        <f>C58/'- 3 -'!E58</f>
        <v>0</v>
      </c>
      <c r="E58" s="363">
        <f t="shared" si="0"/>
      </c>
      <c r="F58" s="349">
        <f>SUM('- 6 -'!F58:I58)</f>
        <v>0</v>
      </c>
      <c r="G58" s="361">
        <f>IF(F58=0,"",'- 6 -'!F58/F58)</f>
      </c>
      <c r="H58" s="361">
        <f>IF(F58=0,"",'- 6 -'!G58/F58)</f>
      </c>
      <c r="I58" s="361">
        <f>IF(F58=0,"",'- 6 -'!H58/F58)</f>
      </c>
      <c r="J58" s="361">
        <f>IF(F58=0,"",'- 6 -'!I58/F58)</f>
      </c>
    </row>
    <row r="59" spans="1:10" ht="12.75">
      <c r="A59" s="14">
        <v>2312</v>
      </c>
      <c r="B59" s="15" t="s">
        <v>162</v>
      </c>
      <c r="C59" s="15">
        <v>0</v>
      </c>
      <c r="D59" s="360">
        <f>C59/'- 3 -'!E59</f>
        <v>0</v>
      </c>
      <c r="E59" s="362">
        <f t="shared" si="0"/>
      </c>
      <c r="F59" s="348">
        <f>SUM('- 6 -'!F59:I59)</f>
        <v>0</v>
      </c>
      <c r="G59" s="360">
        <f>IF(F59=0,"",'- 6 -'!F59/F59)</f>
      </c>
      <c r="H59" s="360">
        <f>IF(F59=0,"",'- 6 -'!G59/F59)</f>
      </c>
      <c r="I59" s="360">
        <f>IF(F59=0,"",'- 6 -'!H59/F59)</f>
      </c>
      <c r="J59" s="360">
        <f>IF(F59=0,"",'- 6 -'!I59/F59)</f>
      </c>
    </row>
    <row r="60" spans="1:10" ht="12.75">
      <c r="A60" s="16">
        <v>2355</v>
      </c>
      <c r="B60" s="17" t="s">
        <v>163</v>
      </c>
      <c r="C60" s="17">
        <v>1583836</v>
      </c>
      <c r="D60" s="361">
        <f>C60/'- 3 -'!E60</f>
        <v>0.0617356402609817</v>
      </c>
      <c r="E60" s="363">
        <f t="shared" si="0"/>
        <v>3496.326710816777</v>
      </c>
      <c r="F60" s="349">
        <f>SUM('- 6 -'!F60:I60)</f>
        <v>453</v>
      </c>
      <c r="G60" s="361">
        <f>IF(F60=0,"",'- 6 -'!F60/F60)</f>
        <v>0.5165562913907285</v>
      </c>
      <c r="H60" s="361">
        <f>IF(F60=0,"",'- 6 -'!G60/F60)</f>
        <v>0</v>
      </c>
      <c r="I60" s="361">
        <f>IF(F60=0,"",'- 6 -'!H60/F60)</f>
        <v>0.48344370860927155</v>
      </c>
      <c r="J60" s="361">
        <f>IF(F60=0,"",'- 6 -'!I60/F60)</f>
        <v>0</v>
      </c>
    </row>
    <row r="61" spans="1:10" ht="12.75">
      <c r="A61" s="14">
        <v>2439</v>
      </c>
      <c r="B61" s="15" t="s">
        <v>164</v>
      </c>
      <c r="C61" s="15">
        <v>0</v>
      </c>
      <c r="D61" s="360">
        <f>C61/'- 3 -'!E61</f>
        <v>0</v>
      </c>
      <c r="E61" s="362">
        <f t="shared" si="0"/>
      </c>
      <c r="F61" s="348">
        <f>SUM('- 6 -'!F61:I61)</f>
        <v>0</v>
      </c>
      <c r="G61" s="360">
        <f>IF(F61=0,"",'- 6 -'!F61/F61)</f>
      </c>
      <c r="H61" s="360">
        <f>IF(F61=0,"",'- 6 -'!G61/F61)</f>
      </c>
      <c r="I61" s="360">
        <f>IF(F61=0,"",'- 6 -'!H61/F61)</f>
      </c>
      <c r="J61" s="360">
        <f>IF(F61=0,"",'- 6 -'!I61/F61)</f>
      </c>
    </row>
    <row r="62" spans="1:10" ht="12.75">
      <c r="A62" s="16">
        <v>2460</v>
      </c>
      <c r="B62" s="17" t="s">
        <v>165</v>
      </c>
      <c r="C62" s="17">
        <v>0</v>
      </c>
      <c r="D62" s="361">
        <f>C62/'- 3 -'!E62</f>
        <v>0</v>
      </c>
      <c r="E62" s="363">
        <f t="shared" si="0"/>
      </c>
      <c r="F62" s="349">
        <f>SUM('- 6 -'!F62:I62)</f>
        <v>0</v>
      </c>
      <c r="G62" s="361">
        <f>IF(F62=0,"",'- 6 -'!F62/F62)</f>
      </c>
      <c r="H62" s="361">
        <f>IF(F62=0,"",'- 6 -'!G62/F62)</f>
      </c>
      <c r="I62" s="361">
        <f>IF(F62=0,"",'- 6 -'!H62/F62)</f>
      </c>
      <c r="J62" s="361">
        <f>IF(F62=0,"",'- 6 -'!I62/F62)</f>
      </c>
    </row>
    <row r="63" spans="1:10" ht="12.75">
      <c r="A63" s="14">
        <v>3000</v>
      </c>
      <c r="B63" s="15" t="s">
        <v>363</v>
      </c>
      <c r="C63" s="15">
        <v>0</v>
      </c>
      <c r="D63" s="360">
        <f>C63/'- 3 -'!E63</f>
        <v>0</v>
      </c>
      <c r="E63" s="362">
        <f t="shared" si="0"/>
      </c>
      <c r="F63" s="348">
        <f>SUM('- 6 -'!F63:I63)</f>
        <v>0</v>
      </c>
      <c r="G63" s="360">
        <f>IF(F63=0,"",'- 6 -'!F63/F63)</f>
      </c>
      <c r="H63" s="360">
        <f>IF(F63=0,"",'- 6 -'!G63/F63)</f>
      </c>
      <c r="I63" s="360">
        <f>IF(F63=0,"",'- 6 -'!H63/F63)</f>
      </c>
      <c r="J63" s="360">
        <f>IF(F63=0,"",'- 6 -'!I63/F63)</f>
      </c>
    </row>
    <row r="64" spans="1:10" ht="4.5" customHeight="1">
      <c r="A64" s="18"/>
      <c r="B64" s="18"/>
      <c r="C64" s="18"/>
      <c r="D64" s="198"/>
      <c r="E64" s="18"/>
      <c r="F64" s="18"/>
      <c r="G64" s="198"/>
      <c r="H64" s="198"/>
      <c r="I64" s="198"/>
      <c r="J64" s="198"/>
    </row>
    <row r="65" spans="1:10" ht="12.75">
      <c r="A65" s="20"/>
      <c r="B65" s="21" t="s">
        <v>166</v>
      </c>
      <c r="C65" s="21">
        <f>SUM(C11:C63)</f>
        <v>103301028.61</v>
      </c>
      <c r="D65" s="103">
        <f>C65/'- 3 -'!E65</f>
        <v>0.07644364140992053</v>
      </c>
      <c r="E65" s="364">
        <f>C65/F65</f>
        <v>3681.9847806870594</v>
      </c>
      <c r="F65" s="351">
        <f>SUM(F11:F63)</f>
        <v>28055.8</v>
      </c>
      <c r="G65" s="103">
        <f>'- 6 -'!F65/F65</f>
        <v>0.6495483999743368</v>
      </c>
      <c r="H65" s="103">
        <f>'- 6 -'!G65/F65</f>
        <v>0.021314665773209104</v>
      </c>
      <c r="I65" s="103">
        <f>'- 6 -'!H65/F65</f>
        <v>0.27563641029662317</v>
      </c>
      <c r="J65" s="103">
        <f>'- 6 -'!I65/F65</f>
        <v>0.05350052395583088</v>
      </c>
    </row>
    <row r="66" spans="1:10" ht="4.5" customHeight="1">
      <c r="A66" s="18"/>
      <c r="B66" s="18"/>
      <c r="C66" s="18"/>
      <c r="D66" s="198"/>
      <c r="E66" s="18"/>
      <c r="F66" s="18"/>
      <c r="G66" s="198"/>
      <c r="H66" s="198"/>
      <c r="I66" s="198"/>
      <c r="J66" s="198"/>
    </row>
    <row r="67" spans="1:10" ht="12.75">
      <c r="A67" s="16">
        <v>2155</v>
      </c>
      <c r="B67" s="17" t="s">
        <v>167</v>
      </c>
      <c r="C67" s="17">
        <v>0</v>
      </c>
      <c r="D67" s="361">
        <f>C67/'- 3 -'!E67</f>
        <v>0</v>
      </c>
      <c r="E67" s="363">
        <f>IF(F67=0,"",C67/F67)</f>
      </c>
      <c r="F67" s="349">
        <f>SUM('- 6 -'!F67:I67)</f>
        <v>0</v>
      </c>
      <c r="G67" s="361">
        <f>IF(F67=0,"",'- 6 -'!F67/F67)</f>
      </c>
      <c r="H67" s="361">
        <f>IF(F67=0,"",'- 6 -'!G67/F67)</f>
      </c>
      <c r="I67" s="361">
        <f>IF(F67=0,"",'- 6 -'!H67/F67)</f>
      </c>
      <c r="J67" s="361">
        <f>IF(F67=0,"",'- 6 -'!I67/F67)</f>
      </c>
    </row>
    <row r="68" spans="1:10" ht="12.75">
      <c r="A68" s="14">
        <v>2408</v>
      </c>
      <c r="B68" s="15" t="s">
        <v>169</v>
      </c>
      <c r="C68" s="15">
        <v>0</v>
      </c>
      <c r="D68" s="360">
        <f>C68/'- 3 -'!E68</f>
        <v>0</v>
      </c>
      <c r="E68" s="362">
        <f>IF(F68=0,"",C68/F68)</f>
      </c>
      <c r="F68" s="348">
        <f>SUM('- 6 -'!F68:I68)</f>
        <v>0</v>
      </c>
      <c r="G68" s="360">
        <f>IF(F68=0,"",'- 6 -'!F68/F68)</f>
      </c>
      <c r="H68" s="360">
        <f>IF(F68=0,"",'- 6 -'!G68/F68)</f>
      </c>
      <c r="I68" s="360">
        <f>IF(F68=0,"",'- 6 -'!H68/F68)</f>
      </c>
      <c r="J68" s="360">
        <f>IF(F68=0,"",'- 6 -'!I68/F68)</f>
      </c>
    </row>
    <row r="69" spans="3:10" ht="6.75" customHeight="1">
      <c r="C69" s="90"/>
      <c r="D69" s="90"/>
      <c r="E69" s="90"/>
      <c r="F69" s="90"/>
      <c r="G69" s="90"/>
      <c r="H69" s="90"/>
      <c r="I69" s="90"/>
      <c r="J69" s="90"/>
    </row>
    <row r="70" spans="1:10" ht="12" customHeight="1">
      <c r="A70" s="396" t="s">
        <v>351</v>
      </c>
      <c r="B70" s="56" t="s">
        <v>299</v>
      </c>
      <c r="D70" s="90"/>
      <c r="E70" s="90"/>
      <c r="F70" s="90"/>
      <c r="G70" s="90"/>
      <c r="H70" s="90"/>
      <c r="I70" s="90"/>
      <c r="J70" s="90"/>
    </row>
    <row r="71" spans="1:2" ht="12" customHeight="1">
      <c r="A71" s="7"/>
      <c r="B71" s="7"/>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1"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8"/>
      <c r="B1" s="80"/>
      <c r="C1" s="142"/>
      <c r="D1" s="142"/>
      <c r="E1" s="142"/>
      <c r="F1" s="142"/>
      <c r="G1" s="142"/>
      <c r="H1" s="142"/>
      <c r="I1" s="142"/>
      <c r="J1" s="142"/>
      <c r="K1" s="142"/>
    </row>
    <row r="2" spans="1:11" ht="12.75">
      <c r="A2" s="9"/>
      <c r="B2" s="83"/>
      <c r="C2" s="200" t="s">
        <v>0</v>
      </c>
      <c r="D2" s="200"/>
      <c r="E2" s="200"/>
      <c r="F2" s="200"/>
      <c r="G2" s="200"/>
      <c r="H2" s="215"/>
      <c r="I2" s="215"/>
      <c r="J2" s="239"/>
      <c r="K2" s="219" t="s">
        <v>424</v>
      </c>
    </row>
    <row r="3" spans="1:11" ht="12.75">
      <c r="A3" s="10"/>
      <c r="B3" s="86"/>
      <c r="C3" s="203" t="str">
        <f>YEAR</f>
        <v>OPERATING FUND BUDGET 2002/2003</v>
      </c>
      <c r="D3" s="203"/>
      <c r="E3" s="203"/>
      <c r="F3" s="203"/>
      <c r="G3" s="203"/>
      <c r="H3" s="216"/>
      <c r="I3" s="216"/>
      <c r="J3" s="216"/>
      <c r="K3" s="220"/>
    </row>
    <row r="4" spans="1:11" ht="12.75">
      <c r="A4" s="11"/>
      <c r="C4" s="142"/>
      <c r="D4" s="142"/>
      <c r="E4" s="220"/>
      <c r="F4" s="142"/>
      <c r="G4" s="142"/>
      <c r="H4" s="142"/>
      <c r="I4" s="142"/>
      <c r="J4" s="142"/>
      <c r="K4" s="142"/>
    </row>
    <row r="5" spans="1:11" ht="16.5">
      <c r="A5" s="11"/>
      <c r="C5" s="340" t="s">
        <v>12</v>
      </c>
      <c r="D5" s="221"/>
      <c r="E5" s="234"/>
      <c r="F5" s="234"/>
      <c r="G5" s="234"/>
      <c r="H5" s="234"/>
      <c r="I5" s="234"/>
      <c r="J5" s="234"/>
      <c r="K5" s="235"/>
    </row>
    <row r="6" spans="1:11" ht="12.75">
      <c r="A6" s="11"/>
      <c r="C6" s="68" t="s">
        <v>15</v>
      </c>
      <c r="D6" s="66"/>
      <c r="E6" s="67"/>
      <c r="F6" s="225"/>
      <c r="G6" s="66"/>
      <c r="H6" s="67"/>
      <c r="I6" s="68" t="s">
        <v>16</v>
      </c>
      <c r="J6" s="66"/>
      <c r="K6" s="67"/>
    </row>
    <row r="7" spans="3:11" ht="16.5">
      <c r="C7" s="69" t="s">
        <v>42</v>
      </c>
      <c r="D7" s="70"/>
      <c r="E7" s="71"/>
      <c r="F7" s="69" t="s">
        <v>401</v>
      </c>
      <c r="G7" s="70"/>
      <c r="H7" s="71"/>
      <c r="I7" s="69" t="s">
        <v>43</v>
      </c>
      <c r="J7" s="70"/>
      <c r="K7" s="71"/>
    </row>
    <row r="8" spans="1:11" ht="12.75">
      <c r="A8" s="94"/>
      <c r="B8" s="46"/>
      <c r="C8" s="142"/>
      <c r="D8" s="228"/>
      <c r="E8" s="229" t="s">
        <v>75</v>
      </c>
      <c r="F8" s="73"/>
      <c r="G8" s="74"/>
      <c r="H8" s="229" t="s">
        <v>75</v>
      </c>
      <c r="I8" s="73"/>
      <c r="J8" s="74"/>
      <c r="K8" s="229" t="s">
        <v>75</v>
      </c>
    </row>
    <row r="9" spans="1:11" ht="12.75">
      <c r="A9" s="52" t="s">
        <v>100</v>
      </c>
      <c r="B9" s="53" t="s">
        <v>101</v>
      </c>
      <c r="C9" s="75" t="s">
        <v>102</v>
      </c>
      <c r="D9" s="76" t="s">
        <v>103</v>
      </c>
      <c r="E9" s="76" t="s">
        <v>104</v>
      </c>
      <c r="F9" s="76" t="s">
        <v>102</v>
      </c>
      <c r="G9" s="76" t="s">
        <v>103</v>
      </c>
      <c r="H9" s="76" t="s">
        <v>104</v>
      </c>
      <c r="I9" s="76" t="s">
        <v>102</v>
      </c>
      <c r="J9" s="76" t="s">
        <v>103</v>
      </c>
      <c r="K9" s="76" t="s">
        <v>104</v>
      </c>
    </row>
    <row r="10" spans="1:2" ht="4.5" customHeight="1">
      <c r="A10" s="77"/>
      <c r="B10" s="77"/>
    </row>
    <row r="11" spans="1:11" ht="12.75">
      <c r="A11" s="14">
        <v>1</v>
      </c>
      <c r="B11" s="15" t="s">
        <v>115</v>
      </c>
      <c r="C11" s="15">
        <v>1537500</v>
      </c>
      <c r="D11" s="360">
        <f>C11/'- 3 -'!E11</f>
        <v>0.006049398502896826</v>
      </c>
      <c r="E11" s="15">
        <f>C11/'- 7 -'!G11</f>
        <v>49.72831360372599</v>
      </c>
      <c r="F11" s="15">
        <v>73900</v>
      </c>
      <c r="G11" s="360">
        <f>F11/'- 3 -'!E11</f>
        <v>0.0002907645849522442</v>
      </c>
      <c r="H11" s="15">
        <f>F11/'- 7 -'!G11</f>
        <v>2.3901934148392523</v>
      </c>
      <c r="I11" s="15">
        <v>6626200</v>
      </c>
      <c r="J11" s="360">
        <f>I11/'- 3 -'!E11</f>
        <v>0.026071235356029236</v>
      </c>
      <c r="K11" s="15">
        <f>I11/'- 7 -'!G11</f>
        <v>214.31528559415227</v>
      </c>
    </row>
    <row r="12" spans="1:11" ht="12.75">
      <c r="A12" s="16">
        <v>2</v>
      </c>
      <c r="B12" s="17" t="s">
        <v>116</v>
      </c>
      <c r="C12" s="17">
        <v>238312</v>
      </c>
      <c r="D12" s="361">
        <f>C12/'- 3 -'!E12</f>
        <v>0.0037940530584100003</v>
      </c>
      <c r="E12" s="17">
        <f>C12/'- 7 -'!G12</f>
        <v>26.05698790701743</v>
      </c>
      <c r="F12" s="17">
        <v>249033</v>
      </c>
      <c r="G12" s="361">
        <f>F12/'- 3 -'!E12</f>
        <v>0.003964737047630911</v>
      </c>
      <c r="H12" s="17">
        <f>F12/'- 7 -'!G12</f>
        <v>27.229219969822214</v>
      </c>
      <c r="I12" s="17">
        <v>1275074</v>
      </c>
      <c r="J12" s="361">
        <f>I12/'- 3 -'!E12</f>
        <v>0.020299852333911312</v>
      </c>
      <c r="K12" s="17">
        <f>I12/'- 7 -'!G12</f>
        <v>139.41634411423823</v>
      </c>
    </row>
    <row r="13" spans="1:11" ht="12.75">
      <c r="A13" s="14">
        <v>3</v>
      </c>
      <c r="B13" s="15" t="s">
        <v>117</v>
      </c>
      <c r="C13" s="15">
        <v>242420</v>
      </c>
      <c r="D13" s="360">
        <f>C13/'- 3 -'!E13</f>
        <v>0.005468782886973238</v>
      </c>
      <c r="E13" s="15">
        <f>C13/'- 7 -'!G13</f>
        <v>42.19302062483683</v>
      </c>
      <c r="F13" s="15">
        <v>416170</v>
      </c>
      <c r="G13" s="360">
        <f>F13/'- 3 -'!E13</f>
        <v>0.009388430715583089</v>
      </c>
      <c r="H13" s="15">
        <f>F13/'- 7 -'!G13</f>
        <v>72.43407884431294</v>
      </c>
      <c r="I13" s="15">
        <v>767910</v>
      </c>
      <c r="J13" s="360">
        <f>I13/'- 3 -'!E13</f>
        <v>0.017323377059382968</v>
      </c>
      <c r="K13" s="15">
        <f>I13/'- 7 -'!G13</f>
        <v>133.65416412844834</v>
      </c>
    </row>
    <row r="14" spans="1:11" ht="12.75">
      <c r="A14" s="16">
        <v>4</v>
      </c>
      <c r="B14" s="17" t="s">
        <v>118</v>
      </c>
      <c r="C14" s="17">
        <v>229836</v>
      </c>
      <c r="D14" s="361">
        <f>C14/'- 3 -'!E14</f>
        <v>0.005277690844234202</v>
      </c>
      <c r="E14" s="17">
        <f>C14/'- 7 -'!G14</f>
        <v>36.8977363942848</v>
      </c>
      <c r="F14" s="17">
        <v>5000</v>
      </c>
      <c r="G14" s="361">
        <f>F14/'- 3 -'!E14</f>
        <v>0.00011481427722885454</v>
      </c>
      <c r="H14" s="17">
        <f>F14/'- 7 -'!G14</f>
        <v>0.8026970621287526</v>
      </c>
      <c r="I14" s="17">
        <v>765908</v>
      </c>
      <c r="J14" s="361">
        <f>I14/'- 3 -'!E14</f>
        <v>0.017587434688759507</v>
      </c>
      <c r="K14" s="17">
        <f>I14/'- 7 -'!G14</f>
        <v>122.95842029218173</v>
      </c>
    </row>
    <row r="15" spans="1:11" ht="12.75">
      <c r="A15" s="14">
        <v>5</v>
      </c>
      <c r="B15" s="15" t="s">
        <v>119</v>
      </c>
      <c r="C15" s="15">
        <v>295537</v>
      </c>
      <c r="D15" s="360">
        <f>C15/'- 3 -'!E15</f>
        <v>0.00545207935366764</v>
      </c>
      <c r="E15" s="15">
        <f>C15/'- 7 -'!G15</f>
        <v>40.88496921906343</v>
      </c>
      <c r="F15" s="15">
        <v>0</v>
      </c>
      <c r="G15" s="360">
        <f>F15/'- 3 -'!E15</f>
        <v>0</v>
      </c>
      <c r="H15" s="15">
        <f>F15/'- 7 -'!G15</f>
        <v>0</v>
      </c>
      <c r="I15" s="15">
        <v>667213</v>
      </c>
      <c r="J15" s="360">
        <f>I15/'- 3 -'!E15</f>
        <v>0.012308774271237263</v>
      </c>
      <c r="K15" s="15">
        <f>I15/'- 7 -'!G15</f>
        <v>92.30310576191464</v>
      </c>
    </row>
    <row r="16" spans="1:11" ht="12.75">
      <c r="A16" s="16">
        <v>6</v>
      </c>
      <c r="B16" s="17" t="s">
        <v>120</v>
      </c>
      <c r="C16" s="17">
        <v>189889</v>
      </c>
      <c r="D16" s="361">
        <f>C16/'- 3 -'!E16</f>
        <v>0.003047237289098985</v>
      </c>
      <c r="E16" s="17">
        <f>C16/'- 7 -'!G16</f>
        <v>21.365850914205346</v>
      </c>
      <c r="F16" s="17">
        <v>146883</v>
      </c>
      <c r="G16" s="361">
        <f>F16/'- 3 -'!E16</f>
        <v>0.0023570999622659883</v>
      </c>
      <c r="H16" s="17">
        <f>F16/'- 7 -'!G16</f>
        <v>16.52691983122363</v>
      </c>
      <c r="I16" s="17">
        <v>1232085</v>
      </c>
      <c r="J16" s="361">
        <f>I16/'- 3 -'!E16</f>
        <v>0.019771842262266498</v>
      </c>
      <c r="K16" s="17">
        <f>I16/'- 7 -'!G16</f>
        <v>138.63122362869197</v>
      </c>
    </row>
    <row r="17" spans="1:11" ht="12.75">
      <c r="A17" s="14">
        <v>9</v>
      </c>
      <c r="B17" s="15" t="s">
        <v>121</v>
      </c>
      <c r="C17" s="15">
        <v>324300</v>
      </c>
      <c r="D17" s="360">
        <f>C17/'- 3 -'!E17</f>
        <v>0.003865968459014124</v>
      </c>
      <c r="E17" s="15">
        <f>C17/'- 7 -'!G17</f>
        <v>26.142684401451028</v>
      </c>
      <c r="F17" s="15">
        <v>0</v>
      </c>
      <c r="G17" s="360">
        <f>F17/'- 3 -'!E17</f>
        <v>0</v>
      </c>
      <c r="H17" s="15">
        <f>F17/'- 7 -'!G17</f>
        <v>0</v>
      </c>
      <c r="I17" s="15">
        <v>1427050</v>
      </c>
      <c r="J17" s="360">
        <f>I17/'- 3 -'!E17</f>
        <v>0.01701181094491553</v>
      </c>
      <c r="K17" s="15">
        <f>I17/'- 7 -'!G17</f>
        <v>115.03829101168884</v>
      </c>
    </row>
    <row r="18" spans="1:11" ht="12.75">
      <c r="A18" s="16">
        <v>10</v>
      </c>
      <c r="B18" s="17" t="s">
        <v>122</v>
      </c>
      <c r="C18" s="17">
        <v>273586</v>
      </c>
      <c r="D18" s="361">
        <f>C18/'- 3 -'!E18</f>
        <v>0.004416497333379072</v>
      </c>
      <c r="E18" s="17">
        <f>C18/'- 7 -'!G18</f>
        <v>31.721954895935998</v>
      </c>
      <c r="F18" s="17">
        <v>0</v>
      </c>
      <c r="G18" s="361">
        <f>F18/'- 3 -'!E18</f>
        <v>0</v>
      </c>
      <c r="H18" s="17">
        <f>F18/'- 7 -'!G18</f>
        <v>0</v>
      </c>
      <c r="I18" s="17">
        <v>968105</v>
      </c>
      <c r="J18" s="361">
        <f>I18/'- 3 -'!E18</f>
        <v>0.01562811383232675</v>
      </c>
      <c r="K18" s="17">
        <f>I18/'- 7 -'!G18</f>
        <v>112.25056525015943</v>
      </c>
    </row>
    <row r="19" spans="1:11" ht="12.75">
      <c r="A19" s="14">
        <v>11</v>
      </c>
      <c r="B19" s="15" t="s">
        <v>123</v>
      </c>
      <c r="C19" s="15">
        <v>127630</v>
      </c>
      <c r="D19" s="360">
        <f>C19/'- 3 -'!E19</f>
        <v>0.0038265700015260706</v>
      </c>
      <c r="E19" s="15">
        <f>C19/'- 7 -'!G19</f>
        <v>27.172663402171597</v>
      </c>
      <c r="F19" s="15">
        <v>10000</v>
      </c>
      <c r="G19" s="360">
        <f>F19/'- 3 -'!E19</f>
        <v>0.0002998174411600776</v>
      </c>
      <c r="H19" s="15">
        <f>F19/'- 7 -'!G19</f>
        <v>2.1290185224611453</v>
      </c>
      <c r="I19" s="15">
        <v>685890</v>
      </c>
      <c r="J19" s="360">
        <f>I19/'- 3 -'!E19</f>
        <v>0.020564178471728565</v>
      </c>
      <c r="K19" s="15">
        <f>I19/'- 7 -'!G19</f>
        <v>146.0272514370875</v>
      </c>
    </row>
    <row r="20" spans="1:11" ht="12.75">
      <c r="A20" s="16">
        <v>12</v>
      </c>
      <c r="B20" s="17" t="s">
        <v>124</v>
      </c>
      <c r="C20" s="17">
        <v>106567</v>
      </c>
      <c r="D20" s="361">
        <f>C20/'- 3 -'!E20</f>
        <v>0.002035688532911307</v>
      </c>
      <c r="E20" s="17">
        <f>C20/'- 7 -'!G20</f>
        <v>13.959523185747969</v>
      </c>
      <c r="F20" s="17">
        <v>1625</v>
      </c>
      <c r="G20" s="361">
        <f>F20/'- 3 -'!E20</f>
        <v>3.104144684546693E-05</v>
      </c>
      <c r="H20" s="17">
        <f>F20/'- 7 -'!G20</f>
        <v>0.21286350537070997</v>
      </c>
      <c r="I20" s="17">
        <v>800674</v>
      </c>
      <c r="J20" s="361">
        <f>I20/'- 3 -'!E20</f>
        <v>0.015294818099413778</v>
      </c>
      <c r="K20" s="17">
        <f>I20/'- 7 -'!G20</f>
        <v>104.88263033796176</v>
      </c>
    </row>
    <row r="21" spans="1:11" ht="12.75">
      <c r="A21" s="14">
        <v>13</v>
      </c>
      <c r="B21" s="15" t="s">
        <v>125</v>
      </c>
      <c r="C21" s="15">
        <v>102869</v>
      </c>
      <c r="D21" s="360">
        <f>C21/'- 3 -'!E21</f>
        <v>0.004895233746233602</v>
      </c>
      <c r="E21" s="15">
        <f>C21/'- 7 -'!G21</f>
        <v>39.26297709923664</v>
      </c>
      <c r="F21" s="15">
        <v>150879</v>
      </c>
      <c r="G21" s="360">
        <f>F21/'- 3 -'!E21</f>
        <v>0.007179888716697739</v>
      </c>
      <c r="H21" s="15">
        <f>F21/'- 7 -'!G21</f>
        <v>57.58740458015267</v>
      </c>
      <c r="I21" s="15">
        <v>257162</v>
      </c>
      <c r="J21" s="360">
        <f>I21/'- 3 -'!E21</f>
        <v>0.012237584701405922</v>
      </c>
      <c r="K21" s="15">
        <f>I21/'- 7 -'!G21</f>
        <v>98.15343511450382</v>
      </c>
    </row>
    <row r="22" spans="1:11" ht="12.75">
      <c r="A22" s="16">
        <v>14</v>
      </c>
      <c r="B22" s="17" t="s">
        <v>126</v>
      </c>
      <c r="C22" s="17">
        <v>149479</v>
      </c>
      <c r="D22" s="361">
        <f>C22/'- 3 -'!E22</f>
        <v>0.006279193161128208</v>
      </c>
      <c r="E22" s="17">
        <f>C22/'- 7 -'!G22</f>
        <v>43.65625</v>
      </c>
      <c r="F22" s="17">
        <v>0</v>
      </c>
      <c r="G22" s="361">
        <f>F22/'- 3 -'!E22</f>
        <v>0</v>
      </c>
      <c r="H22" s="17">
        <f>F22/'- 7 -'!G22</f>
        <v>0</v>
      </c>
      <c r="I22" s="17">
        <v>331667</v>
      </c>
      <c r="J22" s="361">
        <f>I22/'- 3 -'!E22</f>
        <v>0.013932399589052034</v>
      </c>
      <c r="K22" s="17">
        <f>I22/'- 7 -'!G22</f>
        <v>96.86536214953271</v>
      </c>
    </row>
    <row r="23" spans="1:11" ht="12.75">
      <c r="A23" s="14">
        <v>15</v>
      </c>
      <c r="B23" s="15" t="s">
        <v>127</v>
      </c>
      <c r="C23" s="15">
        <v>203370</v>
      </c>
      <c r="D23" s="360">
        <f>C23/'- 3 -'!E23</f>
        <v>0.005983308695862596</v>
      </c>
      <c r="E23" s="15">
        <f>C23/'- 7 -'!G23</f>
        <v>33.49308300395257</v>
      </c>
      <c r="F23" s="15">
        <v>6000</v>
      </c>
      <c r="G23" s="360">
        <f>F23/'- 3 -'!E23</f>
        <v>0.0001765248176976721</v>
      </c>
      <c r="H23" s="15">
        <f>F23/'- 7 -'!G23</f>
        <v>0.9881422924901185</v>
      </c>
      <c r="I23" s="15">
        <v>466166</v>
      </c>
      <c r="J23" s="360">
        <f>I23/'- 3 -'!E23</f>
        <v>0.013714978027808838</v>
      </c>
      <c r="K23" s="15">
        <f>I23/'- 7 -'!G23</f>
        <v>76.77305665349144</v>
      </c>
    </row>
    <row r="24" spans="1:11" ht="12.75">
      <c r="A24" s="16">
        <v>16</v>
      </c>
      <c r="B24" s="17" t="s">
        <v>128</v>
      </c>
      <c r="C24" s="17">
        <v>25597</v>
      </c>
      <c r="D24" s="361">
        <f>C24/'- 3 -'!E24</f>
        <v>0.00410166593623886</v>
      </c>
      <c r="E24" s="17">
        <f>C24/'- 7 -'!G24</f>
        <v>30.765625</v>
      </c>
      <c r="F24" s="17">
        <v>0</v>
      </c>
      <c r="G24" s="361">
        <f>F24/'- 3 -'!E24</f>
        <v>0</v>
      </c>
      <c r="H24" s="17">
        <f>F24/'- 7 -'!G24</f>
        <v>0</v>
      </c>
      <c r="I24" s="17">
        <v>79151</v>
      </c>
      <c r="J24" s="361">
        <f>I24/'- 3 -'!E24</f>
        <v>0.0126831644536173</v>
      </c>
      <c r="K24" s="17">
        <f>I24/'- 7 -'!G24</f>
        <v>95.13341346153847</v>
      </c>
    </row>
    <row r="25" spans="1:11" ht="12.75">
      <c r="A25" s="14">
        <v>17</v>
      </c>
      <c r="B25" s="15" t="s">
        <v>129</v>
      </c>
      <c r="C25" s="15">
        <v>34600</v>
      </c>
      <c r="D25" s="360">
        <f>C25/'- 3 -'!E25</f>
        <v>0.007771108948476874</v>
      </c>
      <c r="E25" s="15">
        <f>C25/'- 7 -'!G25</f>
        <v>70.62665850173505</v>
      </c>
      <c r="F25" s="15">
        <v>0</v>
      </c>
      <c r="G25" s="360">
        <f>F25/'- 3 -'!E25</f>
        <v>0</v>
      </c>
      <c r="H25" s="15">
        <f>F25/'- 7 -'!G25</f>
        <v>0</v>
      </c>
      <c r="I25" s="15">
        <v>76000</v>
      </c>
      <c r="J25" s="360">
        <f>I25/'- 3 -'!E25</f>
        <v>0.017069487863706427</v>
      </c>
      <c r="K25" s="15">
        <f>I25/'- 7 -'!G25</f>
        <v>155.13370075525617</v>
      </c>
    </row>
    <row r="26" spans="1:11" ht="12.75">
      <c r="A26" s="16">
        <v>18</v>
      </c>
      <c r="B26" s="17" t="s">
        <v>130</v>
      </c>
      <c r="C26" s="17">
        <v>125970.3875</v>
      </c>
      <c r="D26" s="361">
        <f>C26/'- 3 -'!E26</f>
        <v>0.01285098878757049</v>
      </c>
      <c r="E26" s="17">
        <f>C26/'- 7 -'!G26</f>
        <v>89.97884821428572</v>
      </c>
      <c r="F26" s="17">
        <v>16000</v>
      </c>
      <c r="G26" s="361">
        <f>F26/'- 3 -'!E26</f>
        <v>0.0016322552044315006</v>
      </c>
      <c r="H26" s="17">
        <f>F26/'- 7 -'!G26</f>
        <v>11.428571428571429</v>
      </c>
      <c r="I26" s="17">
        <v>205315.43</v>
      </c>
      <c r="J26" s="361">
        <f>I26/'- 3 -'!E26</f>
        <v>0.020945448697974465</v>
      </c>
      <c r="K26" s="17">
        <f>I26/'- 7 -'!G26</f>
        <v>146.65387857142858</v>
      </c>
    </row>
    <row r="27" spans="1:11" ht="12.75">
      <c r="A27" s="14">
        <v>19</v>
      </c>
      <c r="B27" s="15" t="s">
        <v>131</v>
      </c>
      <c r="C27" s="15">
        <v>97500</v>
      </c>
      <c r="D27" s="360">
        <f>C27/'- 3 -'!E27</f>
        <v>0.007851578590073913</v>
      </c>
      <c r="E27" s="15">
        <f>C27/'- 7 -'!G27</f>
        <v>53.763440860215056</v>
      </c>
      <c r="F27" s="15">
        <v>0</v>
      </c>
      <c r="G27" s="360">
        <f>F27/'- 3 -'!E27</f>
        <v>0</v>
      </c>
      <c r="H27" s="15">
        <f>F27/'- 7 -'!G27</f>
        <v>0</v>
      </c>
      <c r="I27" s="15">
        <v>148000</v>
      </c>
      <c r="J27" s="360">
        <f>I27/'- 3 -'!E27</f>
        <v>0.0119182936546763</v>
      </c>
      <c r="K27" s="15">
        <f>I27/'- 7 -'!G27</f>
        <v>81.61014612627515</v>
      </c>
    </row>
    <row r="28" spans="1:11" ht="12.75">
      <c r="A28" s="16">
        <v>20</v>
      </c>
      <c r="B28" s="17" t="s">
        <v>132</v>
      </c>
      <c r="C28" s="17">
        <v>88784</v>
      </c>
      <c r="D28" s="361">
        <f>C28/'- 3 -'!E28</f>
        <v>0.011234145201427955</v>
      </c>
      <c r="E28" s="17">
        <f>C28/'- 7 -'!G28</f>
        <v>93.17242103053835</v>
      </c>
      <c r="F28" s="17">
        <v>0</v>
      </c>
      <c r="G28" s="361">
        <f>F28/'- 3 -'!E28</f>
        <v>0</v>
      </c>
      <c r="H28" s="17">
        <f>F28/'- 7 -'!G28</f>
        <v>0</v>
      </c>
      <c r="I28" s="17">
        <v>141400</v>
      </c>
      <c r="J28" s="361">
        <f>I28/'- 3 -'!E28</f>
        <v>0.017891828837199416</v>
      </c>
      <c r="K28" s="17">
        <f>I28/'- 7 -'!G28</f>
        <v>148.38912792528072</v>
      </c>
    </row>
    <row r="29" spans="1:11" ht="12.75">
      <c r="A29" s="14">
        <v>21</v>
      </c>
      <c r="B29" s="15" t="s">
        <v>133</v>
      </c>
      <c r="C29" s="15">
        <v>96920</v>
      </c>
      <c r="D29" s="360">
        <f>C29/'- 3 -'!E29</f>
        <v>0.004124957439564181</v>
      </c>
      <c r="E29" s="15">
        <f>C29/'- 7 -'!G29</f>
        <v>28.92270963891376</v>
      </c>
      <c r="F29" s="15">
        <v>0</v>
      </c>
      <c r="G29" s="360">
        <f>F29/'- 3 -'!E29</f>
        <v>0</v>
      </c>
      <c r="H29" s="15">
        <f>F29/'- 7 -'!G29</f>
        <v>0</v>
      </c>
      <c r="I29" s="15">
        <v>293600</v>
      </c>
      <c r="J29" s="360">
        <f>I29/'- 3 -'!E29</f>
        <v>0.012495743956418113</v>
      </c>
      <c r="K29" s="15">
        <f>I29/'- 7 -'!G29</f>
        <v>87.6156371232468</v>
      </c>
    </row>
    <row r="30" spans="1:11" ht="12.75">
      <c r="A30" s="16">
        <v>22</v>
      </c>
      <c r="B30" s="17" t="s">
        <v>134</v>
      </c>
      <c r="C30" s="17">
        <v>110050</v>
      </c>
      <c r="D30" s="361">
        <f>C30/'- 3 -'!E30</f>
        <v>0.008836717770812077</v>
      </c>
      <c r="E30" s="17">
        <f>C30/'- 7 -'!G30</f>
        <v>66.71718702637163</v>
      </c>
      <c r="F30" s="17">
        <v>0</v>
      </c>
      <c r="G30" s="361">
        <f>F30/'- 3 -'!E30</f>
        <v>0</v>
      </c>
      <c r="H30" s="17">
        <f>F30/'- 7 -'!G30</f>
        <v>0</v>
      </c>
      <c r="I30" s="17">
        <v>162300</v>
      </c>
      <c r="J30" s="361">
        <f>I30/'- 3 -'!E30</f>
        <v>0.01303225165109314</v>
      </c>
      <c r="K30" s="17">
        <f>I30/'- 7 -'!G30</f>
        <v>98.39345256138223</v>
      </c>
    </row>
    <row r="31" spans="1:11" ht="12.75">
      <c r="A31" s="14">
        <v>23</v>
      </c>
      <c r="B31" s="15" t="s">
        <v>135</v>
      </c>
      <c r="C31" s="15">
        <v>80139</v>
      </c>
      <c r="D31" s="360">
        <f>C31/'- 3 -'!E31</f>
        <v>0.007835414737079641</v>
      </c>
      <c r="E31" s="15">
        <f>C31/'- 7 -'!G31</f>
        <v>56.67538896746817</v>
      </c>
      <c r="F31" s="15">
        <v>0</v>
      </c>
      <c r="G31" s="360">
        <f>F31/'- 3 -'!E31</f>
        <v>0</v>
      </c>
      <c r="H31" s="15">
        <f>F31/'- 7 -'!G31</f>
        <v>0</v>
      </c>
      <c r="I31" s="15">
        <v>150250</v>
      </c>
      <c r="J31" s="360">
        <f>I31/'- 3 -'!E31</f>
        <v>0.014690363795982183</v>
      </c>
      <c r="K31" s="15">
        <f>I31/'- 7 -'!G31</f>
        <v>106.25884016973126</v>
      </c>
    </row>
    <row r="32" spans="1:11" ht="12.75">
      <c r="A32" s="16">
        <v>24</v>
      </c>
      <c r="B32" s="17" t="s">
        <v>136</v>
      </c>
      <c r="C32" s="17">
        <v>91079</v>
      </c>
      <c r="D32" s="361">
        <f>C32/'- 3 -'!E32</f>
        <v>0.003895421080695252</v>
      </c>
      <c r="E32" s="17">
        <f>C32/'- 7 -'!G32</f>
        <v>26.042661481714465</v>
      </c>
      <c r="F32" s="17">
        <v>6000</v>
      </c>
      <c r="G32" s="361">
        <f>F32/'- 3 -'!E32</f>
        <v>0.00025661817196248875</v>
      </c>
      <c r="H32" s="17">
        <f>F32/'- 7 -'!G32</f>
        <v>1.7156091842278327</v>
      </c>
      <c r="I32" s="17">
        <v>334223</v>
      </c>
      <c r="J32" s="361">
        <f>I32/'- 3 -'!E32</f>
        <v>0.014294615881303147</v>
      </c>
      <c r="K32" s="17">
        <f>I32/'- 7 -'!G32</f>
        <v>95.56600806336316</v>
      </c>
    </row>
    <row r="33" spans="1:11" ht="12.75">
      <c r="A33" s="14">
        <v>25</v>
      </c>
      <c r="B33" s="15" t="s">
        <v>137</v>
      </c>
      <c r="C33" s="15">
        <v>76420</v>
      </c>
      <c r="D33" s="360">
        <f>C33/'- 3 -'!E33</f>
        <v>0.0071854683915551845</v>
      </c>
      <c r="E33" s="15">
        <f>C33/'- 7 -'!G33</f>
        <v>54.663805436337626</v>
      </c>
      <c r="F33" s="15">
        <v>4000</v>
      </c>
      <c r="G33" s="360">
        <f>F33/'- 3 -'!E33</f>
        <v>0.0003761040770246106</v>
      </c>
      <c r="H33" s="15">
        <f>F33/'- 7 -'!G33</f>
        <v>2.8612303290414878</v>
      </c>
      <c r="I33" s="15">
        <v>142630</v>
      </c>
      <c r="J33" s="360">
        <f>I33/'- 3 -'!E33</f>
        <v>0.01341093112650505</v>
      </c>
      <c r="K33" s="15">
        <f>I33/'- 7 -'!G33</f>
        <v>102.02432045779685</v>
      </c>
    </row>
    <row r="34" spans="1:11" ht="12.75">
      <c r="A34" s="16">
        <v>26</v>
      </c>
      <c r="B34" s="17" t="s">
        <v>138</v>
      </c>
      <c r="C34" s="17">
        <v>98800</v>
      </c>
      <c r="D34" s="361">
        <f>C34/'- 3 -'!E34</f>
        <v>0.00569723355486038</v>
      </c>
      <c r="E34" s="17">
        <f>C34/'- 7 -'!G34</f>
        <v>33.37837837837838</v>
      </c>
      <c r="F34" s="17">
        <v>13700</v>
      </c>
      <c r="G34" s="361">
        <f>F34/'- 3 -'!E34</f>
        <v>0.0007900010091253766</v>
      </c>
      <c r="H34" s="17">
        <f>F34/'- 7 -'!G34</f>
        <v>4.628378378378378</v>
      </c>
      <c r="I34" s="17">
        <v>249300</v>
      </c>
      <c r="J34" s="361">
        <f>I34/'- 3 -'!E34</f>
        <v>0.014375711793792437</v>
      </c>
      <c r="K34" s="17">
        <f>I34/'- 7 -'!G34</f>
        <v>84.22297297297297</v>
      </c>
    </row>
    <row r="35" spans="1:11" ht="12.75">
      <c r="A35" s="14">
        <v>28</v>
      </c>
      <c r="B35" s="15" t="s">
        <v>139</v>
      </c>
      <c r="C35" s="15">
        <v>75981</v>
      </c>
      <c r="D35" s="360">
        <f>C35/'- 3 -'!E35</f>
        <v>0.01186526804721309</v>
      </c>
      <c r="E35" s="15">
        <f>C35/'- 7 -'!G35</f>
        <v>92.71629042098841</v>
      </c>
      <c r="F35" s="15">
        <v>0</v>
      </c>
      <c r="G35" s="360">
        <f>F35/'- 3 -'!E35</f>
        <v>0</v>
      </c>
      <c r="H35" s="15">
        <f>F35/'- 7 -'!G35</f>
        <v>0</v>
      </c>
      <c r="I35" s="15">
        <v>76154</v>
      </c>
      <c r="J35" s="360">
        <f>I35/'- 3 -'!E35</f>
        <v>0.011892283898178039</v>
      </c>
      <c r="K35" s="15">
        <f>I35/'- 7 -'!G35</f>
        <v>92.92739475289811</v>
      </c>
    </row>
    <row r="36" spans="1:11" ht="12.75">
      <c r="A36" s="16">
        <v>30</v>
      </c>
      <c r="B36" s="17" t="s">
        <v>140</v>
      </c>
      <c r="C36" s="17">
        <v>95695</v>
      </c>
      <c r="D36" s="361">
        <f>C36/'- 3 -'!E36</f>
        <v>0.00977055755633858</v>
      </c>
      <c r="E36" s="17">
        <f>C36/'- 7 -'!G36</f>
        <v>73.52105101413645</v>
      </c>
      <c r="F36" s="17">
        <v>0</v>
      </c>
      <c r="G36" s="361">
        <f>F36/'- 3 -'!E36</f>
        <v>0</v>
      </c>
      <c r="H36" s="17">
        <f>F36/'- 7 -'!G36</f>
        <v>0</v>
      </c>
      <c r="I36" s="17">
        <v>201641</v>
      </c>
      <c r="J36" s="361">
        <f>I36/'- 3 -'!E36</f>
        <v>0.020587752716627487</v>
      </c>
      <c r="K36" s="17">
        <f>I36/'- 7 -'!G36</f>
        <v>154.91779348494163</v>
      </c>
    </row>
    <row r="37" spans="1:11" ht="12.75">
      <c r="A37" s="14">
        <v>31</v>
      </c>
      <c r="B37" s="15" t="s">
        <v>141</v>
      </c>
      <c r="C37" s="15">
        <v>91219</v>
      </c>
      <c r="D37" s="360">
        <f>C37/'- 3 -'!E37</f>
        <v>0.008329600099934381</v>
      </c>
      <c r="E37" s="15">
        <f>C37/'- 7 -'!G37</f>
        <v>56.30802469135803</v>
      </c>
      <c r="F37" s="15">
        <v>0</v>
      </c>
      <c r="G37" s="360">
        <f>F37/'- 3 -'!E37</f>
        <v>0</v>
      </c>
      <c r="H37" s="15">
        <f>F37/'- 7 -'!G37</f>
        <v>0</v>
      </c>
      <c r="I37" s="15">
        <v>139798</v>
      </c>
      <c r="J37" s="360">
        <f>I37/'- 3 -'!E37</f>
        <v>0.012765557995271015</v>
      </c>
      <c r="K37" s="15">
        <f>I37/'- 7 -'!G37</f>
        <v>86.29506172839505</v>
      </c>
    </row>
    <row r="38" spans="1:11" ht="12.75">
      <c r="A38" s="16">
        <v>32</v>
      </c>
      <c r="B38" s="17" t="s">
        <v>142</v>
      </c>
      <c r="C38" s="17">
        <v>87211</v>
      </c>
      <c r="D38" s="361">
        <f>C38/'- 3 -'!E38</f>
        <v>0.012685826831212508</v>
      </c>
      <c r="E38" s="17">
        <f>C38/'- 7 -'!G38</f>
        <v>103.8844550327576</v>
      </c>
      <c r="F38" s="17">
        <v>0</v>
      </c>
      <c r="G38" s="361">
        <f>F38/'- 3 -'!E38</f>
        <v>0</v>
      </c>
      <c r="H38" s="17">
        <f>F38/'- 7 -'!G38</f>
        <v>0</v>
      </c>
      <c r="I38" s="17">
        <v>70749</v>
      </c>
      <c r="J38" s="361">
        <f>I38/'- 3 -'!E38</f>
        <v>0.010291242646930475</v>
      </c>
      <c r="K38" s="17">
        <f>I38/'- 7 -'!G38</f>
        <v>84.27516378796903</v>
      </c>
    </row>
    <row r="39" spans="1:11" ht="12.75">
      <c r="A39" s="14">
        <v>33</v>
      </c>
      <c r="B39" s="15" t="s">
        <v>143</v>
      </c>
      <c r="C39" s="15">
        <v>119253</v>
      </c>
      <c r="D39" s="360">
        <f>C39/'- 3 -'!E39</f>
        <v>0.008708313239603813</v>
      </c>
      <c r="E39" s="15">
        <f>C39/'- 7 -'!G39</f>
        <v>63.76824768728945</v>
      </c>
      <c r="F39" s="15">
        <v>4200</v>
      </c>
      <c r="G39" s="360">
        <f>F39/'- 3 -'!E39</f>
        <v>0.00030670017195656306</v>
      </c>
      <c r="H39" s="15">
        <f>F39/'- 7 -'!G39</f>
        <v>2.2458692048553552</v>
      </c>
      <c r="I39" s="15">
        <v>208596</v>
      </c>
      <c r="J39" s="360">
        <f>I39/'- 3 -'!E39</f>
        <v>0.015232483111774102</v>
      </c>
      <c r="K39" s="15">
        <f>I39/'- 7 -'!G39</f>
        <v>111.54269825143041</v>
      </c>
    </row>
    <row r="40" spans="1:11" ht="12.75">
      <c r="A40" s="16">
        <v>34</v>
      </c>
      <c r="B40" s="17" t="s">
        <v>144</v>
      </c>
      <c r="C40" s="17">
        <v>74500</v>
      </c>
      <c r="D40" s="361">
        <f>C40/'- 3 -'!E40</f>
        <v>0.012927256678229476</v>
      </c>
      <c r="E40" s="17">
        <f>C40/'- 7 -'!G40</f>
        <v>101.98494182067077</v>
      </c>
      <c r="F40" s="17">
        <v>0</v>
      </c>
      <c r="G40" s="361">
        <f>F40/'- 3 -'!E40</f>
        <v>0</v>
      </c>
      <c r="H40" s="17">
        <f>F40/'- 7 -'!G40</f>
        <v>0</v>
      </c>
      <c r="I40" s="17">
        <v>59100</v>
      </c>
      <c r="J40" s="361">
        <f>I40/'- 3 -'!E40</f>
        <v>0.010255045230649155</v>
      </c>
      <c r="K40" s="17">
        <f>I40/'- 7 -'!G40</f>
        <v>80.9034907597536</v>
      </c>
    </row>
    <row r="41" spans="1:11" ht="12.75">
      <c r="A41" s="14">
        <v>35</v>
      </c>
      <c r="B41" s="15" t="s">
        <v>145</v>
      </c>
      <c r="C41" s="15">
        <v>110916</v>
      </c>
      <c r="D41" s="360">
        <f>C41/'- 3 -'!E41</f>
        <v>0.007535091204250456</v>
      </c>
      <c r="E41" s="15">
        <f>C41/'- 7 -'!G41</f>
        <v>57.925631919782745</v>
      </c>
      <c r="F41" s="15">
        <v>2050</v>
      </c>
      <c r="G41" s="360">
        <f>F41/'- 3 -'!E41</f>
        <v>0.000139266985545038</v>
      </c>
      <c r="H41" s="15">
        <f>F41/'- 7 -'!G41</f>
        <v>1.0706078963860455</v>
      </c>
      <c r="I41" s="15">
        <v>179505</v>
      </c>
      <c r="J41" s="360">
        <f>I41/'- 3 -'!E41</f>
        <v>0.012194692800127827</v>
      </c>
      <c r="K41" s="15">
        <f>I41/'- 7 -'!G41</f>
        <v>93.74608314184249</v>
      </c>
    </row>
    <row r="42" spans="1:11" ht="12.75">
      <c r="A42" s="16">
        <v>36</v>
      </c>
      <c r="B42" s="17" t="s">
        <v>146</v>
      </c>
      <c r="C42" s="17">
        <v>88657</v>
      </c>
      <c r="D42" s="361">
        <f>C42/'- 3 -'!E42</f>
        <v>0.011607357947106572</v>
      </c>
      <c r="E42" s="17">
        <f>C42/'- 7 -'!G42</f>
        <v>94.82032085561498</v>
      </c>
      <c r="F42" s="17">
        <v>0</v>
      </c>
      <c r="G42" s="361">
        <f>F42/'- 3 -'!E42</f>
        <v>0</v>
      </c>
      <c r="H42" s="17">
        <f>F42/'- 7 -'!G42</f>
        <v>0</v>
      </c>
      <c r="I42" s="17">
        <v>67976</v>
      </c>
      <c r="J42" s="361">
        <f>I42/'- 3 -'!E42</f>
        <v>0.008899711966483372</v>
      </c>
      <c r="K42" s="17">
        <f>I42/'- 7 -'!G42</f>
        <v>72.70160427807487</v>
      </c>
    </row>
    <row r="43" spans="1:11" ht="12.75">
      <c r="A43" s="14">
        <v>37</v>
      </c>
      <c r="B43" s="15" t="s">
        <v>147</v>
      </c>
      <c r="C43" s="15">
        <v>80408</v>
      </c>
      <c r="D43" s="360">
        <f>C43/'- 3 -'!E43</f>
        <v>0.011610978503054798</v>
      </c>
      <c r="E43" s="15">
        <f>C43/'- 7 -'!G43</f>
        <v>87.20757459084845</v>
      </c>
      <c r="F43" s="15">
        <v>0</v>
      </c>
      <c r="G43" s="360">
        <f>F43/'- 3 -'!E43</f>
        <v>0</v>
      </c>
      <c r="H43" s="15">
        <f>F43/'- 7 -'!G43</f>
        <v>0</v>
      </c>
      <c r="I43" s="15">
        <v>83443</v>
      </c>
      <c r="J43" s="360">
        <f>I43/'- 3 -'!E43</f>
        <v>0.012049234892428633</v>
      </c>
      <c r="K43" s="15">
        <f>I43/'- 7 -'!G43</f>
        <v>90.49922453716256</v>
      </c>
    </row>
    <row r="44" spans="1:11" ht="12.75">
      <c r="A44" s="16">
        <v>38</v>
      </c>
      <c r="B44" s="17" t="s">
        <v>148</v>
      </c>
      <c r="C44" s="17">
        <v>81931</v>
      </c>
      <c r="D44" s="361">
        <f>C44/'- 3 -'!E44</f>
        <v>0.009148027866475483</v>
      </c>
      <c r="E44" s="17">
        <f>C44/'- 7 -'!G44</f>
        <v>70.14640410958904</v>
      </c>
      <c r="F44" s="17">
        <v>0</v>
      </c>
      <c r="G44" s="361">
        <f>F44/'- 3 -'!E44</f>
        <v>0</v>
      </c>
      <c r="H44" s="17">
        <f>F44/'- 7 -'!G44</f>
        <v>0</v>
      </c>
      <c r="I44" s="17">
        <v>136412</v>
      </c>
      <c r="J44" s="361">
        <f>I44/'- 3 -'!E44</f>
        <v>0.015231118591517906</v>
      </c>
      <c r="K44" s="17">
        <f>I44/'- 7 -'!G44</f>
        <v>116.79109589041096</v>
      </c>
    </row>
    <row r="45" spans="1:11" ht="12.75">
      <c r="A45" s="14">
        <v>39</v>
      </c>
      <c r="B45" s="15" t="s">
        <v>149</v>
      </c>
      <c r="C45" s="15">
        <v>97800</v>
      </c>
      <c r="D45" s="360">
        <f>C45/'- 3 -'!E45</f>
        <v>0.006141229438969178</v>
      </c>
      <c r="E45" s="15">
        <f>C45/'- 7 -'!G45</f>
        <v>46.57142857142857</v>
      </c>
      <c r="F45" s="15">
        <v>0</v>
      </c>
      <c r="G45" s="360">
        <f>F45/'- 3 -'!E45</f>
        <v>0</v>
      </c>
      <c r="H45" s="15">
        <f>F45/'- 7 -'!G45</f>
        <v>0</v>
      </c>
      <c r="I45" s="15">
        <v>148500</v>
      </c>
      <c r="J45" s="360">
        <f>I45/'- 3 -'!E45</f>
        <v>0.00932487292113418</v>
      </c>
      <c r="K45" s="15">
        <f>I45/'- 7 -'!G45</f>
        <v>70.71428571428571</v>
      </c>
    </row>
    <row r="46" spans="1:11" ht="12.75">
      <c r="A46" s="16">
        <v>40</v>
      </c>
      <c r="B46" s="17" t="s">
        <v>150</v>
      </c>
      <c r="C46" s="17">
        <v>177500</v>
      </c>
      <c r="D46" s="361">
        <f>C46/'- 3 -'!E46</f>
        <v>0.0037987009512803226</v>
      </c>
      <c r="E46" s="17">
        <f>C46/'- 7 -'!G46</f>
        <v>23.981625346213605</v>
      </c>
      <c r="F46" s="17">
        <v>0</v>
      </c>
      <c r="G46" s="361">
        <f>F46/'- 3 -'!E46</f>
        <v>0</v>
      </c>
      <c r="H46" s="17">
        <f>F46/'- 7 -'!G46</f>
        <v>0</v>
      </c>
      <c r="I46" s="17">
        <v>867900</v>
      </c>
      <c r="J46" s="361">
        <f>I46/'- 3 -'!E46</f>
        <v>0.018574042566851787</v>
      </c>
      <c r="K46" s="17">
        <f>I46/'- 7 -'!G46</f>
        <v>117.26001486185233</v>
      </c>
    </row>
    <row r="47" spans="1:11" ht="12.75">
      <c r="A47" s="14">
        <v>41</v>
      </c>
      <c r="B47" s="15" t="s">
        <v>151</v>
      </c>
      <c r="C47" s="15">
        <v>87750</v>
      </c>
      <c r="D47" s="360">
        <f>C47/'- 3 -'!E47</f>
        <v>0.007144365688611824</v>
      </c>
      <c r="E47" s="15">
        <f>C47/'- 7 -'!G47</f>
        <v>55.59075071270193</v>
      </c>
      <c r="F47" s="15">
        <v>0</v>
      </c>
      <c r="G47" s="360">
        <f>F47/'- 3 -'!E47</f>
        <v>0</v>
      </c>
      <c r="H47" s="15">
        <f>F47/'- 7 -'!G47</f>
        <v>0</v>
      </c>
      <c r="I47" s="15">
        <v>221450</v>
      </c>
      <c r="J47" s="360">
        <f>I47/'- 3 -'!E47</f>
        <v>0.018029855062599298</v>
      </c>
      <c r="K47" s="15">
        <f>I47/'- 7 -'!G47</f>
        <v>140.291415901172</v>
      </c>
    </row>
    <row r="48" spans="1:11" ht="12.75">
      <c r="A48" s="16">
        <v>42</v>
      </c>
      <c r="B48" s="17" t="s">
        <v>152</v>
      </c>
      <c r="C48" s="17">
        <v>103158</v>
      </c>
      <c r="D48" s="361">
        <f>C48/'- 3 -'!E48</f>
        <v>0.012851126849907987</v>
      </c>
      <c r="E48" s="17">
        <f>C48/'- 7 -'!G48</f>
        <v>99.14271984622778</v>
      </c>
      <c r="F48" s="17">
        <v>3200</v>
      </c>
      <c r="G48" s="361">
        <f>F48/'- 3 -'!E48</f>
        <v>0.00039864679345960136</v>
      </c>
      <c r="H48" s="17">
        <f>F48/'- 7 -'!G48</f>
        <v>3.075444497837578</v>
      </c>
      <c r="I48" s="17">
        <v>84461</v>
      </c>
      <c r="J48" s="361">
        <f>I48/'- 3 -'!E48</f>
        <v>0.01052190838199731</v>
      </c>
      <c r="K48" s="17">
        <f>I48/'- 7 -'!G48</f>
        <v>81.17347429120615</v>
      </c>
    </row>
    <row r="49" spans="1:11" ht="12.75">
      <c r="A49" s="14">
        <v>43</v>
      </c>
      <c r="B49" s="15" t="s">
        <v>153</v>
      </c>
      <c r="C49" s="15">
        <v>88300</v>
      </c>
      <c r="D49" s="360">
        <f>C49/'- 3 -'!E49</f>
        <v>0.013790410744963299</v>
      </c>
      <c r="E49" s="15">
        <f>C49/'- 7 -'!G49</f>
        <v>113.71538956857695</v>
      </c>
      <c r="F49" s="15">
        <v>0</v>
      </c>
      <c r="G49" s="360">
        <f>F49/'- 3 -'!E49</f>
        <v>0</v>
      </c>
      <c r="H49" s="15">
        <f>F49/'- 7 -'!G49</f>
        <v>0</v>
      </c>
      <c r="I49" s="15">
        <v>99900</v>
      </c>
      <c r="J49" s="360">
        <f>I49/'- 3 -'!E49</f>
        <v>0.015602061533656099</v>
      </c>
      <c r="K49" s="15">
        <f>I49/'- 7 -'!G49</f>
        <v>128.6542176432711</v>
      </c>
    </row>
    <row r="50" spans="1:11" ht="12.75">
      <c r="A50" s="16">
        <v>44</v>
      </c>
      <c r="B50" s="17" t="s">
        <v>154</v>
      </c>
      <c r="C50" s="17">
        <v>100457</v>
      </c>
      <c r="D50" s="361">
        <f>C50/'- 3 -'!E50</f>
        <v>0.01087811748154639</v>
      </c>
      <c r="E50" s="17">
        <f>C50/'- 7 -'!G50</f>
        <v>82.64664747017689</v>
      </c>
      <c r="F50" s="17">
        <v>2000</v>
      </c>
      <c r="G50" s="361">
        <f>F50/'- 3 -'!E50</f>
        <v>0.00021657261279047532</v>
      </c>
      <c r="H50" s="17">
        <f>F50/'- 7 -'!G50</f>
        <v>1.6454134101192925</v>
      </c>
      <c r="I50" s="17">
        <v>119812</v>
      </c>
      <c r="J50" s="361">
        <f>I50/'- 3 -'!E50</f>
        <v>0.012973998941826215</v>
      </c>
      <c r="K50" s="17">
        <f>I50/'- 7 -'!G50</f>
        <v>98.57013574660634</v>
      </c>
    </row>
    <row r="51" spans="1:11" ht="12.75">
      <c r="A51" s="14">
        <v>45</v>
      </c>
      <c r="B51" s="15" t="s">
        <v>155</v>
      </c>
      <c r="C51" s="15">
        <v>86450</v>
      </c>
      <c r="D51" s="360">
        <f>C51/'- 3 -'!E51</f>
        <v>0.007172363807845695</v>
      </c>
      <c r="E51" s="15">
        <f>C51/'- 7 -'!G51</f>
        <v>45.7649550026469</v>
      </c>
      <c r="F51" s="15">
        <v>0</v>
      </c>
      <c r="G51" s="360">
        <f>F51/'- 3 -'!E51</f>
        <v>0</v>
      </c>
      <c r="H51" s="15">
        <f>F51/'- 7 -'!G51</f>
        <v>0</v>
      </c>
      <c r="I51" s="15">
        <v>143400</v>
      </c>
      <c r="J51" s="360">
        <f>I51/'- 3 -'!E51</f>
        <v>0.011897246617062726</v>
      </c>
      <c r="K51" s="15">
        <f>I51/'- 7 -'!G51</f>
        <v>75.91318157755425</v>
      </c>
    </row>
    <row r="52" spans="1:11" ht="12.75">
      <c r="A52" s="16">
        <v>46</v>
      </c>
      <c r="B52" s="17" t="s">
        <v>156</v>
      </c>
      <c r="C52" s="17">
        <v>112307</v>
      </c>
      <c r="D52" s="361">
        <f>C52/'- 3 -'!E52</f>
        <v>0.010591884387215157</v>
      </c>
      <c r="E52" s="17">
        <f>C52/'- 7 -'!G52</f>
        <v>74.82145236508994</v>
      </c>
      <c r="F52" s="17">
        <v>0</v>
      </c>
      <c r="G52" s="361">
        <f>F52/'- 3 -'!E52</f>
        <v>0</v>
      </c>
      <c r="H52" s="17">
        <f>F52/'- 7 -'!G52</f>
        <v>0</v>
      </c>
      <c r="I52" s="17">
        <v>58999</v>
      </c>
      <c r="J52" s="361">
        <f>I52/'- 3 -'!E52</f>
        <v>0.00556430665017592</v>
      </c>
      <c r="K52" s="17">
        <f>I52/'- 7 -'!G52</f>
        <v>39.306462358427716</v>
      </c>
    </row>
    <row r="53" spans="1:11" ht="12.75">
      <c r="A53" s="14">
        <v>47</v>
      </c>
      <c r="B53" s="15" t="s">
        <v>157</v>
      </c>
      <c r="C53" s="15">
        <v>64082</v>
      </c>
      <c r="D53" s="360">
        <f>C53/'- 3 -'!E53</f>
        <v>0.006691595073811483</v>
      </c>
      <c r="E53" s="15">
        <f>C53/'- 7 -'!G53</f>
        <v>45.159971811134604</v>
      </c>
      <c r="F53" s="15">
        <v>0</v>
      </c>
      <c r="G53" s="360">
        <f>F53/'- 3 -'!E53</f>
        <v>0</v>
      </c>
      <c r="H53" s="15">
        <f>F53/'- 7 -'!G53</f>
        <v>0</v>
      </c>
      <c r="I53" s="15">
        <v>111547</v>
      </c>
      <c r="J53" s="360">
        <f>I53/'- 3 -'!E53</f>
        <v>0.01164800342839564</v>
      </c>
      <c r="K53" s="15">
        <f>I53/'- 7 -'!G53</f>
        <v>78.60958421423538</v>
      </c>
    </row>
    <row r="54" spans="1:11" ht="12.75">
      <c r="A54" s="16">
        <v>48</v>
      </c>
      <c r="B54" s="17" t="s">
        <v>158</v>
      </c>
      <c r="C54" s="17">
        <v>0</v>
      </c>
      <c r="D54" s="361">
        <f>C54/'- 3 -'!E54</f>
        <v>0</v>
      </c>
      <c r="E54" s="17">
        <f>C54/'- 7 -'!G54</f>
        <v>0</v>
      </c>
      <c r="F54" s="17">
        <v>20000</v>
      </c>
      <c r="G54" s="361">
        <f>F54/'- 3 -'!E54</f>
        <v>0.0003222120553578355</v>
      </c>
      <c r="H54" s="17">
        <f>F54/'- 7 -'!G54</f>
        <v>3.8535645472061657</v>
      </c>
      <c r="I54" s="17">
        <v>1597570</v>
      </c>
      <c r="J54" s="361">
        <f>I54/'- 3 -'!E54</f>
        <v>0.025737815663900862</v>
      </c>
      <c r="K54" s="17">
        <f>I54/'- 7 -'!G54</f>
        <v>307.8169556840077</v>
      </c>
    </row>
    <row r="55" spans="1:11" ht="12.75">
      <c r="A55" s="14">
        <v>49</v>
      </c>
      <c r="B55" s="15" t="s">
        <v>159</v>
      </c>
      <c r="C55" s="15">
        <v>285652</v>
      </c>
      <c r="D55" s="360">
        <f>C55/'- 3 -'!E55</f>
        <v>0.0071142271642378515</v>
      </c>
      <c r="E55" s="15">
        <f>C55/'- 7 -'!G55</f>
        <v>65.9704387990762</v>
      </c>
      <c r="F55" s="15">
        <v>0</v>
      </c>
      <c r="G55" s="360">
        <f>F55/'- 3 -'!E55</f>
        <v>0</v>
      </c>
      <c r="H55" s="15">
        <f>F55/'- 7 -'!G55</f>
        <v>0</v>
      </c>
      <c r="I55" s="15">
        <v>506624</v>
      </c>
      <c r="J55" s="360">
        <f>I55/'- 3 -'!E55</f>
        <v>0.01261758441339405</v>
      </c>
      <c r="K55" s="15">
        <f>I55/'- 7 -'!G55</f>
        <v>117.00323325635104</v>
      </c>
    </row>
    <row r="56" spans="1:11" ht="12.75">
      <c r="A56" s="16">
        <v>50</v>
      </c>
      <c r="B56" s="17" t="s">
        <v>340</v>
      </c>
      <c r="C56" s="17">
        <v>83800</v>
      </c>
      <c r="D56" s="361">
        <f>C56/'- 3 -'!E56</f>
        <v>0.005813993825233288</v>
      </c>
      <c r="E56" s="17">
        <f>C56/'- 7 -'!G56</f>
        <v>48.67847807144932</v>
      </c>
      <c r="F56" s="17">
        <v>0</v>
      </c>
      <c r="G56" s="361">
        <f>F56/'- 3 -'!E56</f>
        <v>0</v>
      </c>
      <c r="H56" s="17">
        <f>F56/'- 7 -'!G56</f>
        <v>0</v>
      </c>
      <c r="I56" s="17">
        <v>181600</v>
      </c>
      <c r="J56" s="361">
        <f>I56/'- 3 -'!E56</f>
        <v>0.012599299268047317</v>
      </c>
      <c r="K56" s="17">
        <f>I56/'- 7 -'!G56</f>
        <v>105.4893987801336</v>
      </c>
    </row>
    <row r="57" spans="1:11" ht="12.75">
      <c r="A57" s="14">
        <v>2264</v>
      </c>
      <c r="B57" s="15" t="s">
        <v>160</v>
      </c>
      <c r="C57" s="15">
        <v>0</v>
      </c>
      <c r="D57" s="360">
        <f>C57/'- 3 -'!E57</f>
        <v>0</v>
      </c>
      <c r="E57" s="15">
        <f>C57/'- 7 -'!G57</f>
        <v>0</v>
      </c>
      <c r="F57" s="15">
        <v>0</v>
      </c>
      <c r="G57" s="360">
        <f>F57/'- 3 -'!E57</f>
        <v>0</v>
      </c>
      <c r="H57" s="15">
        <f>F57/'- 7 -'!G57</f>
        <v>0</v>
      </c>
      <c r="I57" s="15">
        <v>96228</v>
      </c>
      <c r="J57" s="360">
        <f>I57/'- 3 -'!E57</f>
        <v>0.047586409478116126</v>
      </c>
      <c r="K57" s="15">
        <f>I57/'- 7 -'!G57</f>
        <v>467.126213592233</v>
      </c>
    </row>
    <row r="58" spans="1:11" ht="12.75">
      <c r="A58" s="16">
        <v>2309</v>
      </c>
      <c r="B58" s="17" t="s">
        <v>161</v>
      </c>
      <c r="C58" s="17">
        <v>0</v>
      </c>
      <c r="D58" s="361">
        <f>C58/'- 3 -'!E58</f>
        <v>0</v>
      </c>
      <c r="E58" s="17">
        <f>C58/'- 7 -'!G58</f>
        <v>0</v>
      </c>
      <c r="F58" s="17">
        <v>0</v>
      </c>
      <c r="G58" s="361">
        <f>F58/'- 3 -'!E58</f>
        <v>0</v>
      </c>
      <c r="H58" s="17">
        <f>F58/'- 7 -'!G58</f>
        <v>0</v>
      </c>
      <c r="I58" s="17">
        <v>53228</v>
      </c>
      <c r="J58" s="361">
        <f>I58/'- 3 -'!E58</f>
        <v>0.025283446011900718</v>
      </c>
      <c r="K58" s="17">
        <f>I58/'- 7 -'!G58</f>
        <v>203.39319831868553</v>
      </c>
    </row>
    <row r="59" spans="1:11" ht="12.75">
      <c r="A59" s="14">
        <v>2312</v>
      </c>
      <c r="B59" s="15" t="s">
        <v>162</v>
      </c>
      <c r="C59" s="15">
        <v>0</v>
      </c>
      <c r="D59" s="360">
        <f>C59/'- 3 -'!E59</f>
        <v>0</v>
      </c>
      <c r="E59" s="15">
        <f>C59/'- 7 -'!G59</f>
        <v>0</v>
      </c>
      <c r="F59" s="15">
        <v>0</v>
      </c>
      <c r="G59" s="360">
        <f>F59/'- 3 -'!E59</f>
        <v>0</v>
      </c>
      <c r="H59" s="15">
        <f>F59/'- 7 -'!G59</f>
        <v>0</v>
      </c>
      <c r="I59" s="15">
        <v>50400</v>
      </c>
      <c r="J59" s="360">
        <f>I59/'- 3 -'!E59</f>
        <v>0.03232285918777272</v>
      </c>
      <c r="K59" s="15">
        <f>I59/'- 7 -'!G59</f>
        <v>290.4899135446686</v>
      </c>
    </row>
    <row r="60" spans="1:11" ht="12.75">
      <c r="A60" s="16">
        <v>2355</v>
      </c>
      <c r="B60" s="17" t="s">
        <v>163</v>
      </c>
      <c r="C60" s="17">
        <v>131572</v>
      </c>
      <c r="D60" s="361">
        <f>C60/'- 3 -'!E60</f>
        <v>0.0051284865733686345</v>
      </c>
      <c r="E60" s="17">
        <f>C60/'- 7 -'!G60</f>
        <v>39.28108672936259</v>
      </c>
      <c r="F60" s="17">
        <v>0</v>
      </c>
      <c r="G60" s="361">
        <f>F60/'- 3 -'!E60</f>
        <v>0</v>
      </c>
      <c r="H60" s="17">
        <f>F60/'- 7 -'!G60</f>
        <v>0</v>
      </c>
      <c r="I60" s="17">
        <v>441399</v>
      </c>
      <c r="J60" s="361">
        <f>I60/'- 3 -'!E60</f>
        <v>0.017205095651037772</v>
      </c>
      <c r="K60" s="17">
        <f>I60/'- 7 -'!G60</f>
        <v>131.78056426332287</v>
      </c>
    </row>
    <row r="61" spans="1:11" ht="12.75">
      <c r="A61" s="14">
        <v>2439</v>
      </c>
      <c r="B61" s="15" t="s">
        <v>164</v>
      </c>
      <c r="C61" s="15">
        <v>14407</v>
      </c>
      <c r="D61" s="360">
        <f>C61/'- 3 -'!E61</f>
        <v>0.010604852748818758</v>
      </c>
      <c r="E61" s="15">
        <f>C61/'- 7 -'!G61</f>
        <v>90.89589905362776</v>
      </c>
      <c r="F61" s="15">
        <v>0</v>
      </c>
      <c r="G61" s="360">
        <f>F61/'- 3 -'!E61</f>
        <v>0</v>
      </c>
      <c r="H61" s="15">
        <f>F61/'- 7 -'!G61</f>
        <v>0</v>
      </c>
      <c r="I61" s="15">
        <v>72796</v>
      </c>
      <c r="J61" s="360">
        <f>I61/'- 3 -'!E61</f>
        <v>0.05358442845165617</v>
      </c>
      <c r="K61" s="15">
        <f>I61/'- 7 -'!G61</f>
        <v>459.2807570977918</v>
      </c>
    </row>
    <row r="62" spans="1:11" ht="12.75">
      <c r="A62" s="16">
        <v>2460</v>
      </c>
      <c r="B62" s="17" t="s">
        <v>165</v>
      </c>
      <c r="C62" s="17">
        <v>0</v>
      </c>
      <c r="D62" s="361">
        <f>C62/'- 3 -'!E62</f>
        <v>0</v>
      </c>
      <c r="E62" s="17">
        <f>C62/'- 7 -'!G62</f>
        <v>0</v>
      </c>
      <c r="F62" s="17">
        <v>0</v>
      </c>
      <c r="G62" s="361">
        <f>F62/'- 3 -'!E62</f>
        <v>0</v>
      </c>
      <c r="H62" s="17">
        <f>F62/'- 7 -'!G62</f>
        <v>0</v>
      </c>
      <c r="I62" s="17">
        <v>50700</v>
      </c>
      <c r="J62" s="361">
        <f>I62/'- 3 -'!E62</f>
        <v>0.02357060768466897</v>
      </c>
      <c r="K62" s="17">
        <f>I62/'- 7 -'!G62</f>
        <v>186.26010286554006</v>
      </c>
    </row>
    <row r="63" spans="1:11" ht="12.75">
      <c r="A63" s="14">
        <v>3000</v>
      </c>
      <c r="B63" s="15" t="s">
        <v>363</v>
      </c>
      <c r="C63" s="15">
        <v>0</v>
      </c>
      <c r="D63" s="360">
        <f>C63/'- 3 -'!E63</f>
        <v>0</v>
      </c>
      <c r="E63" s="15">
        <f>C63/'- 7 -'!G63</f>
        <v>0</v>
      </c>
      <c r="F63" s="15">
        <v>0</v>
      </c>
      <c r="G63" s="360">
        <f>F63/'- 3 -'!E63</f>
        <v>0</v>
      </c>
      <c r="H63" s="15">
        <f>F63/'- 7 -'!G63</f>
        <v>0</v>
      </c>
      <c r="I63" s="15">
        <v>0</v>
      </c>
      <c r="J63" s="360">
        <f>I63/'- 3 -'!E63</f>
        <v>0</v>
      </c>
      <c r="K63" s="15">
        <f>I63/'- 7 -'!G63</f>
        <v>0</v>
      </c>
    </row>
    <row r="64" spans="1:11" ht="4.5" customHeight="1">
      <c r="A64" s="18"/>
      <c r="B64" s="18"/>
      <c r="C64" s="18"/>
      <c r="D64" s="198"/>
      <c r="E64" s="18"/>
      <c r="F64" s="18"/>
      <c r="G64" s="198"/>
      <c r="H64" s="18"/>
      <c r="I64" s="18"/>
      <c r="J64" s="198"/>
      <c r="K64" s="18"/>
    </row>
    <row r="65" spans="1:11" ht="12.75">
      <c r="A65" s="20"/>
      <c r="B65" s="21" t="s">
        <v>166</v>
      </c>
      <c r="C65" s="21">
        <f>SUM(C11:C63)</f>
        <v>7286160.3875</v>
      </c>
      <c r="D65" s="103">
        <f>C65/'- 3 -'!E65</f>
        <v>0.005391820772860141</v>
      </c>
      <c r="E65" s="21">
        <f>C65/'- 7 -'!G65</f>
        <v>40.27850033663262</v>
      </c>
      <c r="F65" s="21">
        <f>SUM(F11:F63)</f>
        <v>1130640</v>
      </c>
      <c r="G65" s="103">
        <f>F65/'- 3 -'!E65</f>
        <v>0.0008366832342978793</v>
      </c>
      <c r="H65" s="21">
        <f>F65/'- 7 -'!G65</f>
        <v>6.2502719125890644</v>
      </c>
      <c r="I65" s="21">
        <f>SUM(I11:I63)</f>
        <v>24383161.43</v>
      </c>
      <c r="J65" s="103">
        <f>I65/'- 3 -'!E65</f>
        <v>0.01804374722958652</v>
      </c>
      <c r="K65" s="21">
        <f>I65/'- 7 -'!G65</f>
        <v>134.79214341085932</v>
      </c>
    </row>
    <row r="66" spans="1:11" ht="4.5" customHeight="1">
      <c r="A66" s="18"/>
      <c r="B66" s="18"/>
      <c r="C66" s="18"/>
      <c r="D66" s="198"/>
      <c r="E66" s="18"/>
      <c r="F66" s="18"/>
      <c r="G66" s="198"/>
      <c r="H66" s="18"/>
      <c r="I66" s="18"/>
      <c r="J66" s="198"/>
      <c r="K66" s="18"/>
    </row>
    <row r="67" spans="1:11" ht="12.75">
      <c r="A67" s="16">
        <v>2155</v>
      </c>
      <c r="B67" s="17" t="s">
        <v>167</v>
      </c>
      <c r="C67" s="17">
        <v>0</v>
      </c>
      <c r="D67" s="361">
        <f>C67/'- 3 -'!E67</f>
        <v>0</v>
      </c>
      <c r="E67" s="17">
        <f>C67/'- 7 -'!G67</f>
        <v>0</v>
      </c>
      <c r="F67" s="17">
        <v>0</v>
      </c>
      <c r="G67" s="361">
        <f>F67/'- 3 -'!E67</f>
        <v>0</v>
      </c>
      <c r="H67" s="17">
        <f>F67/'- 7 -'!G67</f>
        <v>0</v>
      </c>
      <c r="I67" s="17">
        <v>45000</v>
      </c>
      <c r="J67" s="361">
        <f>I67/'- 3 -'!E67</f>
        <v>0.03392682662034524</v>
      </c>
      <c r="K67" s="17">
        <f>I67/'- 7 -'!G67</f>
        <v>316.90140845070425</v>
      </c>
    </row>
    <row r="68" spans="1:11" ht="12.75">
      <c r="A68" s="14">
        <v>2408</v>
      </c>
      <c r="B68" s="15" t="s">
        <v>169</v>
      </c>
      <c r="C68" s="15">
        <v>32484</v>
      </c>
      <c r="D68" s="360">
        <f>C68/'- 3 -'!E68</f>
        <v>0.014138446572784666</v>
      </c>
      <c r="E68" s="15">
        <f>C68/'- 7 -'!G68</f>
        <v>133.13114754098362</v>
      </c>
      <c r="F68" s="15">
        <v>2000</v>
      </c>
      <c r="G68" s="360">
        <f>F68/'- 3 -'!E68</f>
        <v>0.0008704867979796001</v>
      </c>
      <c r="H68" s="15">
        <f>F68/'- 7 -'!G68</f>
        <v>8.19672131147541</v>
      </c>
      <c r="I68" s="15">
        <v>19000</v>
      </c>
      <c r="J68" s="360">
        <f>I68/'- 3 -'!E68</f>
        <v>0.008269624580806201</v>
      </c>
      <c r="K68" s="15">
        <f>I68/'- 7 -'!G68</f>
        <v>77.8688524590164</v>
      </c>
    </row>
    <row r="69" ht="6.75" customHeight="1"/>
    <row r="70" spans="1:11" ht="12" customHeight="1">
      <c r="A70" s="396" t="s">
        <v>351</v>
      </c>
      <c r="B70" s="272" t="s">
        <v>324</v>
      </c>
      <c r="C70" s="19"/>
      <c r="D70" s="129"/>
      <c r="E70" s="174"/>
      <c r="F70" s="174"/>
      <c r="G70" s="174"/>
      <c r="H70" s="174"/>
      <c r="I70" s="174"/>
      <c r="J70" s="174"/>
      <c r="K70" s="174"/>
    </row>
    <row r="71" spans="1:11" ht="12" customHeight="1">
      <c r="A71" s="7"/>
      <c r="B71" s="7"/>
      <c r="D71" s="129"/>
      <c r="E71" s="174"/>
      <c r="F71" s="174"/>
      <c r="G71" s="174"/>
      <c r="H71" s="174"/>
      <c r="I71" s="174"/>
      <c r="J71" s="174"/>
      <c r="K71" s="174"/>
    </row>
    <row r="72" spans="1:11" ht="12" customHeight="1">
      <c r="A72" s="7"/>
      <c r="B72" s="7"/>
      <c r="D72" s="129"/>
      <c r="E72" s="174"/>
      <c r="F72" s="241"/>
      <c r="G72" s="174"/>
      <c r="H72" s="174"/>
      <c r="I72" s="174"/>
      <c r="J72" s="174"/>
      <c r="K72" s="174"/>
    </row>
    <row r="73" spans="1:11" ht="12" customHeight="1">
      <c r="A73" s="7"/>
      <c r="B73" s="7"/>
      <c r="D73" s="129"/>
      <c r="E73" s="174"/>
      <c r="F73" s="241"/>
      <c r="G73" s="174"/>
      <c r="H73" s="174"/>
      <c r="I73" s="174"/>
      <c r="J73" s="174"/>
      <c r="K73" s="174"/>
    </row>
    <row r="74" spans="1:11" ht="12" customHeight="1">
      <c r="A74" s="7"/>
      <c r="B74" s="7"/>
      <c r="D74" s="129"/>
      <c r="E74" s="174"/>
      <c r="F74" s="241"/>
      <c r="G74" s="174"/>
      <c r="H74" s="174"/>
      <c r="I74" s="174"/>
      <c r="J74" s="174"/>
      <c r="K74" s="174"/>
    </row>
    <row r="75" ht="12" customHeight="1"/>
  </sheetData>
  <printOptions horizontalCentered="1"/>
  <pageMargins left="0.5" right="0.5" top="0.6" bottom="0" header="0.3" footer="0"/>
  <pageSetup fitToHeight="1" fitToWidth="1" horizontalDpi="300" verticalDpi="300" orientation="portrait" scale="81"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6.83203125" style="82" customWidth="1"/>
    <col min="7" max="7" width="7.83203125" style="82" customWidth="1"/>
    <col min="8" max="8" width="9.83203125" style="82" customWidth="1"/>
    <col min="9" max="9" width="14.83203125" style="82" customWidth="1"/>
    <col min="10" max="10" width="7.83203125" style="82" customWidth="1"/>
    <col min="11" max="11" width="9.83203125" style="82" customWidth="1"/>
    <col min="12" max="16384" width="15.83203125" style="82" customWidth="1"/>
  </cols>
  <sheetData>
    <row r="1" spans="1:11" ht="6.75" customHeight="1">
      <c r="A1" s="18"/>
      <c r="B1" s="80"/>
      <c r="C1" s="142"/>
      <c r="D1" s="142"/>
      <c r="E1" s="142"/>
      <c r="F1" s="142"/>
      <c r="G1" s="142"/>
      <c r="H1" s="142"/>
      <c r="I1" s="142"/>
      <c r="J1" s="142"/>
      <c r="K1" s="142"/>
    </row>
    <row r="2" spans="1:11" ht="12.75">
      <c r="A2" s="9"/>
      <c r="B2" s="83"/>
      <c r="C2" s="200" t="s">
        <v>0</v>
      </c>
      <c r="D2" s="200"/>
      <c r="E2" s="200"/>
      <c r="F2" s="200"/>
      <c r="G2" s="200"/>
      <c r="H2" s="200"/>
      <c r="I2" s="215"/>
      <c r="J2" s="215"/>
      <c r="K2" s="219" t="s">
        <v>425</v>
      </c>
    </row>
    <row r="3" spans="1:11" ht="12.75">
      <c r="A3" s="10"/>
      <c r="B3" s="86"/>
      <c r="C3" s="203" t="str">
        <f>YEAR</f>
        <v>OPERATING FUND BUDGET 2002/2003</v>
      </c>
      <c r="D3" s="203"/>
      <c r="E3" s="203"/>
      <c r="F3" s="203"/>
      <c r="G3" s="203"/>
      <c r="H3" s="203"/>
      <c r="I3" s="216"/>
      <c r="J3" s="216"/>
      <c r="K3" s="220"/>
    </row>
    <row r="4" spans="1:11" ht="12.75">
      <c r="A4" s="11"/>
      <c r="C4" s="142"/>
      <c r="D4" s="142"/>
      <c r="E4" s="142"/>
      <c r="F4" s="142"/>
      <c r="G4" s="142"/>
      <c r="H4" s="142"/>
      <c r="I4" s="142"/>
      <c r="J4" s="142"/>
      <c r="K4" s="142"/>
    </row>
    <row r="5" spans="1:11" ht="16.5">
      <c r="A5" s="11"/>
      <c r="C5" s="340" t="s">
        <v>327</v>
      </c>
      <c r="D5" s="155"/>
      <c r="E5" s="232"/>
      <c r="F5" s="232"/>
      <c r="G5" s="232"/>
      <c r="H5" s="232"/>
      <c r="I5" s="232"/>
      <c r="J5" s="232"/>
      <c r="K5" s="233"/>
    </row>
    <row r="6" spans="1:11" ht="12.75">
      <c r="A6" s="11"/>
      <c r="C6" s="68" t="s">
        <v>17</v>
      </c>
      <c r="D6" s="66"/>
      <c r="E6" s="67"/>
      <c r="F6" s="68" t="s">
        <v>334</v>
      </c>
      <c r="G6" s="66"/>
      <c r="H6" s="67"/>
      <c r="I6" s="68" t="s">
        <v>323</v>
      </c>
      <c r="J6" s="66"/>
      <c r="K6" s="67"/>
    </row>
    <row r="7" spans="3:11" ht="12.75">
      <c r="C7" s="69" t="s">
        <v>44</v>
      </c>
      <c r="D7" s="70"/>
      <c r="E7" s="71"/>
      <c r="F7" s="69" t="s">
        <v>333</v>
      </c>
      <c r="G7" s="70"/>
      <c r="H7" s="71"/>
      <c r="I7" s="69" t="s">
        <v>228</v>
      </c>
      <c r="J7" s="70"/>
      <c r="K7" s="71"/>
    </row>
    <row r="8" spans="1:11" ht="12.75">
      <c r="A8" s="94"/>
      <c r="B8" s="46"/>
      <c r="C8" s="73"/>
      <c r="D8" s="228"/>
      <c r="E8" s="229" t="s">
        <v>75</v>
      </c>
      <c r="F8" s="73"/>
      <c r="G8" s="74"/>
      <c r="H8" s="229" t="s">
        <v>75</v>
      </c>
      <c r="I8" s="73"/>
      <c r="J8" s="74"/>
      <c r="K8" s="229" t="s">
        <v>75</v>
      </c>
    </row>
    <row r="9" spans="1:11" ht="12.75">
      <c r="A9" s="52" t="s">
        <v>100</v>
      </c>
      <c r="B9" s="53" t="s">
        <v>101</v>
      </c>
      <c r="C9" s="75" t="s">
        <v>102</v>
      </c>
      <c r="D9" s="76" t="s">
        <v>103</v>
      </c>
      <c r="E9" s="76" t="s">
        <v>104</v>
      </c>
      <c r="F9" s="76" t="s">
        <v>102</v>
      </c>
      <c r="G9" s="76" t="s">
        <v>103</v>
      </c>
      <c r="H9" s="76" t="s">
        <v>104</v>
      </c>
      <c r="I9" s="76" t="s">
        <v>102</v>
      </c>
      <c r="J9" s="76" t="s">
        <v>103</v>
      </c>
      <c r="K9" s="76" t="s">
        <v>104</v>
      </c>
    </row>
    <row r="10" spans="1:2" ht="4.5" customHeight="1">
      <c r="A10" s="77"/>
      <c r="B10" s="77"/>
    </row>
    <row r="11" spans="1:11" ht="12.75">
      <c r="A11" s="14">
        <v>1</v>
      </c>
      <c r="B11" s="15" t="s">
        <v>115</v>
      </c>
      <c r="C11" s="15">
        <v>14268700</v>
      </c>
      <c r="D11" s="360">
        <f>C11/'- 3 -'!E11</f>
        <v>0.05614117230457492</v>
      </c>
      <c r="E11" s="15">
        <f>IF(AND(C11&gt;0,'- 7 -'!E11=0),"N/A ",IF(C11&gt;0,C11/'- 7 -'!E11,0))</f>
        <v>13961.545988258316</v>
      </c>
      <c r="F11" s="15">
        <v>13263100</v>
      </c>
      <c r="G11" s="360">
        <f>F11/'- 3 -'!E11</f>
        <v>0.0521845705910705</v>
      </c>
      <c r="H11" s="15">
        <f>F11/'- 7 -'!G11</f>
        <v>428.97664790736786</v>
      </c>
      <c r="I11" s="15">
        <v>13570500</v>
      </c>
      <c r="J11" s="360">
        <f>I11/'- 3 -'!E11</f>
        <v>0.05339405683483667</v>
      </c>
      <c r="K11" s="15">
        <f>I11/'- 7 -'!G11</f>
        <v>438.91907626625266</v>
      </c>
    </row>
    <row r="12" spans="1:11" ht="12.75">
      <c r="A12" s="16">
        <v>2</v>
      </c>
      <c r="B12" s="17" t="s">
        <v>116</v>
      </c>
      <c r="C12" s="17">
        <v>1361940</v>
      </c>
      <c r="D12" s="361">
        <f>C12/'- 3 -'!E12</f>
        <v>0.0216828049882965</v>
      </c>
      <c r="E12" s="17">
        <f>IF(AND(C12&gt;0,'- 7 -'!E12=0),"N/A ",IF(C12&gt;0,C12/'- 7 -'!E12,0))</f>
        <v>11456.4266487214</v>
      </c>
      <c r="F12" s="17">
        <v>2542934</v>
      </c>
      <c r="G12" s="361">
        <f>F12/'- 3 -'!E12</f>
        <v>0.04048485397308896</v>
      </c>
      <c r="H12" s="17">
        <f>F12/'- 7 -'!G12</f>
        <v>278.04391086618995</v>
      </c>
      <c r="I12" s="17">
        <v>1764979</v>
      </c>
      <c r="J12" s="361">
        <f>I12/'- 3 -'!E12</f>
        <v>0.02809939899366974</v>
      </c>
      <c r="K12" s="17">
        <f>I12/'- 7 -'!G12</f>
        <v>192.98246189507753</v>
      </c>
    </row>
    <row r="13" spans="1:11" ht="12.75">
      <c r="A13" s="14">
        <v>3</v>
      </c>
      <c r="B13" s="15" t="s">
        <v>117</v>
      </c>
      <c r="C13" s="15">
        <v>0</v>
      </c>
      <c r="D13" s="360">
        <f>C13/'- 3 -'!E13</f>
        <v>0</v>
      </c>
      <c r="E13" s="15">
        <f>IF(AND(C13&gt;0,'- 7 -'!E13=0),"N/A ",IF(C13&gt;0,C13/'- 7 -'!E13,0))</f>
        <v>0</v>
      </c>
      <c r="F13" s="15">
        <v>2999660</v>
      </c>
      <c r="G13" s="360">
        <f>F13/'- 3 -'!E13</f>
        <v>0.0676697024780882</v>
      </c>
      <c r="H13" s="15">
        <f>F13/'- 7 -'!G13</f>
        <v>522.0885910712732</v>
      </c>
      <c r="I13" s="15">
        <v>2457400</v>
      </c>
      <c r="J13" s="360">
        <f>I13/'- 3 -'!E13</f>
        <v>0.05543679179295452</v>
      </c>
      <c r="K13" s="15">
        <f>I13/'- 7 -'!G13</f>
        <v>427.7086415455574</v>
      </c>
    </row>
    <row r="14" spans="1:11" ht="12.75">
      <c r="A14" s="16">
        <v>4</v>
      </c>
      <c r="B14" s="17" t="s">
        <v>118</v>
      </c>
      <c r="C14" s="17">
        <v>1647368</v>
      </c>
      <c r="D14" s="361">
        <f>C14/'- 3 -'!E14</f>
        <v>0.037828273249988734</v>
      </c>
      <c r="E14" s="17">
        <f>IF(AND(C14&gt;0,'- 7 -'!E14=0),"N/A ",IF(C14&gt;0,C14/'- 7 -'!E14,0))</f>
        <v>14708.642857142857</v>
      </c>
      <c r="F14" s="17">
        <v>2223325</v>
      </c>
      <c r="G14" s="361">
        <f>F14/'- 3 -'!E14</f>
        <v>0.05105389058396861</v>
      </c>
      <c r="H14" s="17">
        <f>F14/'- 7 -'!G14</f>
        <v>356.9312891314818</v>
      </c>
      <c r="I14" s="17">
        <v>1688241</v>
      </c>
      <c r="J14" s="361">
        <f>I14/'- 3 -'!E14</f>
        <v>0.03876683404062373</v>
      </c>
      <c r="K14" s="17">
        <f>I14/'- 7 -'!G14</f>
        <v>271.0292181730615</v>
      </c>
    </row>
    <row r="15" spans="1:11" ht="12.75">
      <c r="A15" s="14">
        <v>5</v>
      </c>
      <c r="B15" s="15" t="s">
        <v>119</v>
      </c>
      <c r="C15" s="15">
        <v>1260757</v>
      </c>
      <c r="D15" s="360">
        <f>C15/'- 3 -'!E15</f>
        <v>0.023258499645364042</v>
      </c>
      <c r="E15" s="15">
        <f>IF(AND(C15&gt;0,'- 7 -'!E15=0),"N/A ",IF(C15&gt;0,C15/'- 7 -'!E15,0))</f>
        <v>28653.56818181818</v>
      </c>
      <c r="F15" s="15">
        <v>3447038</v>
      </c>
      <c r="G15" s="360">
        <f>F15/'- 3 -'!E15</f>
        <v>0.06359110605815108</v>
      </c>
      <c r="H15" s="15">
        <f>F15/'- 7 -'!G15</f>
        <v>476.86767655806875</v>
      </c>
      <c r="I15" s="15">
        <v>1530893</v>
      </c>
      <c r="J15" s="360">
        <f>I15/'- 3 -'!E15</f>
        <v>0.028241980252808663</v>
      </c>
      <c r="K15" s="15">
        <f>I15/'- 7 -'!G15</f>
        <v>211.785709344954</v>
      </c>
    </row>
    <row r="16" spans="1:11" ht="12.75">
      <c r="A16" s="16">
        <v>6</v>
      </c>
      <c r="B16" s="17" t="s">
        <v>120</v>
      </c>
      <c r="C16" s="17">
        <v>1715221</v>
      </c>
      <c r="D16" s="361">
        <f>C16/'- 3 -'!E16</f>
        <v>0.027524950840994742</v>
      </c>
      <c r="E16" s="17">
        <f>IF(AND(C16&gt;0,'- 7 -'!E16=0),"N/A ",IF(C16&gt;0,C16/'- 7 -'!E16,0))</f>
        <v>22869.613333333335</v>
      </c>
      <c r="F16" s="17">
        <v>1934515</v>
      </c>
      <c r="G16" s="361">
        <f>F16/'- 3 -'!E16</f>
        <v>0.03104406387058399</v>
      </c>
      <c r="H16" s="17">
        <f>F16/'- 7 -'!G16</f>
        <v>217.66694796061884</v>
      </c>
      <c r="I16" s="17">
        <v>3228782</v>
      </c>
      <c r="J16" s="361">
        <f>I16/'- 3 -'!E16</f>
        <v>0.05181376966949955</v>
      </c>
      <c r="K16" s="17">
        <f>I16/'- 7 -'!G16</f>
        <v>363.2947398030942</v>
      </c>
    </row>
    <row r="17" spans="1:11" ht="12.75">
      <c r="A17" s="14">
        <v>9</v>
      </c>
      <c r="B17" s="15" t="s">
        <v>121</v>
      </c>
      <c r="C17" s="15">
        <v>4026900</v>
      </c>
      <c r="D17" s="360">
        <f>C17/'- 3 -'!E17</f>
        <v>0.0480045278680357</v>
      </c>
      <c r="E17" s="15">
        <f>IF(AND(C17&gt;0,'- 7 -'!E17=0),"N/A ",IF(C17&gt;0,C17/'- 7 -'!E17,0))</f>
        <v>21885.32608695652</v>
      </c>
      <c r="F17" s="15">
        <v>2443000</v>
      </c>
      <c r="G17" s="360">
        <f>F17/'- 3 -'!E17</f>
        <v>0.02912291380009715</v>
      </c>
      <c r="H17" s="15">
        <f>F17/'- 7 -'!G17</f>
        <v>196.9367190648932</v>
      </c>
      <c r="I17" s="15">
        <v>3554275</v>
      </c>
      <c r="J17" s="360">
        <f>I17/'- 3 -'!E17</f>
        <v>0.042370382499729964</v>
      </c>
      <c r="K17" s="15">
        <f>I17/'- 7 -'!G17</f>
        <v>286.51954856912533</v>
      </c>
    </row>
    <row r="18" spans="1:11" ht="12.75">
      <c r="A18" s="16">
        <v>10</v>
      </c>
      <c r="B18" s="17" t="s">
        <v>122</v>
      </c>
      <c r="C18" s="17">
        <v>1485626</v>
      </c>
      <c r="D18" s="361">
        <f>C18/'- 3 -'!E18</f>
        <v>0.02398245256481917</v>
      </c>
      <c r="E18" s="17">
        <f>IF(AND(C18&gt;0,'- 7 -'!E18=0),"N/A ",IF(C18&gt;0,C18/'- 7 -'!E18,0))</f>
        <v>39095.42105263158</v>
      </c>
      <c r="F18" s="17">
        <v>4046129</v>
      </c>
      <c r="G18" s="361">
        <f>F18/'- 3 -'!E18</f>
        <v>0.06531663878636966</v>
      </c>
      <c r="H18" s="17">
        <f>F18/'- 7 -'!G18</f>
        <v>469.1436025276828</v>
      </c>
      <c r="I18" s="17">
        <v>1361655</v>
      </c>
      <c r="J18" s="361">
        <f>I18/'- 3 -'!E18</f>
        <v>0.021981189375488073</v>
      </c>
      <c r="K18" s="17">
        <f>I18/'- 7 -'!G18</f>
        <v>157.88219606933734</v>
      </c>
    </row>
    <row r="19" spans="1:11" ht="12.75">
      <c r="A19" s="14">
        <v>11</v>
      </c>
      <c r="B19" s="15" t="s">
        <v>123</v>
      </c>
      <c r="C19" s="15">
        <v>544705</v>
      </c>
      <c r="D19" s="360">
        <f>C19/'- 3 -'!E19</f>
        <v>0.01633120592871001</v>
      </c>
      <c r="E19" s="15">
        <f>IF(AND(C19&gt;0,'- 7 -'!E19=0),"N/A ",IF(C19&gt;0,C19/'- 7 -'!E19,0))</f>
        <v>41900.38461538462</v>
      </c>
      <c r="F19" s="15">
        <v>1510930</v>
      </c>
      <c r="G19" s="360">
        <f>F19/'- 3 -'!E19</f>
        <v>0.045300316637199606</v>
      </c>
      <c r="H19" s="15">
        <f>F19/'- 7 -'!G19</f>
        <v>321.67979561422186</v>
      </c>
      <c r="I19" s="15">
        <v>1237485</v>
      </c>
      <c r="J19" s="360">
        <f>I19/'- 3 -'!E19</f>
        <v>0.037101958617397866</v>
      </c>
      <c r="K19" s="15">
        <f>I19/'- 7 -'!G19</f>
        <v>263.46284862678306</v>
      </c>
    </row>
    <row r="20" spans="1:11" ht="12.75">
      <c r="A20" s="16">
        <v>12</v>
      </c>
      <c r="B20" s="17" t="s">
        <v>124</v>
      </c>
      <c r="C20" s="17">
        <v>399517</v>
      </c>
      <c r="D20" s="361">
        <f>C20/'- 3 -'!E20</f>
        <v>0.007631745058067945</v>
      </c>
      <c r="E20" s="17">
        <f>IF(AND(C20&gt;0,'- 7 -'!E20=0),"N/A ",IF(C20&gt;0,C20/'- 7 -'!E20,0))</f>
        <v>12484.90625</v>
      </c>
      <c r="F20" s="17">
        <v>2938495</v>
      </c>
      <c r="G20" s="361">
        <f>F20/'- 3 -'!E20</f>
        <v>0.05613239159887406</v>
      </c>
      <c r="H20" s="17">
        <f>F20/'- 7 -'!G20</f>
        <v>384.92205920880275</v>
      </c>
      <c r="I20" s="17">
        <v>3168266</v>
      </c>
      <c r="J20" s="361">
        <f>I20/'- 3 -'!E20</f>
        <v>0.060521575773107766</v>
      </c>
      <c r="K20" s="17">
        <f>I20/'- 7 -'!G20</f>
        <v>415.0204348965156</v>
      </c>
    </row>
    <row r="21" spans="1:11" ht="12.75">
      <c r="A21" s="14">
        <v>13</v>
      </c>
      <c r="B21" s="15" t="s">
        <v>125</v>
      </c>
      <c r="C21" s="15">
        <v>243188</v>
      </c>
      <c r="D21" s="360">
        <f>C21/'- 3 -'!E21</f>
        <v>0.011572603060971307</v>
      </c>
      <c r="E21" s="15">
        <f>IF(AND(C21&gt;0,'- 7 -'!E21=0),"N/A ",IF(C21&gt;0,C21/'- 7 -'!E21,0))</f>
        <v>12799.368421052632</v>
      </c>
      <c r="F21" s="15">
        <v>1076062</v>
      </c>
      <c r="G21" s="360">
        <f>F21/'- 3 -'!E21</f>
        <v>0.05120663188559841</v>
      </c>
      <c r="H21" s="15">
        <f>F21/'- 7 -'!G21</f>
        <v>410.71068702290074</v>
      </c>
      <c r="I21" s="15">
        <v>744890</v>
      </c>
      <c r="J21" s="360">
        <f>I21/'- 3 -'!E21</f>
        <v>0.03544712853466009</v>
      </c>
      <c r="K21" s="15">
        <f>I21/'- 7 -'!G21</f>
        <v>284.30916030534354</v>
      </c>
    </row>
    <row r="22" spans="1:11" ht="12.75">
      <c r="A22" s="16">
        <v>14</v>
      </c>
      <c r="B22" s="17" t="s">
        <v>126</v>
      </c>
      <c r="C22" s="17">
        <v>0</v>
      </c>
      <c r="D22" s="361">
        <f>C22/'- 3 -'!E22</f>
        <v>0</v>
      </c>
      <c r="E22" s="17">
        <f>IF(AND(C22&gt;0,'- 7 -'!E22=0),"N/A ",IF(C22&gt;0,C22/'- 7 -'!E22,0))</f>
        <v>0</v>
      </c>
      <c r="F22" s="17">
        <v>1831362</v>
      </c>
      <c r="G22" s="361">
        <f>F22/'- 3 -'!E22</f>
        <v>0.07693037648064327</v>
      </c>
      <c r="H22" s="17">
        <f>F22/'- 7 -'!G22</f>
        <v>534.8603971962617</v>
      </c>
      <c r="I22" s="17">
        <v>603985</v>
      </c>
      <c r="J22" s="361">
        <f>I22/'- 3 -'!E22</f>
        <v>0.025371714297152244</v>
      </c>
      <c r="K22" s="17">
        <f>I22/'- 7 -'!G22</f>
        <v>176.39748831775702</v>
      </c>
    </row>
    <row r="23" spans="1:11" ht="12.75">
      <c r="A23" s="14">
        <v>15</v>
      </c>
      <c r="B23" s="15" t="s">
        <v>127</v>
      </c>
      <c r="C23" s="15">
        <v>0</v>
      </c>
      <c r="D23" s="360">
        <f>C23/'- 3 -'!E23</f>
        <v>0</v>
      </c>
      <c r="E23" s="15">
        <f>IF(AND(C23&gt;0,'- 7 -'!E23=0),"N/A ",IF(C23&gt;0,C23/'- 7 -'!E23,0))</f>
        <v>0</v>
      </c>
      <c r="F23" s="15">
        <v>2164145</v>
      </c>
      <c r="G23" s="360">
        <f>F23/'- 3 -'!E23</f>
        <v>0.0636708835993881</v>
      </c>
      <c r="H23" s="15">
        <f>F23/'- 7 -'!G23</f>
        <v>356.41386693017125</v>
      </c>
      <c r="I23" s="15">
        <v>853878</v>
      </c>
      <c r="J23" s="360">
        <f>I23/'- 3 -'!E23</f>
        <v>0.025121776381008813</v>
      </c>
      <c r="K23" s="15">
        <f>I23/'- 7 -'!G23</f>
        <v>140.62549407114625</v>
      </c>
    </row>
    <row r="24" spans="1:11" ht="12.75">
      <c r="A24" s="16">
        <v>16</v>
      </c>
      <c r="B24" s="17" t="s">
        <v>128</v>
      </c>
      <c r="C24" s="17">
        <v>0</v>
      </c>
      <c r="D24" s="361">
        <f>C24/'- 3 -'!E24</f>
        <v>0</v>
      </c>
      <c r="E24" s="17">
        <f>IF(AND(C24&gt;0,'- 7 -'!E24=0),"N/A ",IF(C24&gt;0,C24/'- 7 -'!E24,0))</f>
        <v>0</v>
      </c>
      <c r="F24" s="17">
        <v>419312</v>
      </c>
      <c r="G24" s="361">
        <f>F24/'- 3 -'!E24</f>
        <v>0.06719059839263151</v>
      </c>
      <c r="H24" s="17">
        <f>F24/'- 7 -'!G24</f>
        <v>503.9807692307692</v>
      </c>
      <c r="I24" s="17">
        <v>138310</v>
      </c>
      <c r="J24" s="361">
        <f>I24/'- 3 -'!E24</f>
        <v>0.022162808752634947</v>
      </c>
      <c r="K24" s="17">
        <f>I24/'- 7 -'!G24</f>
        <v>166.23798076923077</v>
      </c>
    </row>
    <row r="25" spans="1:11" ht="12.75">
      <c r="A25" s="14">
        <v>17</v>
      </c>
      <c r="B25" s="15" t="s">
        <v>129</v>
      </c>
      <c r="C25" s="15">
        <v>105850</v>
      </c>
      <c r="D25" s="360">
        <f>C25/'- 3 -'!E25</f>
        <v>0.02377375382070165</v>
      </c>
      <c r="E25" s="15">
        <f>IF(AND(C25&gt;0,'- 7 -'!E25=0),"N/A ",IF(C25&gt;0,C25/'- 7 -'!E25,0))</f>
        <v>17641.666666666668</v>
      </c>
      <c r="F25" s="15">
        <v>202300</v>
      </c>
      <c r="G25" s="360">
        <f>F25/'- 3 -'!E25</f>
        <v>0.04543628151089224</v>
      </c>
      <c r="H25" s="15">
        <f>F25/'- 7 -'!G25</f>
        <v>412.9414166156359</v>
      </c>
      <c r="I25" s="15">
        <v>85100</v>
      </c>
      <c r="J25" s="360">
        <f>I25/'- 3 -'!E25</f>
        <v>0.01911333443686075</v>
      </c>
      <c r="K25" s="15">
        <f>I25/'- 7 -'!G25</f>
        <v>173.70892018779344</v>
      </c>
    </row>
    <row r="26" spans="1:11" ht="12.75">
      <c r="A26" s="16">
        <v>18</v>
      </c>
      <c r="B26" s="17" t="s">
        <v>130</v>
      </c>
      <c r="C26" s="17">
        <v>0</v>
      </c>
      <c r="D26" s="361">
        <f>C26/'- 3 -'!E26</f>
        <v>0</v>
      </c>
      <c r="E26" s="17">
        <f>IF(AND(C26&gt;0,'- 7 -'!E26=0),"N/A ",IF(C26&gt;0,C26/'- 7 -'!E26,0))</f>
        <v>0</v>
      </c>
      <c r="F26" s="17">
        <v>274695.09</v>
      </c>
      <c r="G26" s="361">
        <f>F26/'- 3 -'!E26</f>
        <v>0.02802328064276747</v>
      </c>
      <c r="H26" s="17">
        <f>F26/'- 7 -'!G26</f>
        <v>196.2107785714286</v>
      </c>
      <c r="I26" s="17">
        <v>656474.46</v>
      </c>
      <c r="J26" s="361">
        <f>I26/'- 3 -'!E26</f>
        <v>0.06697086586945994</v>
      </c>
      <c r="K26" s="17">
        <f>I26/'- 7 -'!G26</f>
        <v>468.9103285714285</v>
      </c>
    </row>
    <row r="27" spans="1:11" ht="12.75">
      <c r="A27" s="14">
        <v>19</v>
      </c>
      <c r="B27" s="15" t="s">
        <v>131</v>
      </c>
      <c r="C27" s="15">
        <v>0</v>
      </c>
      <c r="D27" s="360">
        <f>C27/'- 3 -'!E27</f>
        <v>0</v>
      </c>
      <c r="E27" s="15">
        <f>IF(AND(C27&gt;0,'- 7 -'!E27=0),"N/A ",IF(C27&gt;0,C27/'- 7 -'!E27,0))</f>
        <v>0</v>
      </c>
      <c r="F27" s="15">
        <v>79000</v>
      </c>
      <c r="G27" s="360">
        <f>F27/'- 3 -'!E27</f>
        <v>0.006361791883239376</v>
      </c>
      <c r="H27" s="15">
        <f>F27/'- 7 -'!G27</f>
        <v>43.562172594430656</v>
      </c>
      <c r="I27" s="15">
        <v>1030500</v>
      </c>
      <c r="J27" s="360">
        <f>I27/'- 3 -'!E27</f>
        <v>0.08298514602124275</v>
      </c>
      <c r="K27" s="15">
        <f>I27/'- 7 -'!G27</f>
        <v>568.2382133995037</v>
      </c>
    </row>
    <row r="28" spans="1:11" ht="12.75">
      <c r="A28" s="16">
        <v>20</v>
      </c>
      <c r="B28" s="17" t="s">
        <v>132</v>
      </c>
      <c r="C28" s="17">
        <v>118000</v>
      </c>
      <c r="D28" s="361">
        <f>C28/'- 3 -'!E28</f>
        <v>0.014930946271495976</v>
      </c>
      <c r="E28" s="17">
        <f>IF(AND(C28&gt;0,'- 7 -'!E28=0),"N/A ",IF(C28&gt;0,C28/'- 7 -'!E28,0))</f>
        <v>6555.555555555556</v>
      </c>
      <c r="F28" s="17">
        <v>190000</v>
      </c>
      <c r="G28" s="361">
        <f>F28/'- 3 -'!E28</f>
        <v>0.024041354165968098</v>
      </c>
      <c r="H28" s="17">
        <f>F28/'- 7 -'!G28</f>
        <v>199.3913317242103</v>
      </c>
      <c r="I28" s="17">
        <v>203400</v>
      </c>
      <c r="J28" s="361">
        <f>I28/'- 3 -'!E28</f>
        <v>0.025736902301883743</v>
      </c>
      <c r="K28" s="17">
        <f>I28/'- 7 -'!G28</f>
        <v>213.45366775107564</v>
      </c>
    </row>
    <row r="29" spans="1:11" ht="12.75">
      <c r="A29" s="14">
        <v>21</v>
      </c>
      <c r="B29" s="15" t="s">
        <v>133</v>
      </c>
      <c r="C29" s="15">
        <v>372000</v>
      </c>
      <c r="D29" s="360">
        <f>C29/'- 3 -'!E29</f>
        <v>0.015832482124616958</v>
      </c>
      <c r="E29" s="15">
        <f>IF(AND(C29&gt;0,'- 7 -'!E29=0),"N/A ",IF(C29&gt;0,C29/'- 7 -'!E29,0))</f>
        <v>18600</v>
      </c>
      <c r="F29" s="15">
        <v>537922</v>
      </c>
      <c r="G29" s="360">
        <f>F29/'- 3 -'!E29</f>
        <v>0.02289419475655431</v>
      </c>
      <c r="H29" s="15">
        <f>F29/'- 7 -'!G29</f>
        <v>160.52581319009252</v>
      </c>
      <c r="I29" s="15">
        <v>1365558</v>
      </c>
      <c r="J29" s="360">
        <f>I29/'- 3 -'!E29</f>
        <v>0.05811874361593463</v>
      </c>
      <c r="K29" s="15">
        <f>I29/'- 7 -'!G29</f>
        <v>407.5076096687556</v>
      </c>
    </row>
    <row r="30" spans="1:11" ht="12.75">
      <c r="A30" s="16">
        <v>22</v>
      </c>
      <c r="B30" s="17" t="s">
        <v>134</v>
      </c>
      <c r="C30" s="17">
        <v>0</v>
      </c>
      <c r="D30" s="361">
        <f>C30/'- 3 -'!E30</f>
        <v>0</v>
      </c>
      <c r="E30" s="17">
        <f>IF(AND(C30&gt;0,'- 7 -'!E30=0),"N/A ",IF(C30&gt;0,C30/'- 7 -'!E30,0))</f>
        <v>0</v>
      </c>
      <c r="F30" s="17">
        <v>531200</v>
      </c>
      <c r="G30" s="361">
        <f>F30/'- 3 -'!E30</f>
        <v>0.042653925305364604</v>
      </c>
      <c r="H30" s="17">
        <f>F30/'- 7 -'!G30</f>
        <v>322.036980903304</v>
      </c>
      <c r="I30" s="17">
        <v>598550</v>
      </c>
      <c r="J30" s="361">
        <f>I30/'- 3 -'!E30</f>
        <v>0.04806194840272211</v>
      </c>
      <c r="K30" s="17">
        <f>I30/'- 7 -'!G30</f>
        <v>362.8675356168536</v>
      </c>
    </row>
    <row r="31" spans="1:11" ht="12.75">
      <c r="A31" s="14">
        <v>23</v>
      </c>
      <c r="B31" s="15" t="s">
        <v>135</v>
      </c>
      <c r="C31" s="15">
        <v>0</v>
      </c>
      <c r="D31" s="360">
        <f>C31/'- 3 -'!E31</f>
        <v>0</v>
      </c>
      <c r="E31" s="15">
        <f>IF(AND(C31&gt;0,'- 7 -'!E31=0),"N/A ",IF(C31&gt;0,C31/'- 7 -'!E31,0))</f>
        <v>0</v>
      </c>
      <c r="F31" s="15">
        <v>711750</v>
      </c>
      <c r="G31" s="360">
        <f>F31/'- 3 -'!E31</f>
        <v>0.06958979322323007</v>
      </c>
      <c r="H31" s="15">
        <f>F31/'- 7 -'!G31</f>
        <v>503.35926449787837</v>
      </c>
      <c r="I31" s="15">
        <v>334000</v>
      </c>
      <c r="J31" s="360">
        <f>I31/'- 3 -'!E31</f>
        <v>0.03265611652484558</v>
      </c>
      <c r="K31" s="15">
        <f>I31/'- 7 -'!G31</f>
        <v>236.2093352192362</v>
      </c>
    </row>
    <row r="32" spans="1:11" ht="12.75">
      <c r="A32" s="16">
        <v>24</v>
      </c>
      <c r="B32" s="17" t="s">
        <v>136</v>
      </c>
      <c r="C32" s="17">
        <v>944567</v>
      </c>
      <c r="D32" s="361">
        <f>C32/'- 3 -'!E32</f>
        <v>0.04039884280601535</v>
      </c>
      <c r="E32" s="17">
        <f>IF(AND(C32&gt;0,'- 7 -'!E32=0),"N/A ",IF(C32&gt;0,C32/'- 7 -'!E32,0))</f>
        <v>8665.752293577982</v>
      </c>
      <c r="F32" s="17">
        <v>1012621</v>
      </c>
      <c r="G32" s="361">
        <f>F32/'- 3 -'!E32</f>
        <v>0.04330949165180455</v>
      </c>
      <c r="H32" s="17">
        <f>F32/'- 7 -'!G32</f>
        <v>289.54364795699536</v>
      </c>
      <c r="I32" s="17">
        <v>869980</v>
      </c>
      <c r="J32" s="361">
        <f>I32/'- 3 -'!E32</f>
        <v>0.037208779540654324</v>
      </c>
      <c r="K32" s="17">
        <f>I32/'- 7 -'!G32</f>
        <v>248.757613015755</v>
      </c>
    </row>
    <row r="33" spans="1:11" ht="12.75">
      <c r="A33" s="14">
        <v>25</v>
      </c>
      <c r="B33" s="15" t="s">
        <v>137</v>
      </c>
      <c r="C33" s="15">
        <v>0</v>
      </c>
      <c r="D33" s="360">
        <f>C33/'- 3 -'!E33</f>
        <v>0</v>
      </c>
      <c r="E33" s="15">
        <f>IF(AND(C33&gt;0,'- 7 -'!E33=0),"N/A ",IF(C33&gt;0,C33/'- 7 -'!E33,0))</f>
        <v>0</v>
      </c>
      <c r="F33" s="15">
        <v>347723</v>
      </c>
      <c r="G33" s="360">
        <f>F33/'- 3 -'!E33</f>
        <v>0.032695009493807166</v>
      </c>
      <c r="H33" s="15">
        <f>F33/'- 7 -'!G33</f>
        <v>248.72889842632333</v>
      </c>
      <c r="I33" s="15">
        <v>458679</v>
      </c>
      <c r="J33" s="360">
        <f>I33/'- 3 -'!E33</f>
        <v>0.04312776048639284</v>
      </c>
      <c r="K33" s="15">
        <f>I33/'- 7 -'!G33</f>
        <v>328.09656652360513</v>
      </c>
    </row>
    <row r="34" spans="1:11" ht="12.75">
      <c r="A34" s="16">
        <v>26</v>
      </c>
      <c r="B34" s="17" t="s">
        <v>138</v>
      </c>
      <c r="C34" s="17">
        <v>704200</v>
      </c>
      <c r="D34" s="361">
        <f>C34/'- 3 -'!E34</f>
        <v>0.04060720515518907</v>
      </c>
      <c r="E34" s="17">
        <f>IF(AND(C34&gt;0,'- 7 -'!E34=0),"N/A ",IF(C34&gt;0,C34/'- 7 -'!E34,0))</f>
        <v>12575</v>
      </c>
      <c r="F34" s="17">
        <v>723500</v>
      </c>
      <c r="G34" s="361">
        <f>F34/'- 3 -'!E34</f>
        <v>0.04172012628483285</v>
      </c>
      <c r="H34" s="17">
        <f>F34/'- 7 -'!G34</f>
        <v>244.42567567567568</v>
      </c>
      <c r="I34" s="17">
        <v>494700</v>
      </c>
      <c r="J34" s="361">
        <f>I34/'- 3 -'!E34</f>
        <v>0.0285265327893667</v>
      </c>
      <c r="K34" s="17">
        <f>I34/'- 7 -'!G34</f>
        <v>167.1283783783784</v>
      </c>
    </row>
    <row r="35" spans="1:11" ht="12.75">
      <c r="A35" s="14">
        <v>28</v>
      </c>
      <c r="B35" s="15" t="s">
        <v>139</v>
      </c>
      <c r="C35" s="15">
        <v>0</v>
      </c>
      <c r="D35" s="360">
        <f>C35/'- 3 -'!E35</f>
        <v>0</v>
      </c>
      <c r="E35" s="15">
        <f>IF(AND(C35&gt;0,'- 7 -'!E35=0),"N/A ",IF(C35&gt;0,C35/'- 7 -'!E35,0))</f>
        <v>0</v>
      </c>
      <c r="F35" s="15">
        <v>197216</v>
      </c>
      <c r="G35" s="360">
        <f>F35/'- 3 -'!E35</f>
        <v>0.03079744545609003</v>
      </c>
      <c r="H35" s="15">
        <f>F35/'- 7 -'!G35</f>
        <v>240.65405735204394</v>
      </c>
      <c r="I35" s="15">
        <v>205539</v>
      </c>
      <c r="J35" s="360">
        <f>I35/'- 3 -'!E35</f>
        <v>0.032097173361184124</v>
      </c>
      <c r="K35" s="15">
        <f>I35/'- 7 -'!G35</f>
        <v>250.81025015253203</v>
      </c>
    </row>
    <row r="36" spans="1:11" ht="12.75">
      <c r="A36" s="16">
        <v>30</v>
      </c>
      <c r="B36" s="17" t="s">
        <v>140</v>
      </c>
      <c r="C36" s="17">
        <v>0</v>
      </c>
      <c r="D36" s="361">
        <f>C36/'- 3 -'!E36</f>
        <v>0</v>
      </c>
      <c r="E36" s="17">
        <f>IF(AND(C36&gt;0,'- 7 -'!E36=0),"N/A ",IF(C36&gt;0,C36/'- 7 -'!E36,0))</f>
        <v>0</v>
      </c>
      <c r="F36" s="17">
        <v>541182</v>
      </c>
      <c r="G36" s="361">
        <f>F36/'- 3 -'!E36</f>
        <v>0.05525523673603036</v>
      </c>
      <c r="H36" s="17">
        <f>F36/'- 7 -'!G36</f>
        <v>415.78211432083594</v>
      </c>
      <c r="I36" s="17">
        <v>381602</v>
      </c>
      <c r="J36" s="361">
        <f>I36/'- 3 -'!E36</f>
        <v>0.038961955218286375</v>
      </c>
      <c r="K36" s="17">
        <f>I36/'- 7 -'!G36</f>
        <v>293.17916410571604</v>
      </c>
    </row>
    <row r="37" spans="1:11" ht="12.75">
      <c r="A37" s="14">
        <v>31</v>
      </c>
      <c r="B37" s="15" t="s">
        <v>141</v>
      </c>
      <c r="C37" s="15">
        <v>464803</v>
      </c>
      <c r="D37" s="360">
        <f>C37/'- 3 -'!E37</f>
        <v>0.04244316551650205</v>
      </c>
      <c r="E37" s="15">
        <f>IF(AND(C37&gt;0,'- 7 -'!E37=0),"N/A ",IF(C37&gt;0,C37/'- 7 -'!E37,0))</f>
        <v>11066.738095238095</v>
      </c>
      <c r="F37" s="15">
        <v>431349</v>
      </c>
      <c r="G37" s="360">
        <f>F37/'- 3 -'!E37</f>
        <v>0.03938833656920812</v>
      </c>
      <c r="H37" s="15">
        <f>F37/'- 7 -'!G37</f>
        <v>266.2648148148148</v>
      </c>
      <c r="I37" s="15">
        <v>184313</v>
      </c>
      <c r="J37" s="360">
        <f>I37/'- 3 -'!E37</f>
        <v>0.01683041453227075</v>
      </c>
      <c r="K37" s="15">
        <f>I37/'- 7 -'!G37</f>
        <v>113.77345679012346</v>
      </c>
    </row>
    <row r="38" spans="1:11" ht="12.75">
      <c r="A38" s="16">
        <v>32</v>
      </c>
      <c r="B38" s="17" t="s">
        <v>142</v>
      </c>
      <c r="C38" s="17">
        <v>0</v>
      </c>
      <c r="D38" s="361">
        <f>C38/'- 3 -'!E38</f>
        <v>0</v>
      </c>
      <c r="E38" s="17">
        <f>IF(AND(C38&gt;0,'- 7 -'!E38=0),"N/A ",IF(C38&gt;0,C38/'- 7 -'!E38,0))</f>
        <v>0</v>
      </c>
      <c r="F38" s="17">
        <v>455147</v>
      </c>
      <c r="G38" s="361">
        <f>F38/'- 3 -'!E38</f>
        <v>0.0662062816014709</v>
      </c>
      <c r="H38" s="17">
        <f>F38/'- 7 -'!G38</f>
        <v>542.1643835616438</v>
      </c>
      <c r="I38" s="17">
        <v>346010</v>
      </c>
      <c r="J38" s="361">
        <f>I38/'- 3 -'!E38</f>
        <v>0.0503310699552561</v>
      </c>
      <c r="K38" s="17">
        <f>I38/'- 7 -'!G38</f>
        <v>412.16200119118525</v>
      </c>
    </row>
    <row r="39" spans="1:11" ht="12.75">
      <c r="A39" s="14">
        <v>33</v>
      </c>
      <c r="B39" s="15" t="s">
        <v>143</v>
      </c>
      <c r="C39" s="15">
        <v>90645</v>
      </c>
      <c r="D39" s="360">
        <f>C39/'- 3 -'!E39</f>
        <v>0.006619246925476824</v>
      </c>
      <c r="E39" s="15">
        <f>IF(AND(C39&gt;0,'- 7 -'!E39=0),"N/A ",IF(C39&gt;0,C39/'- 7 -'!E39,0))</f>
        <v>5665.3125</v>
      </c>
      <c r="F39" s="15">
        <v>913233</v>
      </c>
      <c r="G39" s="360">
        <f>F39/'- 3 -'!E39</f>
        <v>0.06668779003247809</v>
      </c>
      <c r="H39" s="15">
        <f>F39/'- 7 -'!G39</f>
        <v>488.33377894230256</v>
      </c>
      <c r="I39" s="15">
        <v>644299</v>
      </c>
      <c r="J39" s="360">
        <f>I39/'- 3 -'!E39</f>
        <v>0.047049193831295626</v>
      </c>
      <c r="K39" s="15">
        <f>I39/'- 7 -'!G39</f>
        <v>344.5264959093097</v>
      </c>
    </row>
    <row r="40" spans="1:11" ht="12.75">
      <c r="A40" s="16">
        <v>34</v>
      </c>
      <c r="B40" s="17" t="s">
        <v>144</v>
      </c>
      <c r="C40" s="17">
        <v>0</v>
      </c>
      <c r="D40" s="361">
        <f>C40/'- 3 -'!E40</f>
        <v>0</v>
      </c>
      <c r="E40" s="17">
        <f>IF(AND(C40&gt;0,'- 7 -'!E40=0),"N/A ",IF(C40&gt;0,C40/'- 7 -'!E40,0))</f>
        <v>0</v>
      </c>
      <c r="F40" s="17">
        <v>143500</v>
      </c>
      <c r="G40" s="361">
        <f>F40/'- 3 -'!E40</f>
        <v>0.024900152125180267</v>
      </c>
      <c r="H40" s="17">
        <f>F40/'- 7 -'!G40</f>
        <v>196.44079397672826</v>
      </c>
      <c r="I40" s="17">
        <v>194500</v>
      </c>
      <c r="J40" s="361">
        <f>I40/'- 3 -'!E40</f>
        <v>0.03374968354249172</v>
      </c>
      <c r="K40" s="17">
        <f>I40/'- 7 -'!G40</f>
        <v>266.25598904859686</v>
      </c>
    </row>
    <row r="41" spans="1:11" ht="12.75">
      <c r="A41" s="14">
        <v>35</v>
      </c>
      <c r="B41" s="15" t="s">
        <v>145</v>
      </c>
      <c r="C41" s="15">
        <v>0</v>
      </c>
      <c r="D41" s="360">
        <f>C41/'- 3 -'!E41</f>
        <v>0</v>
      </c>
      <c r="E41" s="15">
        <f>IF(AND(C41&gt;0,'- 7 -'!E41=0),"N/A ",IF(C41&gt;0,C41/'- 7 -'!E41,0))</f>
        <v>0</v>
      </c>
      <c r="F41" s="15">
        <v>989223</v>
      </c>
      <c r="G41" s="360">
        <f>F41/'- 3 -'!E41</f>
        <v>0.06720297816674103</v>
      </c>
      <c r="H41" s="15">
        <f>F41/'- 7 -'!G41</f>
        <v>516.6194902861918</v>
      </c>
      <c r="I41" s="15">
        <v>388620</v>
      </c>
      <c r="J41" s="360">
        <f>I41/'- 3 -'!E41</f>
        <v>0.0264009443524452</v>
      </c>
      <c r="K41" s="15">
        <f>I41/'- 7 -'!G41</f>
        <v>202.95592228953416</v>
      </c>
    </row>
    <row r="42" spans="1:11" ht="12.75">
      <c r="A42" s="16">
        <v>36</v>
      </c>
      <c r="B42" s="17" t="s">
        <v>146</v>
      </c>
      <c r="C42" s="17">
        <v>0</v>
      </c>
      <c r="D42" s="361">
        <f>C42/'- 3 -'!E42</f>
        <v>0</v>
      </c>
      <c r="E42" s="17">
        <f>IF(AND(C42&gt;0,'- 7 -'!E42=0),"N/A ",IF(C42&gt;0,C42/'- 7 -'!E42,0))</f>
        <v>0</v>
      </c>
      <c r="F42" s="17">
        <v>285204</v>
      </c>
      <c r="G42" s="361">
        <f>F42/'- 3 -'!E42</f>
        <v>0.0373401413982718</v>
      </c>
      <c r="H42" s="17">
        <f>F42/'- 7 -'!G42</f>
        <v>305.0310160427807</v>
      </c>
      <c r="I42" s="17">
        <v>192265</v>
      </c>
      <c r="J42" s="361">
        <f>I42/'- 3 -'!E42</f>
        <v>0.025172165488347734</v>
      </c>
      <c r="K42" s="17">
        <f>I42/'- 7 -'!G42</f>
        <v>205.63101604278074</v>
      </c>
    </row>
    <row r="43" spans="1:11" ht="12.75">
      <c r="A43" s="14">
        <v>37</v>
      </c>
      <c r="B43" s="15" t="s">
        <v>147</v>
      </c>
      <c r="C43" s="15">
        <v>0</v>
      </c>
      <c r="D43" s="360">
        <f>C43/'- 3 -'!E43</f>
        <v>0</v>
      </c>
      <c r="E43" s="15">
        <f>IF(AND(C43&gt;0,'- 7 -'!E43=0),"N/A ",IF(C43&gt;0,C43/'- 7 -'!E43,0))</f>
        <v>0</v>
      </c>
      <c r="F43" s="15">
        <v>206563</v>
      </c>
      <c r="G43" s="360">
        <f>F43/'- 3 -'!E43</f>
        <v>0.029827859821491748</v>
      </c>
      <c r="H43" s="15">
        <f>F43/'- 7 -'!G43</f>
        <v>224.0306714532065</v>
      </c>
      <c r="I43" s="15">
        <v>210396</v>
      </c>
      <c r="J43" s="360">
        <f>I43/'- 3 -'!E43</f>
        <v>0.03038134803910951</v>
      </c>
      <c r="K43" s="15">
        <f>I43/'- 7 -'!G43</f>
        <v>228.1878029999024</v>
      </c>
    </row>
    <row r="44" spans="1:11" ht="12.75">
      <c r="A44" s="16">
        <v>38</v>
      </c>
      <c r="B44" s="17" t="s">
        <v>148</v>
      </c>
      <c r="C44" s="17">
        <v>0</v>
      </c>
      <c r="D44" s="361">
        <f>C44/'- 3 -'!E44</f>
        <v>0</v>
      </c>
      <c r="E44" s="17">
        <f>IF(AND(C44&gt;0,'- 7 -'!E44=0),"N/A ",IF(C44&gt;0,C44/'- 7 -'!E44,0))</f>
        <v>0</v>
      </c>
      <c r="F44" s="17">
        <v>261560</v>
      </c>
      <c r="G44" s="361">
        <f>F44/'- 3 -'!E44</f>
        <v>0.029204552229990202</v>
      </c>
      <c r="H44" s="17">
        <f>F44/'- 7 -'!G44</f>
        <v>223.93835616438355</v>
      </c>
      <c r="I44" s="17">
        <v>515647</v>
      </c>
      <c r="J44" s="361">
        <f>I44/'- 3 -'!E44</f>
        <v>0.05757470463273344</v>
      </c>
      <c r="K44" s="17">
        <f>I44/'- 7 -'!G44</f>
        <v>441.478595890411</v>
      </c>
    </row>
    <row r="45" spans="1:11" ht="12.75">
      <c r="A45" s="14">
        <v>39</v>
      </c>
      <c r="B45" s="15" t="s">
        <v>149</v>
      </c>
      <c r="C45" s="15">
        <v>0</v>
      </c>
      <c r="D45" s="360">
        <f>C45/'- 3 -'!E45</f>
        <v>0</v>
      </c>
      <c r="E45" s="15">
        <f>IF(AND(C45&gt;0,'- 7 -'!E45=0),"N/A ",IF(C45&gt;0,C45/'- 7 -'!E45,0))</f>
        <v>0</v>
      </c>
      <c r="F45" s="15">
        <v>655600</v>
      </c>
      <c r="G45" s="360">
        <f>F45/'- 3 -'!E45</f>
        <v>0.04116758711848868</v>
      </c>
      <c r="H45" s="15">
        <f>F45/'- 7 -'!G45</f>
        <v>312.1904761904762</v>
      </c>
      <c r="I45" s="15">
        <v>474600</v>
      </c>
      <c r="J45" s="360">
        <f>I45/'- 3 -'!E45</f>
        <v>0.029801917093402575</v>
      </c>
      <c r="K45" s="15">
        <f>I45/'- 7 -'!G45</f>
        <v>226</v>
      </c>
    </row>
    <row r="46" spans="1:11" ht="12.75">
      <c r="A46" s="16">
        <v>40</v>
      </c>
      <c r="B46" s="17" t="s">
        <v>150</v>
      </c>
      <c r="C46" s="17">
        <v>2170500</v>
      </c>
      <c r="D46" s="361">
        <f>C46/'- 3 -'!E46</f>
        <v>0.04645115726621938</v>
      </c>
      <c r="E46" s="17">
        <f>IF(AND(C46&gt;0,'- 7 -'!E46=0),"N/A ",IF(C46&gt;0,C46/'- 7 -'!E46,0))</f>
        <v>10435.096153846154</v>
      </c>
      <c r="F46" s="17">
        <v>1737400</v>
      </c>
      <c r="G46" s="361">
        <f>F46/'- 3 -'!E46</f>
        <v>0.03718232694509539</v>
      </c>
      <c r="H46" s="17">
        <f>F46/'- 7 -'!G46</f>
        <v>234.73620212119164</v>
      </c>
      <c r="I46" s="17">
        <v>1814300</v>
      </c>
      <c r="J46" s="361">
        <f>I46/'- 3 -'!E46</f>
        <v>0.03882807400511487</v>
      </c>
      <c r="K46" s="17">
        <f>I46/'- 7 -'!G46</f>
        <v>245.1259879754104</v>
      </c>
    </row>
    <row r="47" spans="1:11" ht="12.75">
      <c r="A47" s="14">
        <v>41</v>
      </c>
      <c r="B47" s="15" t="s">
        <v>151</v>
      </c>
      <c r="C47" s="15">
        <v>0</v>
      </c>
      <c r="D47" s="360">
        <f>C47/'- 3 -'!E47</f>
        <v>0</v>
      </c>
      <c r="E47" s="15">
        <f>IF(AND(C47&gt;0,'- 7 -'!E47=0),"N/A ",IF(C47&gt;0,C47/'- 7 -'!E47,0))</f>
        <v>0</v>
      </c>
      <c r="F47" s="15">
        <v>378320</v>
      </c>
      <c r="G47" s="360">
        <f>F47/'- 3 -'!E47</f>
        <v>0.030801782647471514</v>
      </c>
      <c r="H47" s="15">
        <f>F47/'- 7 -'!G47</f>
        <v>239.6705733291099</v>
      </c>
      <c r="I47" s="15">
        <v>659830</v>
      </c>
      <c r="J47" s="360">
        <f>I47/'- 3 -'!E47</f>
        <v>0.05372155911472068</v>
      </c>
      <c r="K47" s="15">
        <f>I47/'- 7 -'!G47</f>
        <v>418.0107697180868</v>
      </c>
    </row>
    <row r="48" spans="1:11" ht="12.75">
      <c r="A48" s="16">
        <v>42</v>
      </c>
      <c r="B48" s="17" t="s">
        <v>152</v>
      </c>
      <c r="C48" s="17">
        <v>0</v>
      </c>
      <c r="D48" s="361">
        <f>C48/'- 3 -'!E48</f>
        <v>0</v>
      </c>
      <c r="E48" s="17">
        <f>IF(AND(C48&gt;0,'- 7 -'!E48=0),"N/A ",IF(C48&gt;0,C48/'- 7 -'!E48,0))</f>
        <v>0</v>
      </c>
      <c r="F48" s="17">
        <v>274710</v>
      </c>
      <c r="G48" s="361">
        <f>F48/'- 3 -'!E48</f>
        <v>0.03422258144727722</v>
      </c>
      <c r="H48" s="17">
        <f>F48/'- 7 -'!G48</f>
        <v>264.01729937530035</v>
      </c>
      <c r="I48" s="17">
        <v>523418</v>
      </c>
      <c r="J48" s="361">
        <f>I48/'- 3 -'!E48</f>
        <v>0.06520590854344926</v>
      </c>
      <c r="K48" s="17">
        <f>I48/'- 7 -'!G48</f>
        <v>503.0446900528592</v>
      </c>
    </row>
    <row r="49" spans="1:11" ht="12.75">
      <c r="A49" s="14">
        <v>43</v>
      </c>
      <c r="B49" s="15" t="s">
        <v>153</v>
      </c>
      <c r="C49" s="15">
        <v>0</v>
      </c>
      <c r="D49" s="360">
        <f>C49/'- 3 -'!E49</f>
        <v>0</v>
      </c>
      <c r="E49" s="15">
        <f>IF(AND(C49&gt;0,'- 7 -'!E49=0),"N/A ",IF(C49&gt;0,C49/'- 7 -'!E49,0))</f>
        <v>0</v>
      </c>
      <c r="F49" s="15">
        <v>211500</v>
      </c>
      <c r="G49" s="360">
        <f>F49/'- 3 -'!E49</f>
        <v>0.03303139153521786</v>
      </c>
      <c r="H49" s="15">
        <f>F49/'- 7 -'!G49</f>
        <v>272.37604636188024</v>
      </c>
      <c r="I49" s="15">
        <v>190000</v>
      </c>
      <c r="J49" s="360">
        <f>I49/'- 3 -'!E49</f>
        <v>0.02967359050445104</v>
      </c>
      <c r="K49" s="15">
        <f>I49/'- 7 -'!G49</f>
        <v>244.6877012234385</v>
      </c>
    </row>
    <row r="50" spans="1:11" ht="12.75">
      <c r="A50" s="16">
        <v>44</v>
      </c>
      <c r="B50" s="17" t="s">
        <v>154</v>
      </c>
      <c r="C50" s="17">
        <v>0</v>
      </c>
      <c r="D50" s="361">
        <f>C50/'- 3 -'!E50</f>
        <v>0</v>
      </c>
      <c r="E50" s="17">
        <f>IF(AND(C50&gt;0,'- 7 -'!E50=0),"N/A ",IF(C50&gt;0,C50/'- 7 -'!E50,0))</f>
        <v>0</v>
      </c>
      <c r="F50" s="17">
        <v>295080</v>
      </c>
      <c r="G50" s="361">
        <f>F50/'- 3 -'!E50</f>
        <v>0.03195312329110673</v>
      </c>
      <c r="H50" s="17">
        <f>F50/'- 7 -'!G50</f>
        <v>242.7642945290004</v>
      </c>
      <c r="I50" s="17">
        <v>656706</v>
      </c>
      <c r="J50" s="361">
        <f>I50/'- 3 -'!E50</f>
        <v>0.07111226712759094</v>
      </c>
      <c r="K50" s="17">
        <f>I50/'- 7 -'!G50</f>
        <v>540.2764294529001</v>
      </c>
    </row>
    <row r="51" spans="1:11" ht="12.75">
      <c r="A51" s="14">
        <v>45</v>
      </c>
      <c r="B51" s="15" t="s">
        <v>155</v>
      </c>
      <c r="C51" s="15">
        <v>181550</v>
      </c>
      <c r="D51" s="360">
        <f>C51/'- 3 -'!E51</f>
        <v>0.015062378823763862</v>
      </c>
      <c r="E51" s="15">
        <f>IF(AND(C51&gt;0,'- 7 -'!E51=0),"N/A ",IF(C51&gt;0,C51/'- 7 -'!E51,0))</f>
        <v>4538.75</v>
      </c>
      <c r="F51" s="15">
        <v>725870</v>
      </c>
      <c r="G51" s="360">
        <f>F51/'- 3 -'!E51</f>
        <v>0.06022213669405384</v>
      </c>
      <c r="H51" s="15">
        <f>F51/'- 7 -'!G51</f>
        <v>384.26151402858653</v>
      </c>
      <c r="I51" s="15">
        <v>313675</v>
      </c>
      <c r="J51" s="360">
        <f>I51/'- 3 -'!E51</f>
        <v>0.026024189906604954</v>
      </c>
      <c r="K51" s="15">
        <f>I51/'- 7 -'!G51</f>
        <v>166.0534674430916</v>
      </c>
    </row>
    <row r="52" spans="1:11" ht="12.75">
      <c r="A52" s="16">
        <v>46</v>
      </c>
      <c r="B52" s="17" t="s">
        <v>156</v>
      </c>
      <c r="C52" s="17">
        <v>418463</v>
      </c>
      <c r="D52" s="361">
        <f>C52/'- 3 -'!E52</f>
        <v>0.039466032538730586</v>
      </c>
      <c r="E52" s="17">
        <f>IF(AND(C52&gt;0,'- 7 -'!E52=0),"N/A ",IF(C52&gt;0,C52/'- 7 -'!E52,0))</f>
        <v>27897.533333333333</v>
      </c>
      <c r="F52" s="17">
        <v>278973</v>
      </c>
      <c r="G52" s="361">
        <f>F52/'- 3 -'!E52</f>
        <v>0.02631046829809873</v>
      </c>
      <c r="H52" s="17">
        <f>F52/'- 7 -'!G52</f>
        <v>185.8580946035976</v>
      </c>
      <c r="I52" s="17">
        <v>76168</v>
      </c>
      <c r="J52" s="361">
        <f>I52/'- 3 -'!E52</f>
        <v>0.0071835473301344</v>
      </c>
      <c r="K52" s="17">
        <f>I52/'- 7 -'!G52</f>
        <v>50.74483677548301</v>
      </c>
    </row>
    <row r="53" spans="1:11" ht="12.75">
      <c r="A53" s="14">
        <v>47</v>
      </c>
      <c r="B53" s="15" t="s">
        <v>157</v>
      </c>
      <c r="C53" s="15">
        <v>153222</v>
      </c>
      <c r="D53" s="360">
        <f>C53/'- 3 -'!E53</f>
        <v>0.015999806192059284</v>
      </c>
      <c r="E53" s="15">
        <f>IF(AND(C53&gt;0,'- 7 -'!E53=0),"N/A ",IF(C53&gt;0,C53/'- 7 -'!E53,0))</f>
        <v>21888.85714285714</v>
      </c>
      <c r="F53" s="15">
        <v>277894</v>
      </c>
      <c r="G53" s="360">
        <f>F53/'- 3 -'!E53</f>
        <v>0.029018353382256612</v>
      </c>
      <c r="H53" s="15">
        <f>F53/'- 7 -'!G53</f>
        <v>195.83791402396054</v>
      </c>
      <c r="I53" s="15">
        <v>531302</v>
      </c>
      <c r="J53" s="360">
        <f>I53/'- 3 -'!E53</f>
        <v>0.055479820322495994</v>
      </c>
      <c r="K53" s="15">
        <f>I53/'- 7 -'!G53</f>
        <v>374.4200140944327</v>
      </c>
    </row>
    <row r="54" spans="1:11" ht="12.75">
      <c r="A54" s="16">
        <v>48</v>
      </c>
      <c r="B54" s="17" t="s">
        <v>158</v>
      </c>
      <c r="C54" s="17">
        <v>133863</v>
      </c>
      <c r="D54" s="361">
        <f>C54/'- 3 -'!E54</f>
        <v>0.0021566136183182967</v>
      </c>
      <c r="E54" s="17">
        <f>IF(AND(C54&gt;0,'- 7 -'!E54=0),"N/A ",IF(C54&gt;0,C54/'- 7 -'!E54,0))</f>
        <v>13386.3</v>
      </c>
      <c r="F54" s="17">
        <v>4102102</v>
      </c>
      <c r="G54" s="361">
        <f>F54/'- 3 -'!E54</f>
        <v>0.06608733583537439</v>
      </c>
      <c r="H54" s="17">
        <f>F54/'- 7 -'!G54</f>
        <v>790.3857418111753</v>
      </c>
      <c r="I54" s="17">
        <v>3746983</v>
      </c>
      <c r="J54" s="361">
        <f>I54/'- 3 -'!E54</f>
        <v>0.06036615469104343</v>
      </c>
      <c r="K54" s="17">
        <f>I54/'- 7 -'!G54</f>
        <v>721.9620423892101</v>
      </c>
    </row>
    <row r="55" spans="1:11" ht="12.75">
      <c r="A55" s="14">
        <v>49</v>
      </c>
      <c r="B55" s="15" t="s">
        <v>159</v>
      </c>
      <c r="C55" s="15">
        <v>402198</v>
      </c>
      <c r="D55" s="360">
        <f>C55/'- 3 -'!E55</f>
        <v>0.010016831448763303</v>
      </c>
      <c r="E55" s="15">
        <f>IF(AND(C55&gt;0,'- 7 -'!E55=0),"N/A ",IF(C55&gt;0,C55/'- 7 -'!E55,0))</f>
        <v>7182.107142857143</v>
      </c>
      <c r="F55" s="15">
        <v>1531954</v>
      </c>
      <c r="G55" s="360">
        <f>F55/'- 3 -'!E55</f>
        <v>0.038153658161549135</v>
      </c>
      <c r="H55" s="15">
        <f>F55/'- 7 -'!G55</f>
        <v>353.8</v>
      </c>
      <c r="I55" s="15">
        <v>1423432</v>
      </c>
      <c r="J55" s="360">
        <f>I55/'- 3 -'!E55</f>
        <v>0.035450893397719646</v>
      </c>
      <c r="K55" s="15">
        <f>I55/'- 7 -'!G55</f>
        <v>328.73718244803695</v>
      </c>
    </row>
    <row r="56" spans="1:11" ht="12.75">
      <c r="A56" s="16">
        <v>50</v>
      </c>
      <c r="B56" s="17" t="s">
        <v>340</v>
      </c>
      <c r="C56" s="17">
        <v>0</v>
      </c>
      <c r="D56" s="361">
        <f>C56/'- 3 -'!E56</f>
        <v>0</v>
      </c>
      <c r="E56" s="17">
        <f>IF(AND(C56&gt;0,'- 7 -'!E56=0),"N/A ",IF(C56&gt;0,C56/'- 7 -'!E56,0))</f>
        <v>0</v>
      </c>
      <c r="F56" s="17">
        <v>685800</v>
      </c>
      <c r="G56" s="361">
        <f>F56/'- 3 -'!E56</f>
        <v>0.04758039338120512</v>
      </c>
      <c r="H56" s="17">
        <f>F56/'- 7 -'!G56</f>
        <v>398.373511472553</v>
      </c>
      <c r="I56" s="17">
        <v>871000</v>
      </c>
      <c r="J56" s="361">
        <f>I56/'- 3 -'!E56</f>
        <v>0.0604294584937732</v>
      </c>
      <c r="K56" s="17">
        <f>I56/'- 7 -'!G56</f>
        <v>505.9541097879756</v>
      </c>
    </row>
    <row r="57" spans="1:11" ht="12.75">
      <c r="A57" s="14">
        <v>2264</v>
      </c>
      <c r="B57" s="15" t="s">
        <v>160</v>
      </c>
      <c r="C57" s="15">
        <v>0</v>
      </c>
      <c r="D57" s="360">
        <f>C57/'- 3 -'!E57</f>
        <v>0</v>
      </c>
      <c r="E57" s="15">
        <f>IF(AND(C57&gt;0,'- 7 -'!E57=0),"N/A ",IF(C57&gt;0,C57/'- 7 -'!E57,0))</f>
        <v>0</v>
      </c>
      <c r="F57" s="15">
        <v>112998</v>
      </c>
      <c r="G57" s="360">
        <f>F57/'- 3 -'!E57</f>
        <v>0.05587946437843628</v>
      </c>
      <c r="H57" s="15">
        <f>F57/'- 7 -'!G57</f>
        <v>548.5339805825242</v>
      </c>
      <c r="I57" s="15">
        <v>144327</v>
      </c>
      <c r="J57" s="360">
        <f>I57/'- 3 -'!E57</f>
        <v>0.07137219645787157</v>
      </c>
      <c r="K57" s="15">
        <f>I57/'- 7 -'!G57</f>
        <v>700.6165048543689</v>
      </c>
    </row>
    <row r="58" spans="1:11" ht="12.75">
      <c r="A58" s="16">
        <v>2309</v>
      </c>
      <c r="B58" s="17" t="s">
        <v>161</v>
      </c>
      <c r="C58" s="17">
        <v>0</v>
      </c>
      <c r="D58" s="361">
        <f>C58/'- 3 -'!E58</f>
        <v>0</v>
      </c>
      <c r="E58" s="17">
        <f>IF(AND(C58&gt;0,'- 7 -'!E58=0),"N/A ",IF(C58&gt;0,C58/'- 7 -'!E58,0))</f>
        <v>0</v>
      </c>
      <c r="F58" s="17">
        <v>111765</v>
      </c>
      <c r="G58" s="361">
        <f>F58/'- 3 -'!E58</f>
        <v>0.053088681587136165</v>
      </c>
      <c r="H58" s="17">
        <f>F58/'- 7 -'!G58</f>
        <v>427.07298433320597</v>
      </c>
      <c r="I58" s="17">
        <v>12825</v>
      </c>
      <c r="J58" s="361">
        <f>I58/'- 3 -'!E58</f>
        <v>0.006091910180781294</v>
      </c>
      <c r="K58" s="17">
        <f>I58/'- 7 -'!G58</f>
        <v>49.00649598777226</v>
      </c>
    </row>
    <row r="59" spans="1:11" ht="12.75">
      <c r="A59" s="14">
        <v>2312</v>
      </c>
      <c r="B59" s="15" t="s">
        <v>162</v>
      </c>
      <c r="C59" s="15">
        <v>0</v>
      </c>
      <c r="D59" s="360">
        <f>C59/'- 3 -'!E59</f>
        <v>0</v>
      </c>
      <c r="E59" s="15">
        <f>IF(AND(C59&gt;0,'- 7 -'!E59=0),"N/A ",IF(C59&gt;0,C59/'- 7 -'!E59,0))</f>
        <v>0</v>
      </c>
      <c r="F59" s="15">
        <v>23264</v>
      </c>
      <c r="G59" s="360">
        <f>F59/'- 3 -'!E59</f>
        <v>0.014919821352070331</v>
      </c>
      <c r="H59" s="15">
        <f>F59/'- 7 -'!G59</f>
        <v>134.0864553314121</v>
      </c>
      <c r="I59" s="15">
        <v>174900</v>
      </c>
      <c r="J59" s="360">
        <f>I59/'- 3 -'!E59</f>
        <v>0.11216801730042558</v>
      </c>
      <c r="K59" s="15">
        <f>I59/'- 7 -'!G59</f>
        <v>1008.0691642651296</v>
      </c>
    </row>
    <row r="60" spans="1:11" ht="12.75">
      <c r="A60" s="16">
        <v>2355</v>
      </c>
      <c r="B60" s="17" t="s">
        <v>163</v>
      </c>
      <c r="C60" s="17">
        <v>675088</v>
      </c>
      <c r="D60" s="361">
        <f>C60/'- 3 -'!E60</f>
        <v>0.02631395543004807</v>
      </c>
      <c r="E60" s="17">
        <f>IF(AND(C60&gt;0,'- 7 -'!E60=0),"N/A ",IF(C60&gt;0,C60/'- 7 -'!E60,0))</f>
        <v>8648.321803740711</v>
      </c>
      <c r="F60" s="17">
        <v>1124921</v>
      </c>
      <c r="G60" s="361">
        <f>F60/'- 3 -'!E60</f>
        <v>0.04384779622260373</v>
      </c>
      <c r="H60" s="17">
        <f>F60/'- 7 -'!G60</f>
        <v>335.84743991640545</v>
      </c>
      <c r="I60" s="17">
        <v>1121182</v>
      </c>
      <c r="J60" s="361">
        <f>I60/'- 3 -'!E60</f>
        <v>0.043702055401624904</v>
      </c>
      <c r="K60" s="17">
        <f>I60/'- 7 -'!G60</f>
        <v>334.7311539035677</v>
      </c>
    </row>
    <row r="61" spans="1:11" ht="12.75">
      <c r="A61" s="14">
        <v>2439</v>
      </c>
      <c r="B61" s="15" t="s">
        <v>164</v>
      </c>
      <c r="C61" s="15">
        <v>0</v>
      </c>
      <c r="D61" s="360">
        <f>C61/'- 3 -'!E61</f>
        <v>0</v>
      </c>
      <c r="E61" s="15">
        <f>IF(AND(C61&gt;0,'- 7 -'!E61=0),"N/A ",IF(C61&gt;0,C61/'- 7 -'!E61,0))</f>
        <v>0</v>
      </c>
      <c r="F61" s="15">
        <v>182251</v>
      </c>
      <c r="G61" s="360">
        <f>F61/'- 3 -'!E61</f>
        <v>0.13415319069375772</v>
      </c>
      <c r="H61" s="15">
        <f>F61/'- 7 -'!G61</f>
        <v>1149.8485804416405</v>
      </c>
      <c r="I61" s="15">
        <v>9527</v>
      </c>
      <c r="J61" s="360">
        <f>I61/'- 3 -'!E61</f>
        <v>0.007012732153675041</v>
      </c>
      <c r="K61" s="15">
        <f>I61/'- 7 -'!G61</f>
        <v>60.10725552050473</v>
      </c>
    </row>
    <row r="62" spans="1:11" ht="12.75">
      <c r="A62" s="16">
        <v>2460</v>
      </c>
      <c r="B62" s="17" t="s">
        <v>165</v>
      </c>
      <c r="C62" s="17">
        <v>0</v>
      </c>
      <c r="D62" s="361">
        <f>C62/'- 3 -'!E62</f>
        <v>0</v>
      </c>
      <c r="E62" s="17">
        <f>IF(AND(C62&gt;0,'- 7 -'!E62=0),"N/A ",IF(C62&gt;0,C62/'- 7 -'!E62,0))</f>
        <v>0</v>
      </c>
      <c r="F62" s="17">
        <v>65050</v>
      </c>
      <c r="G62" s="361">
        <f>F62/'- 3 -'!E62</f>
        <v>0.030241972976089083</v>
      </c>
      <c r="H62" s="17">
        <f>F62/'- 7 -'!G62</f>
        <v>238.97869213813374</v>
      </c>
      <c r="I62" s="17">
        <v>41000</v>
      </c>
      <c r="J62" s="361">
        <f>I62/'- 3 -'!E62</f>
        <v>0.01906104368977175</v>
      </c>
      <c r="K62" s="17">
        <f>I62/'- 7 -'!G62</f>
        <v>150.6245407788391</v>
      </c>
    </row>
    <row r="63" spans="1:11" ht="12.75">
      <c r="A63" s="14">
        <v>3000</v>
      </c>
      <c r="B63" s="15" t="s">
        <v>363</v>
      </c>
      <c r="C63" s="15">
        <v>0</v>
      </c>
      <c r="D63" s="360">
        <f>C63/'- 3 -'!E63</f>
        <v>0</v>
      </c>
      <c r="E63" s="15">
        <f>IF(AND(C63&gt;0,'- 7 -'!E63=0),"N/A ",IF(C63&gt;0,C63/'- 7 -'!E63,0))</f>
        <v>0</v>
      </c>
      <c r="F63" s="15">
        <v>196822</v>
      </c>
      <c r="G63" s="360">
        <f>F63/'- 3 -'!E63</f>
        <v>0.027215164231656465</v>
      </c>
      <c r="H63" s="15">
        <f>F63/'- 7 -'!G63</f>
        <v>245.96600849787552</v>
      </c>
      <c r="I63" s="15">
        <v>0</v>
      </c>
      <c r="J63" s="360">
        <f>I63/'- 3 -'!E63</f>
        <v>0</v>
      </c>
      <c r="K63" s="15">
        <f>I63/'- 7 -'!G63</f>
        <v>0</v>
      </c>
    </row>
    <row r="64" spans="1:11" ht="4.5" customHeight="1">
      <c r="A64" s="18"/>
      <c r="B64" s="18"/>
      <c r="C64" s="18"/>
      <c r="D64" s="198"/>
      <c r="E64" s="18"/>
      <c r="F64" s="18"/>
      <c r="G64" s="198"/>
      <c r="H64" s="18"/>
      <c r="I64" s="18"/>
      <c r="J64" s="198"/>
      <c r="K64" s="18"/>
    </row>
    <row r="65" spans="1:11" ht="12.75">
      <c r="A65" s="20"/>
      <c r="B65" s="21" t="s">
        <v>166</v>
      </c>
      <c r="C65" s="21">
        <f>SUM(C11:C63)</f>
        <v>33888871</v>
      </c>
      <c r="D65" s="103">
        <f>C65/'- 3 -'!E65</f>
        <v>0.0250780533104999</v>
      </c>
      <c r="E65" s="21">
        <f>C65/'- 7 -'!E65</f>
        <v>14488.986891497858</v>
      </c>
      <c r="F65" s="21">
        <f>SUM(F11:F63)</f>
        <v>64847169.09</v>
      </c>
      <c r="G65" s="103">
        <f>F65/'- 3 -'!E65</f>
        <v>0.04798745769589141</v>
      </c>
      <c r="H65" s="21">
        <f>F65/'- 7 -'!G65</f>
        <v>358.4805416172617</v>
      </c>
      <c r="I65" s="21">
        <f>SUM(I11:I63)</f>
        <v>58048846.46</v>
      </c>
      <c r="J65" s="103">
        <f>I65/'- 3 -'!E65</f>
        <v>0.04295664102049618</v>
      </c>
      <c r="K65" s="21">
        <f>I65/'- 7 -'!G65</f>
        <v>320.89884895911445</v>
      </c>
    </row>
    <row r="66" spans="1:11" ht="4.5" customHeight="1">
      <c r="A66" s="18"/>
      <c r="B66" s="18"/>
      <c r="C66" s="18"/>
      <c r="D66" s="198"/>
      <c r="E66" s="18"/>
      <c r="F66" s="18"/>
      <c r="G66" s="198"/>
      <c r="H66" s="18"/>
      <c r="I66" s="18"/>
      <c r="J66" s="198"/>
      <c r="K66" s="18"/>
    </row>
    <row r="67" spans="1:11" ht="12.75">
      <c r="A67" s="16">
        <v>2155</v>
      </c>
      <c r="B67" s="17" t="s">
        <v>167</v>
      </c>
      <c r="C67" s="17">
        <v>0</v>
      </c>
      <c r="D67" s="361">
        <f>C67/'- 3 -'!E67</f>
        <v>0</v>
      </c>
      <c r="E67" s="17">
        <f>IF(AND(C67&gt;0,'- 7 -'!E67=0),"N/A ",IF(C67&gt;0,C67/'- 7 -'!E67,0))</f>
        <v>0</v>
      </c>
      <c r="F67" s="17">
        <v>400</v>
      </c>
      <c r="G67" s="361">
        <f>F67/'- 3 -'!E67</f>
        <v>0.00030157179218084657</v>
      </c>
      <c r="H67" s="17">
        <f>F67/'- 7 -'!G67</f>
        <v>2.816901408450704</v>
      </c>
      <c r="I67" s="17">
        <v>72073</v>
      </c>
      <c r="J67" s="361">
        <f>I67/'- 3 -'!E67</f>
        <v>0.05433795944462539</v>
      </c>
      <c r="K67" s="17">
        <f>I67/'- 7 -'!G67</f>
        <v>507.556338028169</v>
      </c>
    </row>
    <row r="68" spans="1:11" ht="12.75">
      <c r="A68" s="14">
        <v>2408</v>
      </c>
      <c r="B68" s="15" t="s">
        <v>169</v>
      </c>
      <c r="C68" s="15">
        <v>0</v>
      </c>
      <c r="D68" s="360">
        <f>C68/'- 3 -'!E68</f>
        <v>0</v>
      </c>
      <c r="E68" s="15">
        <f>IF(AND(C68&gt;0,'- 7 -'!E68=0),"N/A ",IF(C68&gt;0,C68/'- 7 -'!E68,0))</f>
        <v>0</v>
      </c>
      <c r="F68" s="15">
        <v>89491</v>
      </c>
      <c r="G68" s="360">
        <f>F68/'- 3 -'!E68</f>
        <v>0.0389503670189962</v>
      </c>
      <c r="H68" s="15">
        <f>F68/'- 7 -'!G68</f>
        <v>366.7663934426229</v>
      </c>
      <c r="I68" s="15">
        <v>36124</v>
      </c>
      <c r="J68" s="360">
        <f>I68/'- 3 -'!E68</f>
        <v>0.01572273254510754</v>
      </c>
      <c r="K68" s="15">
        <f>I68/'- 7 -'!G68</f>
        <v>148.04918032786884</v>
      </c>
    </row>
    <row r="69" ht="6.75" customHeight="1"/>
    <row r="70" spans="1:3" ht="12" customHeight="1">
      <c r="A70" s="7"/>
      <c r="B70" s="7"/>
      <c r="C70" s="174"/>
    </row>
    <row r="71" spans="1:3" ht="12" customHeight="1">
      <c r="A71" s="7"/>
      <c r="B71" s="7"/>
      <c r="C71" s="174"/>
    </row>
    <row r="72" spans="1:3" ht="12" customHeight="1">
      <c r="A72" s="7"/>
      <c r="B72" s="7"/>
      <c r="C72" s="174"/>
    </row>
    <row r="73" spans="1:3" ht="12" customHeight="1">
      <c r="A73" s="7"/>
      <c r="B73" s="7"/>
      <c r="C73" s="174"/>
    </row>
    <row r="74" spans="1:3" ht="12" customHeight="1">
      <c r="A74" s="7"/>
      <c r="B74" s="7"/>
      <c r="C74" s="17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20.83203125" style="82" customWidth="1"/>
    <col min="4" max="4" width="12.83203125" style="82" customWidth="1"/>
    <col min="5" max="5" width="15.33203125" style="82" customWidth="1"/>
    <col min="6" max="6" width="20.83203125" style="82" customWidth="1"/>
    <col min="7" max="7" width="12.83203125" style="82" customWidth="1"/>
    <col min="8" max="8" width="15.33203125" style="82" customWidth="1"/>
    <col min="9" max="16384" width="15.83203125" style="82" customWidth="1"/>
  </cols>
  <sheetData>
    <row r="1" spans="1:8" ht="6.75" customHeight="1">
      <c r="A1" s="18"/>
      <c r="B1" s="80"/>
      <c r="C1" s="142"/>
      <c r="D1" s="142"/>
      <c r="E1" s="142"/>
      <c r="F1" s="142"/>
      <c r="G1" s="142"/>
      <c r="H1" s="142"/>
    </row>
    <row r="2" spans="1:8" ht="12.75">
      <c r="A2" s="9"/>
      <c r="B2" s="83"/>
      <c r="C2" s="200" t="s">
        <v>0</v>
      </c>
      <c r="D2" s="200"/>
      <c r="E2" s="200"/>
      <c r="F2" s="200"/>
      <c r="G2" s="200"/>
      <c r="H2" s="219" t="s">
        <v>426</v>
      </c>
    </row>
    <row r="3" spans="1:8" ht="12.75">
      <c r="A3" s="10"/>
      <c r="B3" s="86"/>
      <c r="C3" s="203" t="str">
        <f>YEAR</f>
        <v>OPERATING FUND BUDGET 2002/2003</v>
      </c>
      <c r="D3" s="203"/>
      <c r="E3" s="203"/>
      <c r="F3" s="203"/>
      <c r="G3" s="203"/>
      <c r="H3" s="220"/>
    </row>
    <row r="4" spans="1:8" ht="12.75">
      <c r="A4" s="11"/>
      <c r="C4" s="142"/>
      <c r="D4" s="142"/>
      <c r="E4" s="142"/>
      <c r="F4" s="142"/>
      <c r="G4" s="142"/>
      <c r="H4" s="142"/>
    </row>
    <row r="5" spans="1:8" ht="19.5">
      <c r="A5" s="11"/>
      <c r="C5" s="340" t="s">
        <v>461</v>
      </c>
      <c r="D5" s="232"/>
      <c r="E5" s="232"/>
      <c r="F5" s="175"/>
      <c r="G5" s="175"/>
      <c r="H5" s="412"/>
    </row>
    <row r="6" spans="1:8" ht="12.75">
      <c r="A6" s="11"/>
      <c r="C6" s="68" t="s">
        <v>38</v>
      </c>
      <c r="D6" s="66"/>
      <c r="E6" s="67"/>
      <c r="F6" s="413"/>
      <c r="G6" s="414"/>
      <c r="H6" s="415"/>
    </row>
    <row r="7" spans="3:8" ht="12.75">
      <c r="C7" s="69" t="s">
        <v>453</v>
      </c>
      <c r="D7" s="70"/>
      <c r="E7" s="71"/>
      <c r="F7" s="69" t="s">
        <v>264</v>
      </c>
      <c r="G7" s="70"/>
      <c r="H7" s="71"/>
    </row>
    <row r="8" spans="1:8" ht="12.75">
      <c r="A8" s="94"/>
      <c r="B8" s="46"/>
      <c r="C8" s="73"/>
      <c r="D8" s="74"/>
      <c r="E8" s="229" t="s">
        <v>75</v>
      </c>
      <c r="F8" s="73"/>
      <c r="G8" s="74"/>
      <c r="H8" s="229" t="s">
        <v>75</v>
      </c>
    </row>
    <row r="9" spans="1:8" ht="12.75">
      <c r="A9" s="52" t="s">
        <v>100</v>
      </c>
      <c r="B9" s="53" t="s">
        <v>101</v>
      </c>
      <c r="C9" s="76" t="s">
        <v>102</v>
      </c>
      <c r="D9" s="76" t="s">
        <v>103</v>
      </c>
      <c r="E9" s="76" t="s">
        <v>104</v>
      </c>
      <c r="F9" s="76" t="s">
        <v>102</v>
      </c>
      <c r="G9" s="76" t="s">
        <v>103</v>
      </c>
      <c r="H9" s="76" t="s">
        <v>104</v>
      </c>
    </row>
    <row r="10" spans="1:2" ht="4.5" customHeight="1">
      <c r="A10" s="77"/>
      <c r="B10" s="77"/>
    </row>
    <row r="11" spans="1:8" ht="12.75">
      <c r="A11" s="14">
        <v>1</v>
      </c>
      <c r="B11" s="15" t="s">
        <v>115</v>
      </c>
      <c r="C11" s="15">
        <v>0</v>
      </c>
      <c r="D11" s="360">
        <f>C11/'- 3 -'!E11</f>
        <v>0</v>
      </c>
      <c r="E11" s="15">
        <f>IF(AND(C11&gt;0,'- 7 -'!I11=0),"N/A ",IF(C11&gt;0,C11/'- 7 -'!I11,0))</f>
        <v>0</v>
      </c>
      <c r="F11" s="15">
        <v>0</v>
      </c>
      <c r="G11" s="360">
        <f>F11/'- 3 -'!E11</f>
        <v>0</v>
      </c>
      <c r="H11" s="15">
        <f>IF(AND(F11&gt;0,'- 7 -'!I11=0),"N/A ",IF(F11&gt;0,F11/'- 7 -'!I11,0))</f>
        <v>0</v>
      </c>
    </row>
    <row r="12" spans="1:8" ht="12.75">
      <c r="A12" s="16">
        <v>2</v>
      </c>
      <c r="B12" s="17" t="s">
        <v>116</v>
      </c>
      <c r="C12" s="17">
        <v>0</v>
      </c>
      <c r="D12" s="361">
        <f>C12/'- 3 -'!E12</f>
        <v>0</v>
      </c>
      <c r="E12" s="17">
        <f>IF(AND(C12&gt;0,'- 7 -'!I12=0),"N/A ",IF(C12&gt;0,C12/'- 7 -'!I12,0))</f>
        <v>0</v>
      </c>
      <c r="F12" s="17">
        <v>0</v>
      </c>
      <c r="G12" s="361">
        <f>F12/'- 3 -'!E12</f>
        <v>0</v>
      </c>
      <c r="H12" s="17">
        <f>IF(AND(F12&gt;0,'- 7 -'!I12=0),"N/A ",IF(F12&gt;0,F12/'- 7 -'!I12,0))</f>
        <v>0</v>
      </c>
    </row>
    <row r="13" spans="1:8" ht="12.75">
      <c r="A13" s="14">
        <v>3</v>
      </c>
      <c r="B13" s="15" t="s">
        <v>117</v>
      </c>
      <c r="C13" s="15">
        <v>0</v>
      </c>
      <c r="D13" s="360">
        <f>C13/'- 3 -'!E13</f>
        <v>0</v>
      </c>
      <c r="E13" s="15">
        <f>IF(AND(C13&gt;0,'- 7 -'!I13=0),"N/A ",IF(C13&gt;0,C13/'- 7 -'!I13,0))</f>
        <v>0</v>
      </c>
      <c r="F13" s="15">
        <v>0</v>
      </c>
      <c r="G13" s="360">
        <f>F13/'- 3 -'!E13</f>
        <v>0</v>
      </c>
      <c r="H13" s="15">
        <f>IF(AND(F13&gt;0,'- 7 -'!I13=0),"N/A ",IF(F13&gt;0,F13/'- 7 -'!I13,0))</f>
        <v>0</v>
      </c>
    </row>
    <row r="14" spans="1:8" ht="12.75">
      <c r="A14" s="16">
        <v>4</v>
      </c>
      <c r="B14" s="17" t="s">
        <v>118</v>
      </c>
      <c r="C14" s="17">
        <v>0</v>
      </c>
      <c r="D14" s="361">
        <f>C14/'- 3 -'!E14</f>
        <v>0</v>
      </c>
      <c r="E14" s="17">
        <f>IF(AND(C14&gt;0,'- 7 -'!I14=0),"N/A ",IF(C14&gt;0,C14/'- 7 -'!I14,0))</f>
        <v>0</v>
      </c>
      <c r="F14" s="17">
        <v>0</v>
      </c>
      <c r="G14" s="361">
        <f>F14/'- 3 -'!E14</f>
        <v>0</v>
      </c>
      <c r="H14" s="17">
        <f>IF(AND(F14&gt;0,'- 7 -'!I14=0),"N/A ",IF(F14&gt;0,F14/'- 7 -'!I14,0))</f>
        <v>0</v>
      </c>
    </row>
    <row r="15" spans="1:8" ht="12.75">
      <c r="A15" s="14">
        <v>5</v>
      </c>
      <c r="B15" s="15" t="s">
        <v>119</v>
      </c>
      <c r="C15" s="15">
        <v>0</v>
      </c>
      <c r="D15" s="360">
        <f>C15/'- 3 -'!E15</f>
        <v>0</v>
      </c>
      <c r="E15" s="15">
        <f>IF(AND(C15&gt;0,'- 7 -'!I15=0),"N/A ",IF(C15&gt;0,C15/'- 7 -'!I15,0))</f>
        <v>0</v>
      </c>
      <c r="F15" s="15">
        <v>0</v>
      </c>
      <c r="G15" s="360">
        <f>F15/'- 3 -'!E15</f>
        <v>0</v>
      </c>
      <c r="H15" s="15">
        <f>IF(AND(F15&gt;0,'- 7 -'!I15=0),"N/A ",IF(F15&gt;0,F15/'- 7 -'!I15,0))</f>
        <v>0</v>
      </c>
    </row>
    <row r="16" spans="1:8" ht="12.75">
      <c r="A16" s="16">
        <v>6</v>
      </c>
      <c r="B16" s="17" t="s">
        <v>120</v>
      </c>
      <c r="C16" s="17">
        <v>0</v>
      </c>
      <c r="D16" s="361">
        <f>C16/'- 3 -'!E16</f>
        <v>0</v>
      </c>
      <c r="E16" s="17">
        <f>IF(AND(C16&gt;0,'- 7 -'!I16=0),"N/A ",IF(C16&gt;0,C16/'- 7 -'!I16,0))</f>
        <v>0</v>
      </c>
      <c r="F16" s="17">
        <v>0</v>
      </c>
      <c r="G16" s="361">
        <f>F16/'- 3 -'!E16</f>
        <v>0</v>
      </c>
      <c r="H16" s="17">
        <f>IF(AND(F16&gt;0,'- 7 -'!I16=0),"N/A ",IF(F16&gt;0,F16/'- 7 -'!I16,0))</f>
        <v>0</v>
      </c>
    </row>
    <row r="17" spans="1:8" ht="12.75">
      <c r="A17" s="14">
        <v>9</v>
      </c>
      <c r="B17" s="15" t="s">
        <v>121</v>
      </c>
      <c r="C17" s="15">
        <v>0</v>
      </c>
      <c r="D17" s="360">
        <f>C17/'- 3 -'!E17</f>
        <v>0</v>
      </c>
      <c r="E17" s="15">
        <f>IF(AND(C17&gt;0,'- 7 -'!I17=0),"N/A ",IF(C17&gt;0,C17/'- 7 -'!I17,0))</f>
        <v>0</v>
      </c>
      <c r="F17" s="15">
        <v>0</v>
      </c>
      <c r="G17" s="360">
        <f>F17/'- 3 -'!E17</f>
        <v>0</v>
      </c>
      <c r="H17" s="15">
        <f>IF(AND(F17&gt;0,'- 7 -'!I17=0),"N/A ",IF(F17&gt;0,F17/'- 7 -'!I17,0))</f>
        <v>0</v>
      </c>
    </row>
    <row r="18" spans="1:8" ht="12.75">
      <c r="A18" s="16">
        <v>10</v>
      </c>
      <c r="B18" s="17" t="s">
        <v>122</v>
      </c>
      <c r="C18" s="17">
        <v>0</v>
      </c>
      <c r="D18" s="361">
        <f>C18/'- 3 -'!E18</f>
        <v>0</v>
      </c>
      <c r="E18" s="17">
        <f>IF(AND(C18&gt;0,'- 7 -'!I18=0),"N/A ",IF(C18&gt;0,C18/'- 7 -'!I18,0))</f>
        <v>0</v>
      </c>
      <c r="F18" s="17">
        <v>0</v>
      </c>
      <c r="G18" s="361">
        <f>F18/'- 3 -'!E18</f>
        <v>0</v>
      </c>
      <c r="H18" s="17">
        <f>IF(AND(F18&gt;0,'- 7 -'!I18=0),"N/A ",IF(F18&gt;0,F18/'- 7 -'!I18,0))</f>
        <v>0</v>
      </c>
    </row>
    <row r="19" spans="1:8" ht="12.75">
      <c r="A19" s="14">
        <v>11</v>
      </c>
      <c r="B19" s="15" t="s">
        <v>123</v>
      </c>
      <c r="C19" s="15">
        <v>52840</v>
      </c>
      <c r="D19" s="360">
        <f>C19/'- 3 -'!E19</f>
        <v>0.0015842353590898501</v>
      </c>
      <c r="E19" s="15">
        <f>IF(AND(C19&gt;0,'- 7 -'!I19=0),"N/A ",IF(C19&gt;0,C19/'- 7 -'!I19,0))</f>
        <v>455.51724137931035</v>
      </c>
      <c r="F19" s="15">
        <v>185880</v>
      </c>
      <c r="G19" s="360">
        <f>F19/'- 3 -'!E19</f>
        <v>0.005573006596283523</v>
      </c>
      <c r="H19" s="15">
        <f>IF(AND(F19&gt;0,'- 7 -'!I19=0),"N/A ",IF(F19&gt;0,F19/'- 7 -'!I19,0))</f>
        <v>1602.4137931034484</v>
      </c>
    </row>
    <row r="20" spans="1:8" ht="12.75">
      <c r="A20" s="16">
        <v>12</v>
      </c>
      <c r="B20" s="17" t="s">
        <v>124</v>
      </c>
      <c r="C20" s="17">
        <v>0</v>
      </c>
      <c r="D20" s="361">
        <f>C20/'- 3 -'!E20</f>
        <v>0</v>
      </c>
      <c r="E20" s="17">
        <f>IF(AND(C20&gt;0,'- 7 -'!I20=0),"N/A ",IF(C20&gt;0,C20/'- 7 -'!I20,0))</f>
        <v>0</v>
      </c>
      <c r="F20" s="17">
        <v>0</v>
      </c>
      <c r="G20" s="361">
        <f>F20/'- 3 -'!E20</f>
        <v>0</v>
      </c>
      <c r="H20" s="17">
        <f>IF(AND(F20&gt;0,'- 7 -'!I20=0),"N/A ",IF(F20&gt;0,F20/'- 7 -'!I20,0))</f>
        <v>0</v>
      </c>
    </row>
    <row r="21" spans="1:8" ht="12.75">
      <c r="A21" s="14">
        <v>13</v>
      </c>
      <c r="B21" s="15" t="s">
        <v>125</v>
      </c>
      <c r="C21" s="15">
        <v>68510</v>
      </c>
      <c r="D21" s="360">
        <f>C21/'- 3 -'!E21</f>
        <v>0.0032601897943448865</v>
      </c>
      <c r="E21" s="15">
        <f>IF(AND(C21&gt;0,'- 7 -'!I21=0),"N/A ",IF(C21&gt;0,C21/'- 7 -'!I21,0))</f>
        <v>442</v>
      </c>
      <c r="F21" s="15">
        <v>1031490</v>
      </c>
      <c r="G21" s="360">
        <f>F21/'- 3 -'!E21</f>
        <v>0.04908558124315877</v>
      </c>
      <c r="H21" s="15">
        <f>IF(AND(F21&gt;0,'- 7 -'!I21=0),"N/A ",IF(F21&gt;0,F21/'- 7 -'!I21,0))</f>
        <v>6654.774193548387</v>
      </c>
    </row>
    <row r="22" spans="1:8" ht="12.75">
      <c r="A22" s="16">
        <v>14</v>
      </c>
      <c r="B22" s="17" t="s">
        <v>126</v>
      </c>
      <c r="C22" s="17">
        <v>0</v>
      </c>
      <c r="D22" s="361">
        <f>C22/'- 3 -'!E22</f>
        <v>0</v>
      </c>
      <c r="E22" s="17">
        <f>IF(AND(C22&gt;0,'- 7 -'!I22=0),"N/A ",IF(C22&gt;0,C22/'- 7 -'!I22,0))</f>
        <v>0</v>
      </c>
      <c r="F22" s="17">
        <v>0</v>
      </c>
      <c r="G22" s="361">
        <f>F22/'- 3 -'!E22</f>
        <v>0</v>
      </c>
      <c r="H22" s="17">
        <f>IF(AND(F22&gt;0,'- 7 -'!I22=0),"N/A ",IF(F22&gt;0,F22/'- 7 -'!I22,0))</f>
        <v>0</v>
      </c>
    </row>
    <row r="23" spans="1:8" ht="12.75">
      <c r="A23" s="14">
        <v>15</v>
      </c>
      <c r="B23" s="15" t="s">
        <v>127</v>
      </c>
      <c r="C23" s="15">
        <v>0</v>
      </c>
      <c r="D23" s="360">
        <f>C23/'- 3 -'!E23</f>
        <v>0</v>
      </c>
      <c r="E23" s="15">
        <f>IF(AND(C23&gt;0,'- 7 -'!I23=0),"N/A ",IF(C23&gt;0,C23/'- 7 -'!I23,0))</f>
        <v>0</v>
      </c>
      <c r="F23" s="15">
        <v>0</v>
      </c>
      <c r="G23" s="360">
        <f>F23/'- 3 -'!E23</f>
        <v>0</v>
      </c>
      <c r="H23" s="15">
        <f>IF(AND(F23&gt;0,'- 7 -'!I23=0),"N/A ",IF(F23&gt;0,F23/'- 7 -'!I23,0))</f>
        <v>0</v>
      </c>
    </row>
    <row r="24" spans="1:8" ht="12.75">
      <c r="A24" s="16">
        <v>16</v>
      </c>
      <c r="B24" s="17" t="s">
        <v>128</v>
      </c>
      <c r="C24" s="17">
        <v>0</v>
      </c>
      <c r="D24" s="361">
        <f>C24/'- 3 -'!E24</f>
        <v>0</v>
      </c>
      <c r="E24" s="17">
        <f>IF(AND(C24&gt;0,'- 7 -'!I24=0),"N/A ",IF(C24&gt;0,C24/'- 7 -'!I24,0))</f>
        <v>0</v>
      </c>
      <c r="F24" s="17">
        <v>0</v>
      </c>
      <c r="G24" s="361">
        <f>F24/'- 3 -'!E24</f>
        <v>0</v>
      </c>
      <c r="H24" s="17">
        <f>IF(AND(F24&gt;0,'- 7 -'!I24=0),"N/A ",IF(F24&gt;0,F24/'- 7 -'!I24,0))</f>
        <v>0</v>
      </c>
    </row>
    <row r="25" spans="1:8" ht="12.75">
      <c r="A25" s="14">
        <v>17</v>
      </c>
      <c r="B25" s="15" t="s">
        <v>129</v>
      </c>
      <c r="C25" s="15">
        <v>0</v>
      </c>
      <c r="D25" s="360">
        <f>C25/'- 3 -'!E25</f>
        <v>0</v>
      </c>
      <c r="E25" s="15">
        <f>IF(AND(C25&gt;0,'- 7 -'!I25=0),"N/A ",IF(C25&gt;0,C25/'- 7 -'!I25,0))</f>
        <v>0</v>
      </c>
      <c r="F25" s="15">
        <v>0</v>
      </c>
      <c r="G25" s="360">
        <f>F25/'- 3 -'!E25</f>
        <v>0</v>
      </c>
      <c r="H25" s="15">
        <f>IF(AND(F25&gt;0,'- 7 -'!I25=0),"N/A ",IF(F25&gt;0,F25/'- 7 -'!I25,0))</f>
        <v>0</v>
      </c>
    </row>
    <row r="26" spans="1:8" ht="12.75">
      <c r="A26" s="16">
        <v>18</v>
      </c>
      <c r="B26" s="17" t="s">
        <v>130</v>
      </c>
      <c r="C26" s="17">
        <v>70222.45</v>
      </c>
      <c r="D26" s="361">
        <f>C26/'- 3 -'!E26</f>
        <v>0.007163809967526927</v>
      </c>
      <c r="E26" s="17">
        <f>IF(AND(C26&gt;0,'- 7 -'!I26=0),"N/A ",IF(C26&gt;0,C26/'- 7 -'!I26,0))</f>
        <v>561.7796</v>
      </c>
      <c r="F26" s="17">
        <v>265430.75</v>
      </c>
      <c r="G26" s="361">
        <f>F26/'- 3 -'!E26</f>
        <v>0.027078170193978533</v>
      </c>
      <c r="H26" s="17">
        <f>IF(AND(F26&gt;0,'- 7 -'!I26=0),"N/A ",IF(F26&gt;0,F26/'- 7 -'!I26,0))</f>
        <v>2123.446</v>
      </c>
    </row>
    <row r="27" spans="1:8" ht="12.75">
      <c r="A27" s="14">
        <v>19</v>
      </c>
      <c r="B27" s="15" t="s">
        <v>131</v>
      </c>
      <c r="C27" s="15">
        <v>0</v>
      </c>
      <c r="D27" s="360">
        <f>C27/'- 3 -'!E27</f>
        <v>0</v>
      </c>
      <c r="E27" s="15">
        <f>IF(AND(C27&gt;0,'- 7 -'!I27=0),"N/A ",IF(C27&gt;0,C27/'- 7 -'!I27,0))</f>
        <v>0</v>
      </c>
      <c r="F27" s="15">
        <v>0</v>
      </c>
      <c r="G27" s="360">
        <f>F27/'- 3 -'!E27</f>
        <v>0</v>
      </c>
      <c r="H27" s="15">
        <f>IF(AND(F27&gt;0,'- 7 -'!I27=0),"N/A ",IF(F27&gt;0,F27/'- 7 -'!I27,0))</f>
        <v>0</v>
      </c>
    </row>
    <row r="28" spans="1:8" ht="12.75">
      <c r="A28" s="16">
        <v>20</v>
      </c>
      <c r="B28" s="17" t="s">
        <v>132</v>
      </c>
      <c r="C28" s="17">
        <v>0</v>
      </c>
      <c r="D28" s="361">
        <f>C28/'- 3 -'!E28</f>
        <v>0</v>
      </c>
      <c r="E28" s="17">
        <f>IF(AND(C28&gt;0,'- 7 -'!I28=0),"N/A ",IF(C28&gt;0,C28/'- 7 -'!I28,0))</f>
        <v>0</v>
      </c>
      <c r="F28" s="17">
        <v>0</v>
      </c>
      <c r="G28" s="361">
        <f>F28/'- 3 -'!E28</f>
        <v>0</v>
      </c>
      <c r="H28" s="17">
        <f>IF(AND(F28&gt;0,'- 7 -'!I28=0),"N/A ",IF(F28&gt;0,F28/'- 7 -'!I28,0))</f>
        <v>0</v>
      </c>
    </row>
    <row r="29" spans="1:8" ht="12.75">
      <c r="A29" s="14">
        <v>21</v>
      </c>
      <c r="B29" s="15" t="s">
        <v>133</v>
      </c>
      <c r="C29" s="15">
        <v>68131</v>
      </c>
      <c r="D29" s="360">
        <f>C29/'- 3 -'!E29</f>
        <v>0.0028996850527749406</v>
      </c>
      <c r="E29" s="15">
        <f>IF(AND(C29&gt;0,'- 7 -'!I29=0),"N/A ",IF(C29&gt;0,C29/'- 7 -'!I29,0))</f>
        <v>801.5411764705882</v>
      </c>
      <c r="F29" s="15">
        <v>203869</v>
      </c>
      <c r="G29" s="360">
        <f>F29/'- 3 -'!E29</f>
        <v>0.008676753489955736</v>
      </c>
      <c r="H29" s="15">
        <f>IF(AND(F29&gt;0,'- 7 -'!I29=0),"N/A ",IF(F29&gt;0,F29/'- 7 -'!I29,0))</f>
        <v>2398.458823529412</v>
      </c>
    </row>
    <row r="30" spans="1:8" ht="12.75">
      <c r="A30" s="16">
        <v>22</v>
      </c>
      <c r="B30" s="17" t="s">
        <v>134</v>
      </c>
      <c r="C30" s="17">
        <v>0</v>
      </c>
      <c r="D30" s="361">
        <f>C30/'- 3 -'!E30</f>
        <v>0</v>
      </c>
      <c r="E30" s="17">
        <f>IF(AND(C30&gt;0,'- 7 -'!I30=0),"N/A ",IF(C30&gt;0,C30/'- 7 -'!I30,0))</f>
        <v>0</v>
      </c>
      <c r="F30" s="17">
        <v>0</v>
      </c>
      <c r="G30" s="361">
        <f>F30/'- 3 -'!E30</f>
        <v>0</v>
      </c>
      <c r="H30" s="17">
        <f>IF(AND(F30&gt;0,'- 7 -'!I30=0),"N/A ",IF(F30&gt;0,F30/'- 7 -'!I30,0))</f>
        <v>0</v>
      </c>
    </row>
    <row r="31" spans="1:8" ht="12.75">
      <c r="A31" s="14">
        <v>23</v>
      </c>
      <c r="B31" s="15" t="s">
        <v>135</v>
      </c>
      <c r="C31" s="15">
        <v>0</v>
      </c>
      <c r="D31" s="360">
        <f>C31/'- 3 -'!E31</f>
        <v>0</v>
      </c>
      <c r="E31" s="15">
        <f>IF(AND(C31&gt;0,'- 7 -'!I31=0),"N/A ",IF(C31&gt;0,C31/'- 7 -'!I31,0))</f>
        <v>0</v>
      </c>
      <c r="F31" s="15">
        <v>0</v>
      </c>
      <c r="G31" s="360">
        <f>F31/'- 3 -'!E31</f>
        <v>0</v>
      </c>
      <c r="H31" s="15">
        <f>IF(AND(F31&gt;0,'- 7 -'!I31=0),"N/A ",IF(F31&gt;0,F31/'- 7 -'!I31,0))</f>
        <v>0</v>
      </c>
    </row>
    <row r="32" spans="1:8" ht="12.75">
      <c r="A32" s="16">
        <v>24</v>
      </c>
      <c r="B32" s="17" t="s">
        <v>136</v>
      </c>
      <c r="C32" s="17">
        <v>54803</v>
      </c>
      <c r="D32" s="361">
        <f>C32/'- 3 -'!E32</f>
        <v>0.002343907613010045</v>
      </c>
      <c r="E32" s="17">
        <f>IF(AND(C32&gt;0,'- 7 -'!I32=0),"N/A ",IF(C32&gt;0,C32/'- 7 -'!I32,0))</f>
        <v>762.21140472879</v>
      </c>
      <c r="F32" s="17">
        <v>139041</v>
      </c>
      <c r="G32" s="361">
        <f>F32/'- 3 -'!E32</f>
        <v>0.005946741207972733</v>
      </c>
      <c r="H32" s="17">
        <f>IF(AND(F32&gt;0,'- 7 -'!I32=0),"N/A ",IF(F32&gt;0,F32/'- 7 -'!I32,0))</f>
        <v>1933.810848400556</v>
      </c>
    </row>
    <row r="33" spans="1:8" ht="12.75">
      <c r="A33" s="14">
        <v>25</v>
      </c>
      <c r="B33" s="15" t="s">
        <v>137</v>
      </c>
      <c r="C33" s="15">
        <v>54700</v>
      </c>
      <c r="D33" s="360">
        <f>C33/'- 3 -'!E33</f>
        <v>0.005143223253311549</v>
      </c>
      <c r="E33" s="15">
        <f>IF(AND(C33&gt;0,'- 7 -'!I33=0),"N/A ",IF(C33&gt;0,C33/'- 7 -'!I33,0))</f>
        <v>547</v>
      </c>
      <c r="F33" s="15">
        <v>196490</v>
      </c>
      <c r="G33" s="360">
        <f>F33/'- 3 -'!E33</f>
        <v>0.018475172523641434</v>
      </c>
      <c r="H33" s="15">
        <f>IF(AND(F33&gt;0,'- 7 -'!I33=0),"N/A ",IF(F33&gt;0,F33/'- 7 -'!I33,0))</f>
        <v>1964.9</v>
      </c>
    </row>
    <row r="34" spans="1:8" ht="12.75">
      <c r="A34" s="16">
        <v>26</v>
      </c>
      <c r="B34" s="17" t="s">
        <v>138</v>
      </c>
      <c r="C34" s="17">
        <v>0</v>
      </c>
      <c r="D34" s="361">
        <f>C34/'- 3 -'!E34</f>
        <v>0</v>
      </c>
      <c r="E34" s="17">
        <f>IF(AND(C34&gt;0,'- 7 -'!I34=0),"N/A ",IF(C34&gt;0,C34/'- 7 -'!I34,0))</f>
        <v>0</v>
      </c>
      <c r="F34" s="17">
        <v>0</v>
      </c>
      <c r="G34" s="361">
        <f>F34/'- 3 -'!E34</f>
        <v>0</v>
      </c>
      <c r="H34" s="17">
        <f>IF(AND(F34&gt;0,'- 7 -'!I34=0),"N/A ",IF(F34&gt;0,F34/'- 7 -'!I34,0))</f>
        <v>0</v>
      </c>
    </row>
    <row r="35" spans="1:8" ht="12.75">
      <c r="A35" s="14">
        <v>28</v>
      </c>
      <c r="B35" s="15" t="s">
        <v>139</v>
      </c>
      <c r="C35" s="15">
        <v>0</v>
      </c>
      <c r="D35" s="360">
        <f>C35/'- 3 -'!E35</f>
        <v>0</v>
      </c>
      <c r="E35" s="15">
        <f>IF(AND(C35&gt;0,'- 7 -'!I35=0),"N/A ",IF(C35&gt;0,C35/'- 7 -'!I35,0))</f>
        <v>0</v>
      </c>
      <c r="F35" s="15">
        <v>0</v>
      </c>
      <c r="G35" s="360">
        <f>F35/'- 3 -'!E35</f>
        <v>0</v>
      </c>
      <c r="H35" s="15">
        <f>IF(AND(F35&gt;0,'- 7 -'!I35=0),"N/A ",IF(F35&gt;0,F35/'- 7 -'!I35,0))</f>
        <v>0</v>
      </c>
    </row>
    <row r="36" spans="1:8" ht="12.75">
      <c r="A36" s="16">
        <v>30</v>
      </c>
      <c r="B36" s="17" t="s">
        <v>140</v>
      </c>
      <c r="C36" s="17">
        <v>0</v>
      </c>
      <c r="D36" s="361">
        <f>C36/'- 3 -'!E36</f>
        <v>0</v>
      </c>
      <c r="E36" s="17">
        <f>IF(AND(C36&gt;0,'- 7 -'!I36=0),"N/A ",IF(C36&gt;0,C36/'- 7 -'!I36,0))</f>
        <v>0</v>
      </c>
      <c r="F36" s="17">
        <v>0</v>
      </c>
      <c r="G36" s="361">
        <f>F36/'- 3 -'!E36</f>
        <v>0</v>
      </c>
      <c r="H36" s="17">
        <f>IF(AND(F36&gt;0,'- 7 -'!I36=0),"N/A ",IF(F36&gt;0,F36/'- 7 -'!I36,0))</f>
        <v>0</v>
      </c>
    </row>
    <row r="37" spans="1:8" ht="12.75">
      <c r="A37" s="14">
        <v>31</v>
      </c>
      <c r="B37" s="15" t="s">
        <v>141</v>
      </c>
      <c r="C37" s="15">
        <v>0</v>
      </c>
      <c r="D37" s="360">
        <f>C37/'- 3 -'!E37</f>
        <v>0</v>
      </c>
      <c r="E37" s="15">
        <f>IF(AND(C37&gt;0,'- 7 -'!I37=0),"N/A ",IF(C37&gt;0,C37/'- 7 -'!I37,0))</f>
        <v>0</v>
      </c>
      <c r="F37" s="15">
        <v>0</v>
      </c>
      <c r="G37" s="360">
        <f>F37/'- 3 -'!E37</f>
        <v>0</v>
      </c>
      <c r="H37" s="15">
        <f>IF(AND(F37&gt;0,'- 7 -'!I37=0),"N/A ",IF(F37&gt;0,F37/'- 7 -'!I37,0))</f>
        <v>0</v>
      </c>
    </row>
    <row r="38" spans="1:8" ht="12.75">
      <c r="A38" s="16">
        <v>32</v>
      </c>
      <c r="B38" s="17" t="s">
        <v>142</v>
      </c>
      <c r="C38" s="17">
        <v>0</v>
      </c>
      <c r="D38" s="361">
        <f>C38/'- 3 -'!E38</f>
        <v>0</v>
      </c>
      <c r="E38" s="17">
        <f>IF(AND(C38&gt;0,'- 7 -'!I38=0),"N/A ",IF(C38&gt;0,C38/'- 7 -'!I38,0))</f>
        <v>0</v>
      </c>
      <c r="F38" s="17">
        <v>0</v>
      </c>
      <c r="G38" s="361">
        <f>F38/'- 3 -'!E38</f>
        <v>0</v>
      </c>
      <c r="H38" s="17">
        <f>IF(AND(F38&gt;0,'- 7 -'!I38=0),"N/A ",IF(F38&gt;0,F38/'- 7 -'!I38,0))</f>
        <v>0</v>
      </c>
    </row>
    <row r="39" spans="1:8" ht="12.75">
      <c r="A39" s="14">
        <v>33</v>
      </c>
      <c r="B39" s="15" t="s">
        <v>143</v>
      </c>
      <c r="C39" s="15">
        <v>0</v>
      </c>
      <c r="D39" s="360">
        <f>C39/'- 3 -'!E39</f>
        <v>0</v>
      </c>
      <c r="E39" s="15">
        <f>IF(AND(C39&gt;0,'- 7 -'!I39=0),"N/A ",IF(C39&gt;0,C39/'- 7 -'!I39,0))</f>
        <v>0</v>
      </c>
      <c r="F39" s="15">
        <v>0</v>
      </c>
      <c r="G39" s="360">
        <f>F39/'- 3 -'!E39</f>
        <v>0</v>
      </c>
      <c r="H39" s="15">
        <f>IF(AND(F39&gt;0,'- 7 -'!I39=0),"N/A ",IF(F39&gt;0,F39/'- 7 -'!I39,0))</f>
        <v>0</v>
      </c>
    </row>
    <row r="40" spans="1:8" ht="12.75">
      <c r="A40" s="16">
        <v>34</v>
      </c>
      <c r="B40" s="17" t="s">
        <v>144</v>
      </c>
      <c r="C40" s="17">
        <v>0</v>
      </c>
      <c r="D40" s="361">
        <f>C40/'- 3 -'!E40</f>
        <v>0</v>
      </c>
      <c r="E40" s="17">
        <f>IF(AND(C40&gt;0,'- 7 -'!I40=0),"N/A ",IF(C40&gt;0,C40/'- 7 -'!I40,0))</f>
        <v>0</v>
      </c>
      <c r="F40" s="17">
        <v>0</v>
      </c>
      <c r="G40" s="361">
        <f>F40/'- 3 -'!E40</f>
        <v>0</v>
      </c>
      <c r="H40" s="17">
        <f>IF(AND(F40&gt;0,'- 7 -'!I40=0),"N/A ",IF(F40&gt;0,F40/'- 7 -'!I40,0))</f>
        <v>0</v>
      </c>
    </row>
    <row r="41" spans="1:8" ht="12.75">
      <c r="A41" s="14">
        <v>35</v>
      </c>
      <c r="B41" s="15" t="s">
        <v>145</v>
      </c>
      <c r="C41" s="15">
        <v>0</v>
      </c>
      <c r="D41" s="360">
        <f>C41/'- 3 -'!E41</f>
        <v>0</v>
      </c>
      <c r="E41" s="15">
        <f>IF(AND(C41&gt;0,'- 7 -'!I41=0),"N/A ",IF(C41&gt;0,C41/'- 7 -'!I41,0))</f>
        <v>0</v>
      </c>
      <c r="F41" s="15">
        <v>0</v>
      </c>
      <c r="G41" s="360">
        <f>F41/'- 3 -'!E41</f>
        <v>0</v>
      </c>
      <c r="H41" s="15">
        <f>IF(AND(F41&gt;0,'- 7 -'!I41=0),"N/A ",IF(F41&gt;0,F41/'- 7 -'!I41,0))</f>
        <v>0</v>
      </c>
    </row>
    <row r="42" spans="1:8" ht="12.75">
      <c r="A42" s="16">
        <v>36</v>
      </c>
      <c r="B42" s="17" t="s">
        <v>146</v>
      </c>
      <c r="C42" s="17">
        <v>0</v>
      </c>
      <c r="D42" s="361">
        <f>C42/'- 3 -'!E42</f>
        <v>0</v>
      </c>
      <c r="E42" s="17">
        <f>IF(AND(C42&gt;0,'- 7 -'!I42=0),"N/A ",IF(C42&gt;0,C42/'- 7 -'!I42,0))</f>
        <v>0</v>
      </c>
      <c r="F42" s="17">
        <v>0</v>
      </c>
      <c r="G42" s="361">
        <f>F42/'- 3 -'!E42</f>
        <v>0</v>
      </c>
      <c r="H42" s="17">
        <f>IF(AND(F42&gt;0,'- 7 -'!I42=0),"N/A ",IF(F42&gt;0,F42/'- 7 -'!I42,0))</f>
        <v>0</v>
      </c>
    </row>
    <row r="43" spans="1:8" ht="12.75">
      <c r="A43" s="14">
        <v>37</v>
      </c>
      <c r="B43" s="15" t="s">
        <v>147</v>
      </c>
      <c r="C43" s="15">
        <v>0</v>
      </c>
      <c r="D43" s="360">
        <f>C43/'- 3 -'!E43</f>
        <v>0</v>
      </c>
      <c r="E43" s="15">
        <f>IF(AND(C43&gt;0,'- 7 -'!I43=0),"N/A ",IF(C43&gt;0,C43/'- 7 -'!I43,0))</f>
        <v>0</v>
      </c>
      <c r="F43" s="15">
        <v>0</v>
      </c>
      <c r="G43" s="360">
        <f>F43/'- 3 -'!E43</f>
        <v>0</v>
      </c>
      <c r="H43" s="15">
        <f>IF(AND(F43&gt;0,'- 7 -'!I43=0),"N/A ",IF(F43&gt;0,F43/'- 7 -'!I43,0))</f>
        <v>0</v>
      </c>
    </row>
    <row r="44" spans="1:8" ht="12.75">
      <c r="A44" s="16">
        <v>38</v>
      </c>
      <c r="B44" s="17" t="s">
        <v>148</v>
      </c>
      <c r="C44" s="17">
        <v>0</v>
      </c>
      <c r="D44" s="361">
        <f>C44/'- 3 -'!E44</f>
        <v>0</v>
      </c>
      <c r="E44" s="17">
        <f>IF(AND(C44&gt;0,'- 7 -'!I44=0),"N/A ",IF(C44&gt;0,C44/'- 7 -'!I44,0))</f>
        <v>0</v>
      </c>
      <c r="F44" s="17">
        <v>0</v>
      </c>
      <c r="G44" s="361">
        <f>F44/'- 3 -'!E44</f>
        <v>0</v>
      </c>
      <c r="H44" s="17">
        <f>IF(AND(F44&gt;0,'- 7 -'!I44=0),"N/A ",IF(F44&gt;0,F44/'- 7 -'!I44,0))</f>
        <v>0</v>
      </c>
    </row>
    <row r="45" spans="1:8" ht="12.75">
      <c r="A45" s="14">
        <v>39</v>
      </c>
      <c r="B45" s="15" t="s">
        <v>149</v>
      </c>
      <c r="C45" s="15">
        <v>0</v>
      </c>
      <c r="D45" s="360">
        <f>C45/'- 3 -'!E45</f>
        <v>0</v>
      </c>
      <c r="E45" s="15">
        <f>IF(AND(C45&gt;0,'- 7 -'!I45=0),"N/A ",IF(C45&gt;0,C45/'- 7 -'!I45,0))</f>
        <v>0</v>
      </c>
      <c r="F45" s="15">
        <v>0</v>
      </c>
      <c r="G45" s="360">
        <f>F45/'- 3 -'!E45</f>
        <v>0</v>
      </c>
      <c r="H45" s="15">
        <f>IF(AND(F45&gt;0,'- 7 -'!I45=0),"N/A ",IF(F45&gt;0,F45/'- 7 -'!I45,0))</f>
        <v>0</v>
      </c>
    </row>
    <row r="46" spans="1:8" ht="12.75">
      <c r="A46" s="16">
        <v>40</v>
      </c>
      <c r="B46" s="17" t="s">
        <v>150</v>
      </c>
      <c r="C46" s="17">
        <v>0</v>
      </c>
      <c r="D46" s="361">
        <f>C46/'- 3 -'!E46</f>
        <v>0</v>
      </c>
      <c r="E46" s="17">
        <f>IF(AND(C46&gt;0,'- 7 -'!I46=0),"N/A ",IF(C46&gt;0,C46/'- 7 -'!I46,0))</f>
        <v>0</v>
      </c>
      <c r="F46" s="17">
        <v>0</v>
      </c>
      <c r="G46" s="361">
        <f>F46/'- 3 -'!E46</f>
        <v>0</v>
      </c>
      <c r="H46" s="17">
        <f>IF(AND(F46&gt;0,'- 7 -'!I46=0),"N/A ",IF(F46&gt;0,F46/'- 7 -'!I46,0))</f>
        <v>0</v>
      </c>
    </row>
    <row r="47" spans="1:8" ht="12.75">
      <c r="A47" s="14">
        <v>41</v>
      </c>
      <c r="B47" s="15" t="s">
        <v>151</v>
      </c>
      <c r="C47" s="15">
        <v>8200</v>
      </c>
      <c r="D47" s="360">
        <f>C47/'- 3 -'!E47</f>
        <v>0.0006676216369984839</v>
      </c>
      <c r="E47" s="410" t="s">
        <v>344</v>
      </c>
      <c r="F47" s="15">
        <v>76850</v>
      </c>
      <c r="G47" s="360">
        <f>F47/'- 3 -'!E47</f>
        <v>0.006256917415040668</v>
      </c>
      <c r="H47" s="410" t="s">
        <v>344</v>
      </c>
    </row>
    <row r="48" spans="1:8" ht="12.75">
      <c r="A48" s="16">
        <v>42</v>
      </c>
      <c r="B48" s="17" t="s">
        <v>152</v>
      </c>
      <c r="C48" s="17">
        <v>0</v>
      </c>
      <c r="D48" s="361">
        <f>C48/'- 3 -'!E48</f>
        <v>0</v>
      </c>
      <c r="E48" s="17">
        <f>IF(AND(C48&gt;0,'- 7 -'!I48=0),"N/A ",IF(C48&gt;0,C48/'- 7 -'!I48,0))</f>
        <v>0</v>
      </c>
      <c r="F48" s="17">
        <v>0</v>
      </c>
      <c r="G48" s="361">
        <f>F48/'- 3 -'!E48</f>
        <v>0</v>
      </c>
      <c r="H48" s="17">
        <f>IF(AND(F48&gt;0,'- 7 -'!I48=0),"N/A ",IF(F48&gt;0,F48/'- 7 -'!I48,0))</f>
        <v>0</v>
      </c>
    </row>
    <row r="49" spans="1:8" ht="12.75">
      <c r="A49" s="14">
        <v>43</v>
      </c>
      <c r="B49" s="15" t="s">
        <v>153</v>
      </c>
      <c r="C49" s="15">
        <v>0</v>
      </c>
      <c r="D49" s="360">
        <f>C49/'- 3 -'!E49</f>
        <v>0</v>
      </c>
      <c r="E49" s="15">
        <f>IF(AND(C49&gt;0,'- 7 -'!I49=0),"N/A ",IF(C49&gt;0,C49/'- 7 -'!I49,0))</f>
        <v>0</v>
      </c>
      <c r="F49" s="15">
        <v>21000</v>
      </c>
      <c r="G49" s="360">
        <f>F49/'- 3 -'!E49</f>
        <v>0.003279712634702483</v>
      </c>
      <c r="H49" s="15">
        <f>IF(AND(F49&gt;0,'- 7 -'!I49=0),"N/A ",IF(F49&gt;0,F49/'- 7 -'!I49,0))</f>
        <v>2100</v>
      </c>
    </row>
    <row r="50" spans="1:8" ht="12.75">
      <c r="A50" s="16">
        <v>44</v>
      </c>
      <c r="B50" s="17" t="s">
        <v>154</v>
      </c>
      <c r="C50" s="17">
        <v>24000</v>
      </c>
      <c r="D50" s="361">
        <f>C50/'- 3 -'!E50</f>
        <v>0.002598871353485704</v>
      </c>
      <c r="E50" s="17">
        <f>IF(AND(C50&gt;0,'- 7 -'!I50=0),"N/A ",IF(C50&gt;0,C50/'- 7 -'!I50,0))</f>
        <v>320</v>
      </c>
      <c r="F50" s="17">
        <v>251000</v>
      </c>
      <c r="G50" s="361">
        <f>F50/'- 3 -'!E50</f>
        <v>0.02717986290520465</v>
      </c>
      <c r="H50" s="17">
        <f>IF(AND(F50&gt;0,'- 7 -'!I50=0),"N/A ",IF(F50&gt;0,F50/'- 7 -'!I50,0))</f>
        <v>3346.6666666666665</v>
      </c>
    </row>
    <row r="51" spans="1:8" ht="12.75">
      <c r="A51" s="14">
        <v>45</v>
      </c>
      <c r="B51" s="15" t="s">
        <v>155</v>
      </c>
      <c r="C51" s="15">
        <v>0</v>
      </c>
      <c r="D51" s="360">
        <f>C51/'- 3 -'!E51</f>
        <v>0</v>
      </c>
      <c r="E51" s="15">
        <f>IF(AND(C51&gt;0,'- 7 -'!I51=0),"N/A ",IF(C51&gt;0,C51/'- 7 -'!I51,0))</f>
        <v>0</v>
      </c>
      <c r="F51" s="15">
        <v>0</v>
      </c>
      <c r="G51" s="360">
        <f>F51/'- 3 -'!E51</f>
        <v>0</v>
      </c>
      <c r="H51" s="15">
        <f>IF(AND(F51&gt;0,'- 7 -'!I51=0),"N/A ",IF(F51&gt;0,F51/'- 7 -'!I51,0))</f>
        <v>0</v>
      </c>
    </row>
    <row r="52" spans="1:8" ht="12.75">
      <c r="A52" s="16">
        <v>46</v>
      </c>
      <c r="B52" s="17" t="s">
        <v>156</v>
      </c>
      <c r="C52" s="17">
        <v>0</v>
      </c>
      <c r="D52" s="361">
        <f>C52/'- 3 -'!E52</f>
        <v>0</v>
      </c>
      <c r="E52" s="17">
        <f>IF(AND(C52&gt;0,'- 7 -'!I52=0),"N/A ",IF(C52&gt;0,C52/'- 7 -'!I52,0))</f>
        <v>0</v>
      </c>
      <c r="F52" s="17">
        <v>0</v>
      </c>
      <c r="G52" s="361">
        <f>F52/'- 3 -'!E52</f>
        <v>0</v>
      </c>
      <c r="H52" s="17">
        <f>IF(AND(F52&gt;0,'- 7 -'!I52=0),"N/A ",IF(F52&gt;0,F52/'- 7 -'!I52,0))</f>
        <v>0</v>
      </c>
    </row>
    <row r="53" spans="1:8" ht="12.75">
      <c r="A53" s="14">
        <v>47</v>
      </c>
      <c r="B53" s="15" t="s">
        <v>157</v>
      </c>
      <c r="C53" s="15">
        <v>34235</v>
      </c>
      <c r="D53" s="360">
        <f>C53/'- 3 -'!E53</f>
        <v>0.003574900242688058</v>
      </c>
      <c r="E53" s="15">
        <f>IF(AND(C53&gt;0,'- 7 -'!I53=0),"N/A ",IF(C53&gt;0,C53/'- 7 -'!I53,0))</f>
        <v>402.7647058823529</v>
      </c>
      <c r="F53" s="15">
        <v>145765</v>
      </c>
      <c r="G53" s="360">
        <f>F53/'- 3 -'!E53</f>
        <v>0.015221128490592222</v>
      </c>
      <c r="H53" s="15">
        <f>IF(AND(F53&gt;0,'- 7 -'!I53=0),"N/A ",IF(F53&gt;0,F53/'- 7 -'!I53,0))</f>
        <v>1714.8823529411766</v>
      </c>
    </row>
    <row r="54" spans="1:8" ht="12.75">
      <c r="A54" s="16">
        <v>48</v>
      </c>
      <c r="B54" s="17" t="s">
        <v>158</v>
      </c>
      <c r="C54" s="17">
        <v>0</v>
      </c>
      <c r="D54" s="361">
        <f>C54/'- 3 -'!E54</f>
        <v>0</v>
      </c>
      <c r="E54" s="17">
        <f>IF(AND(C54&gt;0,'- 7 -'!I54=0),"N/A ",IF(C54&gt;0,C54/'- 7 -'!I54,0))</f>
        <v>0</v>
      </c>
      <c r="F54" s="17">
        <v>0</v>
      </c>
      <c r="G54" s="361">
        <f>F54/'- 3 -'!E54</f>
        <v>0</v>
      </c>
      <c r="H54" s="17">
        <f>IF(AND(F54&gt;0,'- 7 -'!I54=0),"N/A ",IF(F54&gt;0,F54/'- 7 -'!I54,0))</f>
        <v>0</v>
      </c>
    </row>
    <row r="55" spans="1:8" ht="12.75">
      <c r="A55" s="14">
        <v>49</v>
      </c>
      <c r="B55" s="15" t="s">
        <v>159</v>
      </c>
      <c r="C55" s="15">
        <v>0</v>
      </c>
      <c r="D55" s="360">
        <f>C55/'- 3 -'!E55</f>
        <v>0</v>
      </c>
      <c r="E55" s="15">
        <f>IF(AND(C55&gt;0,'- 7 -'!I55=0),"N/A ",IF(C55&gt;0,C55/'- 7 -'!I55,0))</f>
        <v>0</v>
      </c>
      <c r="F55" s="15">
        <v>0</v>
      </c>
      <c r="G55" s="360">
        <f>F55/'- 3 -'!E55</f>
        <v>0</v>
      </c>
      <c r="H55" s="15">
        <f>IF(AND(F55&gt;0,'- 7 -'!I55=0),"N/A ",IF(F55&gt;0,F55/'- 7 -'!I55,0))</f>
        <v>0</v>
      </c>
    </row>
    <row r="56" spans="1:8" ht="12.75">
      <c r="A56" s="16">
        <v>50</v>
      </c>
      <c r="B56" s="17" t="s">
        <v>340</v>
      </c>
      <c r="C56" s="17">
        <v>0</v>
      </c>
      <c r="D56" s="361">
        <f>C56/'- 3 -'!E56</f>
        <v>0</v>
      </c>
      <c r="E56" s="17">
        <f>IF(AND(C56&gt;0,'- 7 -'!I56=0),"N/A ",IF(C56&gt;0,C56/'- 7 -'!I56,0))</f>
        <v>0</v>
      </c>
      <c r="F56" s="17">
        <v>0</v>
      </c>
      <c r="G56" s="361">
        <f>F56/'- 3 -'!E56</f>
        <v>0</v>
      </c>
      <c r="H56" s="17">
        <f>IF(AND(F56&gt;0,'- 7 -'!I56=0),"N/A ",IF(F56&gt;0,F56/'- 7 -'!I56,0))</f>
        <v>0</v>
      </c>
    </row>
    <row r="57" spans="1:8" ht="12.75">
      <c r="A57" s="14">
        <v>2264</v>
      </c>
      <c r="B57" s="15" t="s">
        <v>160</v>
      </c>
      <c r="C57" s="15">
        <v>0</v>
      </c>
      <c r="D57" s="360">
        <f>C57/'- 3 -'!E57</f>
        <v>0</v>
      </c>
      <c r="E57" s="15">
        <f>IF(AND(C57&gt;0,'- 7 -'!I57=0),"N/A ",IF(C57&gt;0,C57/'- 7 -'!I57,0))</f>
        <v>0</v>
      </c>
      <c r="F57" s="15">
        <v>0</v>
      </c>
      <c r="G57" s="360">
        <f>F57/'- 3 -'!E57</f>
        <v>0</v>
      </c>
      <c r="H57" s="15">
        <f>IF(AND(F57&gt;0,'- 7 -'!I57=0),"N/A ",IF(F57&gt;0,F57/'- 7 -'!I57,0))</f>
        <v>0</v>
      </c>
    </row>
    <row r="58" spans="1:8" ht="12.75">
      <c r="A58" s="16">
        <v>2309</v>
      </c>
      <c r="B58" s="17" t="s">
        <v>161</v>
      </c>
      <c r="C58" s="17">
        <v>0</v>
      </c>
      <c r="D58" s="361">
        <f>C58/'- 3 -'!E58</f>
        <v>0</v>
      </c>
      <c r="E58" s="17">
        <f>IF(AND(C58&gt;0,'- 7 -'!I58=0),"N/A ",IF(C58&gt;0,C58/'- 7 -'!I58,0))</f>
        <v>0</v>
      </c>
      <c r="F58" s="17">
        <v>0</v>
      </c>
      <c r="G58" s="361">
        <f>F58/'- 3 -'!E58</f>
        <v>0</v>
      </c>
      <c r="H58" s="17">
        <f>IF(AND(F58&gt;0,'- 7 -'!I58=0),"N/A ",IF(F58&gt;0,F58/'- 7 -'!I58,0))</f>
        <v>0</v>
      </c>
    </row>
    <row r="59" spans="1:8" ht="12.75">
      <c r="A59" s="14">
        <v>2312</v>
      </c>
      <c r="B59" s="15" t="s">
        <v>162</v>
      </c>
      <c r="C59" s="15">
        <v>0</v>
      </c>
      <c r="D59" s="360">
        <f>C59/'- 3 -'!E59</f>
        <v>0</v>
      </c>
      <c r="E59" s="15">
        <f>IF(AND(C59&gt;0,'- 7 -'!I59=0),"N/A ",IF(C59&gt;0,C59/'- 7 -'!I59,0))</f>
        <v>0</v>
      </c>
      <c r="F59" s="15">
        <v>0</v>
      </c>
      <c r="G59" s="360">
        <f>F59/'- 3 -'!E59</f>
        <v>0</v>
      </c>
      <c r="H59" s="15">
        <f>IF(AND(F59&gt;0,'- 7 -'!I59=0),"N/A ",IF(F59&gt;0,F59/'- 7 -'!I59,0))</f>
        <v>0</v>
      </c>
    </row>
    <row r="60" spans="1:8" ht="12.75">
      <c r="A60" s="16">
        <v>2355</v>
      </c>
      <c r="B60" s="17" t="s">
        <v>163</v>
      </c>
      <c r="C60" s="17">
        <v>0</v>
      </c>
      <c r="D60" s="361">
        <f>C60/'- 3 -'!E60</f>
        <v>0</v>
      </c>
      <c r="E60" s="17">
        <f>IF(AND(C60&gt;0,'- 7 -'!I60=0),"N/A ",IF(C60&gt;0,C60/'- 7 -'!I60,0))</f>
        <v>0</v>
      </c>
      <c r="F60" s="17">
        <v>0</v>
      </c>
      <c r="G60" s="361">
        <f>F60/'- 3 -'!E60</f>
        <v>0</v>
      </c>
      <c r="H60" s="17">
        <f>IF(AND(F60&gt;0,'- 7 -'!I60=0),"N/A ",IF(F60&gt;0,F60/'- 7 -'!I60,0))</f>
        <v>0</v>
      </c>
    </row>
    <row r="61" spans="1:8" ht="12.75">
      <c r="A61" s="14">
        <v>2439</v>
      </c>
      <c r="B61" s="15" t="s">
        <v>164</v>
      </c>
      <c r="C61" s="15">
        <v>0</v>
      </c>
      <c r="D61" s="360">
        <f>C61/'- 3 -'!E61</f>
        <v>0</v>
      </c>
      <c r="E61" s="15">
        <f>IF(AND(C61&gt;0,'- 7 -'!I61=0),"N/A ",IF(C61&gt;0,C61/'- 7 -'!I61,0))</f>
        <v>0</v>
      </c>
      <c r="F61" s="15">
        <v>0</v>
      </c>
      <c r="G61" s="360">
        <f>F61/'- 3 -'!E61</f>
        <v>0</v>
      </c>
      <c r="H61" s="15">
        <f>IF(AND(F61&gt;0,'- 7 -'!I61=0),"N/A ",IF(F61&gt;0,F61/'- 7 -'!I61,0))</f>
        <v>0</v>
      </c>
    </row>
    <row r="62" spans="1:8" ht="12.75">
      <c r="A62" s="16">
        <v>2460</v>
      </c>
      <c r="B62" s="17" t="s">
        <v>165</v>
      </c>
      <c r="C62" s="17">
        <v>0</v>
      </c>
      <c r="D62" s="361">
        <f>C62/'- 3 -'!E62</f>
        <v>0</v>
      </c>
      <c r="E62" s="17">
        <f>IF(AND(C62&gt;0,'- 7 -'!I62=0),"N/A ",IF(C62&gt;0,C62/'- 7 -'!I62,0))</f>
        <v>0</v>
      </c>
      <c r="F62" s="17">
        <v>0</v>
      </c>
      <c r="G62" s="361">
        <f>F62/'- 3 -'!E62</f>
        <v>0</v>
      </c>
      <c r="H62" s="17">
        <f>IF(AND(F62&gt;0,'- 7 -'!I62=0),"N/A ",IF(F62&gt;0,F62/'- 7 -'!I62,0))</f>
        <v>0</v>
      </c>
    </row>
    <row r="63" spans="1:8" ht="12.75">
      <c r="A63" s="14">
        <v>3000</v>
      </c>
      <c r="B63" s="15" t="s">
        <v>363</v>
      </c>
      <c r="C63" s="15">
        <v>0</v>
      </c>
      <c r="D63" s="360">
        <f>C63/'- 3 -'!E63</f>
        <v>0</v>
      </c>
      <c r="E63" s="15">
        <f>IF(AND(C63&gt;0,'- 7 -'!I63=0),"N/A ",IF(C63&gt;0,C63/'- 7 -'!I63,0))</f>
        <v>0</v>
      </c>
      <c r="F63" s="15">
        <v>243000</v>
      </c>
      <c r="G63" s="360">
        <f>F63/'- 3 -'!E63</f>
        <v>0.033600333846279994</v>
      </c>
      <c r="H63" s="15">
        <f>IF(AND(F63&gt;0,'- 7 -'!I63=0),"N/A ",IF(F63&gt;0,F63/'- 7 -'!I63,0))</f>
        <v>4792.899408284024</v>
      </c>
    </row>
    <row r="64" spans="1:8" ht="4.5" customHeight="1">
      <c r="A64" s="18"/>
      <c r="B64" s="18"/>
      <c r="C64" s="18"/>
      <c r="D64" s="198"/>
      <c r="E64" s="18"/>
      <c r="F64" s="18"/>
      <c r="G64" s="198"/>
      <c r="H64" s="18"/>
    </row>
    <row r="65" spans="1:8" ht="12.75">
      <c r="A65" s="20"/>
      <c r="B65" s="21" t="s">
        <v>166</v>
      </c>
      <c r="C65" s="21">
        <f>SUM(C11:C63)</f>
        <v>435641.45</v>
      </c>
      <c r="D65" s="103">
        <f>C65/'- 3 -'!E65</f>
        <v>0.0003223783851448895</v>
      </c>
      <c r="E65" s="21">
        <f>C65/'- 7 -'!I65</f>
        <v>495.27222601182353</v>
      </c>
      <c r="F65" s="21">
        <f>SUM(F11:F63)</f>
        <v>2759815.75</v>
      </c>
      <c r="G65" s="103">
        <f>F65/'- 3 -'!E65</f>
        <v>0.0020422871716693444</v>
      </c>
      <c r="H65" s="21">
        <f>F65/'- 7 -'!I65</f>
        <v>3137.580434288313</v>
      </c>
    </row>
    <row r="66" spans="1:8" ht="4.5" customHeight="1">
      <c r="A66" s="18"/>
      <c r="B66" s="18"/>
      <c r="C66" s="18"/>
      <c r="D66" s="198"/>
      <c r="E66" s="18"/>
      <c r="F66" s="18"/>
      <c r="G66" s="198"/>
      <c r="H66" s="18"/>
    </row>
    <row r="67" spans="1:8" ht="12.75">
      <c r="A67" s="16">
        <v>2155</v>
      </c>
      <c r="B67" s="17" t="s">
        <v>167</v>
      </c>
      <c r="C67" s="17">
        <v>0</v>
      </c>
      <c r="D67" s="361">
        <f>C67/'- 3 -'!E67</f>
        <v>0</v>
      </c>
      <c r="E67" s="17">
        <f>IF(AND(C67&gt;0,'- 7 -'!I67=0),"N/A ",IF(C67&gt;0,C67/'- 7 -'!I67,0))</f>
        <v>0</v>
      </c>
      <c r="F67" s="17">
        <v>0</v>
      </c>
      <c r="G67" s="361">
        <f>F67/'- 3 -'!E67</f>
        <v>0</v>
      </c>
      <c r="H67" s="17">
        <f>IF(AND(F67&gt;0,'- 7 -'!I67=0),"N/A ",IF(F67&gt;0,F67/'- 7 -'!I67,0))</f>
        <v>0</v>
      </c>
    </row>
    <row r="68" spans="1:8" ht="12.75">
      <c r="A68" s="14">
        <v>2408</v>
      </c>
      <c r="B68" s="15" t="s">
        <v>169</v>
      </c>
      <c r="C68" s="15">
        <v>0</v>
      </c>
      <c r="D68" s="360">
        <f>C68/'- 3 -'!E68</f>
        <v>0</v>
      </c>
      <c r="E68" s="15">
        <f>IF(AND(C68&gt;0,'- 7 -'!I68=0),"N/A ",IF(C68&gt;0,C68/'- 7 -'!I68,0))</f>
        <v>0</v>
      </c>
      <c r="F68" s="15">
        <v>0</v>
      </c>
      <c r="G68" s="360">
        <f>F68/'- 3 -'!E68</f>
        <v>0</v>
      </c>
      <c r="H68" s="15">
        <f>IF(AND(F68&gt;0,'- 7 -'!I68=0),"N/A ",IF(F68&gt;0,F68/'- 7 -'!I68,0))</f>
        <v>0</v>
      </c>
    </row>
    <row r="69" ht="6.75" customHeight="1"/>
    <row r="70" spans="1:2" ht="12" customHeight="1">
      <c r="A70" s="396" t="s">
        <v>351</v>
      </c>
      <c r="B70" s="359" t="s">
        <v>512</v>
      </c>
    </row>
    <row r="71" spans="1:2" ht="9" customHeight="1">
      <c r="A71" s="7"/>
      <c r="B71" s="7"/>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75"/>
  <sheetViews>
    <sheetView showGridLines="0" showZeros="0" workbookViewId="0" topLeftCell="A1">
      <selection activeCell="A1" sqref="A1"/>
    </sheetView>
  </sheetViews>
  <sheetFormatPr defaultColWidth="15.83203125" defaultRowHeight="12"/>
  <cols>
    <col min="1" max="1" width="6.83203125" style="18" customWidth="1"/>
    <col min="2" max="2" width="33.83203125" style="18" customWidth="1"/>
    <col min="3" max="3" width="17.83203125" style="18" customWidth="1"/>
    <col min="4" max="4" width="19.83203125" style="18" customWidth="1"/>
    <col min="5" max="5" width="20.83203125" style="18" customWidth="1"/>
    <col min="6" max="6" width="18.83203125" style="18" customWidth="1"/>
    <col min="7" max="7" width="20.83203125" style="18" customWidth="1"/>
    <col min="8" max="16384" width="15.83203125" style="18" customWidth="1"/>
  </cols>
  <sheetData>
    <row r="1" spans="2:7" ht="6.75" customHeight="1">
      <c r="B1" s="22"/>
      <c r="C1" s="57"/>
      <c r="D1" s="57"/>
      <c r="E1" s="57"/>
      <c r="F1" s="57"/>
      <c r="G1" s="57"/>
    </row>
    <row r="2" spans="1:7" ht="12.75">
      <c r="A2" s="58" t="s">
        <v>11</v>
      </c>
      <c r="B2" s="256"/>
      <c r="C2" s="58"/>
      <c r="D2" s="58"/>
      <c r="E2" s="58"/>
      <c r="F2" s="58"/>
      <c r="G2" s="58"/>
    </row>
    <row r="3" spans="1:7" ht="12.75">
      <c r="A3" s="62" t="s">
        <v>472</v>
      </c>
      <c r="B3" s="258"/>
      <c r="C3" s="62"/>
      <c r="D3" s="257"/>
      <c r="E3" s="62"/>
      <c r="F3" s="62"/>
      <c r="G3" s="62"/>
    </row>
    <row r="4" spans="1:7" ht="6" customHeight="1">
      <c r="A4" s="11"/>
      <c r="C4" s="57"/>
      <c r="D4" s="57"/>
      <c r="E4" s="57"/>
      <c r="F4" s="57"/>
      <c r="G4" s="57"/>
    </row>
    <row r="5" spans="1:7" ht="12.75">
      <c r="A5" s="11"/>
      <c r="C5" s="57"/>
      <c r="D5" s="57"/>
      <c r="E5" s="57"/>
      <c r="F5" s="57"/>
      <c r="G5" s="57"/>
    </row>
    <row r="6" spans="1:7" ht="12.75">
      <c r="A6" s="11"/>
      <c r="C6" s="57"/>
      <c r="D6" s="208" t="s">
        <v>36</v>
      </c>
      <c r="E6" s="401"/>
      <c r="F6" s="207" t="s">
        <v>36</v>
      </c>
      <c r="G6" s="207" t="s">
        <v>37</v>
      </c>
    </row>
    <row r="7" spans="3:7" ht="12.75">
      <c r="C7" s="57"/>
      <c r="D7" s="72" t="s">
        <v>190</v>
      </c>
      <c r="E7" s="402"/>
      <c r="F7" s="73" t="s">
        <v>439</v>
      </c>
      <c r="G7" s="73" t="s">
        <v>74</v>
      </c>
    </row>
    <row r="8" spans="1:7" ht="12.75">
      <c r="A8" s="45"/>
      <c r="B8" s="46"/>
      <c r="C8" s="429" t="s">
        <v>69</v>
      </c>
      <c r="D8" s="72" t="s">
        <v>206</v>
      </c>
      <c r="E8" s="73" t="s">
        <v>96</v>
      </c>
      <c r="F8" s="73" t="s">
        <v>97</v>
      </c>
      <c r="G8" s="73" t="s">
        <v>98</v>
      </c>
    </row>
    <row r="9" spans="1:7" ht="16.5">
      <c r="A9" s="52" t="s">
        <v>100</v>
      </c>
      <c r="B9" s="53" t="s">
        <v>101</v>
      </c>
      <c r="C9" s="288" t="s">
        <v>389</v>
      </c>
      <c r="D9" s="259" t="s">
        <v>390</v>
      </c>
      <c r="E9" s="260" t="s">
        <v>391</v>
      </c>
      <c r="F9" s="260" t="s">
        <v>440</v>
      </c>
      <c r="G9" s="260" t="s">
        <v>441</v>
      </c>
    </row>
    <row r="10" spans="1:2" ht="4.5" customHeight="1">
      <c r="A10" s="77"/>
      <c r="B10" s="77"/>
    </row>
    <row r="11" spans="1:7" ht="12.75">
      <c r="A11" s="14">
        <v>1</v>
      </c>
      <c r="B11" s="15" t="s">
        <v>115</v>
      </c>
      <c r="C11" s="418">
        <v>256163500</v>
      </c>
      <c r="D11" s="418">
        <v>-2006000</v>
      </c>
      <c r="E11" s="418">
        <f>C11+D11</f>
        <v>254157500</v>
      </c>
      <c r="F11" s="418">
        <f>-'- 15 -'!I11-'- 16 -'!C11</f>
        <v>-4897900</v>
      </c>
      <c r="G11" s="418">
        <f>E11+F11</f>
        <v>249259600</v>
      </c>
    </row>
    <row r="12" spans="1:7" ht="12.75">
      <c r="A12" s="16">
        <v>2</v>
      </c>
      <c r="B12" s="17" t="s">
        <v>116</v>
      </c>
      <c r="C12" s="419">
        <v>63986204</v>
      </c>
      <c r="D12" s="419">
        <v>-1174220</v>
      </c>
      <c r="E12" s="419">
        <f aca="true" t="shared" si="0" ref="E12:E63">C12+D12</f>
        <v>62811984</v>
      </c>
      <c r="F12" s="419">
        <f>-'- 15 -'!I12-'- 16 -'!C12</f>
        <v>-442559</v>
      </c>
      <c r="G12" s="419">
        <f aca="true" t="shared" si="1" ref="G12:G63">E12+F12</f>
        <v>62369425</v>
      </c>
    </row>
    <row r="13" spans="1:7" ht="12.75">
      <c r="A13" s="14">
        <v>3</v>
      </c>
      <c r="B13" s="15" t="s">
        <v>117</v>
      </c>
      <c r="C13" s="418">
        <v>46675210</v>
      </c>
      <c r="D13" s="418">
        <v>-2347248</v>
      </c>
      <c r="E13" s="418">
        <f t="shared" si="0"/>
        <v>44327962</v>
      </c>
      <c r="F13" s="418">
        <f>-'- 15 -'!I13-'- 16 -'!C13</f>
        <v>-15113</v>
      </c>
      <c r="G13" s="418">
        <f t="shared" si="1"/>
        <v>44312849</v>
      </c>
    </row>
    <row r="14" spans="1:7" ht="12.75">
      <c r="A14" s="16">
        <v>4</v>
      </c>
      <c r="B14" s="17" t="s">
        <v>118</v>
      </c>
      <c r="C14" s="419">
        <v>43729421</v>
      </c>
      <c r="D14" s="419">
        <v>-180830</v>
      </c>
      <c r="E14" s="419">
        <f t="shared" si="0"/>
        <v>43548591</v>
      </c>
      <c r="F14" s="419">
        <f>-'- 15 -'!I14-'- 16 -'!C14</f>
        <v>-182669</v>
      </c>
      <c r="G14" s="419">
        <f t="shared" si="1"/>
        <v>43365922</v>
      </c>
    </row>
    <row r="15" spans="1:7" ht="12.75">
      <c r="A15" s="14">
        <v>5</v>
      </c>
      <c r="B15" s="15" t="s">
        <v>119</v>
      </c>
      <c r="C15" s="418">
        <v>55048237</v>
      </c>
      <c r="D15" s="418">
        <v>-841946</v>
      </c>
      <c r="E15" s="418">
        <f t="shared" si="0"/>
        <v>54206291</v>
      </c>
      <c r="F15" s="418">
        <f>-'- 15 -'!I15-'- 16 -'!C15</f>
        <v>-20650</v>
      </c>
      <c r="G15" s="418">
        <f t="shared" si="1"/>
        <v>54185641</v>
      </c>
    </row>
    <row r="16" spans="1:7" ht="12.75">
      <c r="A16" s="16">
        <v>6</v>
      </c>
      <c r="B16" s="17" t="s">
        <v>120</v>
      </c>
      <c r="C16" s="419">
        <v>63301423</v>
      </c>
      <c r="D16" s="419">
        <v>-986289</v>
      </c>
      <c r="E16" s="419">
        <f t="shared" si="0"/>
        <v>62315134</v>
      </c>
      <c r="F16" s="419">
        <f>-'- 15 -'!I16-'- 16 -'!C16</f>
        <v>-321952</v>
      </c>
      <c r="G16" s="419">
        <f t="shared" si="1"/>
        <v>61993182</v>
      </c>
    </row>
    <row r="17" spans="1:7" ht="12.75">
      <c r="A17" s="14">
        <v>9</v>
      </c>
      <c r="B17" s="15" t="s">
        <v>121</v>
      </c>
      <c r="C17" s="418">
        <v>84069067</v>
      </c>
      <c r="D17" s="418">
        <v>-183230</v>
      </c>
      <c r="E17" s="418">
        <f t="shared" si="0"/>
        <v>83885837</v>
      </c>
      <c r="F17" s="418">
        <f>-'- 15 -'!I17-'- 16 -'!C17</f>
        <v>-298595</v>
      </c>
      <c r="G17" s="418">
        <f t="shared" si="1"/>
        <v>83587242</v>
      </c>
    </row>
    <row r="18" spans="1:7" ht="12.75">
      <c r="A18" s="16">
        <v>10</v>
      </c>
      <c r="B18" s="17" t="s">
        <v>122</v>
      </c>
      <c r="C18" s="419">
        <v>63050875</v>
      </c>
      <c r="D18" s="419">
        <v>-1104500</v>
      </c>
      <c r="E18" s="419">
        <f t="shared" si="0"/>
        <v>61946375</v>
      </c>
      <c r="F18" s="419">
        <f>-'- 15 -'!I18-'- 16 -'!C18</f>
        <v>-79047</v>
      </c>
      <c r="G18" s="419">
        <f t="shared" si="1"/>
        <v>61867328</v>
      </c>
    </row>
    <row r="19" spans="1:7" ht="12.75">
      <c r="A19" s="14">
        <v>11</v>
      </c>
      <c r="B19" s="15" t="s">
        <v>123</v>
      </c>
      <c r="C19" s="418">
        <v>33502030</v>
      </c>
      <c r="D19" s="418">
        <v>-148400</v>
      </c>
      <c r="E19" s="418">
        <f t="shared" si="0"/>
        <v>33353630</v>
      </c>
      <c r="F19" s="418">
        <f>-'- 15 -'!I19-'- 16 -'!C19</f>
        <v>-548140</v>
      </c>
      <c r="G19" s="418">
        <f t="shared" si="1"/>
        <v>32805490</v>
      </c>
    </row>
    <row r="20" spans="1:7" ht="12.75">
      <c r="A20" s="16">
        <v>12</v>
      </c>
      <c r="B20" s="17" t="s">
        <v>124</v>
      </c>
      <c r="C20" s="419">
        <v>52673538</v>
      </c>
      <c r="D20" s="419">
        <v>-324174</v>
      </c>
      <c r="E20" s="419">
        <f t="shared" si="0"/>
        <v>52349364</v>
      </c>
      <c r="F20" s="419">
        <f>-'- 15 -'!I20-'- 16 -'!C20</f>
        <v>-155222</v>
      </c>
      <c r="G20" s="419">
        <f t="shared" si="1"/>
        <v>52194142</v>
      </c>
    </row>
    <row r="21" spans="1:7" ht="12.75">
      <c r="A21" s="14">
        <v>13</v>
      </c>
      <c r="B21" s="15" t="s">
        <v>125</v>
      </c>
      <c r="C21" s="418">
        <v>21549094</v>
      </c>
      <c r="D21" s="418">
        <v>-534980</v>
      </c>
      <c r="E21" s="418">
        <f t="shared" si="0"/>
        <v>21014114</v>
      </c>
      <c r="F21" s="418">
        <f>-'- 15 -'!I21-'- 16 -'!C21</f>
        <v>-1181338</v>
      </c>
      <c r="G21" s="418">
        <f t="shared" si="1"/>
        <v>19832776</v>
      </c>
    </row>
    <row r="22" spans="1:7" ht="12.75">
      <c r="A22" s="16">
        <v>14</v>
      </c>
      <c r="B22" s="17" t="s">
        <v>126</v>
      </c>
      <c r="C22" s="419">
        <v>24397023</v>
      </c>
      <c r="D22" s="419">
        <v>-591576</v>
      </c>
      <c r="E22" s="419">
        <f t="shared" si="0"/>
        <v>23805447</v>
      </c>
      <c r="F22" s="419">
        <f>-'- 15 -'!I22-'- 16 -'!C22</f>
        <v>0</v>
      </c>
      <c r="G22" s="419">
        <f t="shared" si="1"/>
        <v>23805447</v>
      </c>
    </row>
    <row r="23" spans="1:7" ht="12.75">
      <c r="A23" s="14">
        <v>15</v>
      </c>
      <c r="B23" s="15" t="s">
        <v>127</v>
      </c>
      <c r="C23" s="418">
        <v>34142755</v>
      </c>
      <c r="D23" s="418">
        <v>-153200</v>
      </c>
      <c r="E23" s="418">
        <f t="shared" si="0"/>
        <v>33989555</v>
      </c>
      <c r="F23" s="418">
        <f>-'- 15 -'!I23-'- 16 -'!C23</f>
        <v>-150035</v>
      </c>
      <c r="G23" s="418">
        <f t="shared" si="1"/>
        <v>33839520</v>
      </c>
    </row>
    <row r="24" spans="1:7" ht="12.75">
      <c r="A24" s="16">
        <v>16</v>
      </c>
      <c r="B24" s="17" t="s">
        <v>128</v>
      </c>
      <c r="C24" s="419">
        <v>6335135</v>
      </c>
      <c r="D24" s="419">
        <v>-94500</v>
      </c>
      <c r="E24" s="419">
        <f t="shared" si="0"/>
        <v>6240635</v>
      </c>
      <c r="F24" s="419">
        <f>-'- 15 -'!I24-'- 16 -'!C24</f>
        <v>0</v>
      </c>
      <c r="G24" s="419">
        <f t="shared" si="1"/>
        <v>6240635</v>
      </c>
    </row>
    <row r="25" spans="1:7" ht="12.75">
      <c r="A25" s="14">
        <v>17</v>
      </c>
      <c r="B25" s="15" t="s">
        <v>129</v>
      </c>
      <c r="C25" s="418">
        <v>4706389</v>
      </c>
      <c r="D25" s="418">
        <v>-254000</v>
      </c>
      <c r="E25" s="418">
        <f t="shared" si="0"/>
        <v>4452389</v>
      </c>
      <c r="F25" s="418">
        <f>-'- 15 -'!I25-'- 16 -'!C25</f>
        <v>-5800</v>
      </c>
      <c r="G25" s="418">
        <f t="shared" si="1"/>
        <v>4446589</v>
      </c>
    </row>
    <row r="26" spans="1:7" ht="12.75">
      <c r="A26" s="16">
        <v>18</v>
      </c>
      <c r="B26" s="17" t="s">
        <v>130</v>
      </c>
      <c r="C26" s="419">
        <v>9902388.717500001</v>
      </c>
      <c r="D26" s="419">
        <v>-100000</v>
      </c>
      <c r="E26" s="419">
        <f t="shared" si="0"/>
        <v>9802388.717500001</v>
      </c>
      <c r="F26" s="419">
        <f>-'- 15 -'!I26-'- 16 -'!C26</f>
        <v>-335653.2</v>
      </c>
      <c r="G26" s="419">
        <f t="shared" si="1"/>
        <v>9466735.517500002</v>
      </c>
    </row>
    <row r="27" spans="1:7" ht="12.75">
      <c r="A27" s="14">
        <v>19</v>
      </c>
      <c r="B27" s="15" t="s">
        <v>131</v>
      </c>
      <c r="C27" s="418">
        <v>12976485</v>
      </c>
      <c r="D27" s="418">
        <v>-558600</v>
      </c>
      <c r="E27" s="418">
        <f t="shared" si="0"/>
        <v>12417885</v>
      </c>
      <c r="F27" s="418">
        <f>-'- 15 -'!I27-'- 16 -'!C27</f>
        <v>0</v>
      </c>
      <c r="G27" s="418">
        <f t="shared" si="1"/>
        <v>12417885</v>
      </c>
    </row>
    <row r="28" spans="1:7" ht="12.75">
      <c r="A28" s="16">
        <v>20</v>
      </c>
      <c r="B28" s="17" t="s">
        <v>132</v>
      </c>
      <c r="C28" s="419">
        <v>8071049</v>
      </c>
      <c r="D28" s="419">
        <v>-168000</v>
      </c>
      <c r="E28" s="419">
        <f t="shared" si="0"/>
        <v>7903049</v>
      </c>
      <c r="F28" s="419">
        <f>-'- 15 -'!I28-'- 16 -'!C28</f>
        <v>-49834</v>
      </c>
      <c r="G28" s="419">
        <f t="shared" si="1"/>
        <v>7853215</v>
      </c>
    </row>
    <row r="29" spans="1:7" ht="12.75">
      <c r="A29" s="14">
        <v>21</v>
      </c>
      <c r="B29" s="15" t="s">
        <v>133</v>
      </c>
      <c r="C29" s="418">
        <v>23790000</v>
      </c>
      <c r="D29" s="418">
        <v>-294000</v>
      </c>
      <c r="E29" s="418">
        <f t="shared" si="0"/>
        <v>23496000</v>
      </c>
      <c r="F29" s="418">
        <f>-'- 15 -'!I29-'- 16 -'!C29</f>
        <v>-332000</v>
      </c>
      <c r="G29" s="418">
        <f t="shared" si="1"/>
        <v>23164000</v>
      </c>
    </row>
    <row r="30" spans="1:7" ht="12.75">
      <c r="A30" s="16">
        <v>22</v>
      </c>
      <c r="B30" s="17" t="s">
        <v>134</v>
      </c>
      <c r="C30" s="419">
        <v>12529719</v>
      </c>
      <c r="D30" s="419">
        <v>-76000</v>
      </c>
      <c r="E30" s="419">
        <f t="shared" si="0"/>
        <v>12453719</v>
      </c>
      <c r="F30" s="419">
        <f>-'- 15 -'!I30-'- 16 -'!C30</f>
        <v>-232650</v>
      </c>
      <c r="G30" s="419">
        <f t="shared" si="1"/>
        <v>12221069</v>
      </c>
    </row>
    <row r="31" spans="1:7" ht="12.75">
      <c r="A31" s="14">
        <v>23</v>
      </c>
      <c r="B31" s="15" t="s">
        <v>135</v>
      </c>
      <c r="C31" s="418">
        <v>10235793</v>
      </c>
      <c r="D31" s="418">
        <v>-8000</v>
      </c>
      <c r="E31" s="418">
        <f t="shared" si="0"/>
        <v>10227793</v>
      </c>
      <c r="F31" s="418">
        <f>-'- 15 -'!I31-'- 16 -'!C31</f>
        <v>0</v>
      </c>
      <c r="G31" s="418">
        <f t="shared" si="1"/>
        <v>10227793</v>
      </c>
    </row>
    <row r="32" spans="1:7" ht="12.75">
      <c r="A32" s="16">
        <v>24</v>
      </c>
      <c r="B32" s="17" t="s">
        <v>136</v>
      </c>
      <c r="C32" s="419">
        <v>23423041</v>
      </c>
      <c r="D32" s="419">
        <v>-42000</v>
      </c>
      <c r="E32" s="419">
        <f t="shared" si="0"/>
        <v>23381041</v>
      </c>
      <c r="F32" s="419">
        <f>-'- 15 -'!I32-'- 16 -'!C32</f>
        <v>-195574</v>
      </c>
      <c r="G32" s="419">
        <f t="shared" si="1"/>
        <v>23185467</v>
      </c>
    </row>
    <row r="33" spans="1:7" ht="12.75">
      <c r="A33" s="14">
        <v>25</v>
      </c>
      <c r="B33" s="15" t="s">
        <v>137</v>
      </c>
      <c r="C33" s="418">
        <v>10665654</v>
      </c>
      <c r="D33" s="418">
        <v>-30300</v>
      </c>
      <c r="E33" s="418">
        <f t="shared" si="0"/>
        <v>10635354</v>
      </c>
      <c r="F33" s="418">
        <f>-'- 15 -'!I33-'- 16 -'!C33</f>
        <v>-251190</v>
      </c>
      <c r="G33" s="418">
        <f t="shared" si="1"/>
        <v>10384164</v>
      </c>
    </row>
    <row r="34" spans="1:7" ht="12.75">
      <c r="A34" s="16">
        <v>26</v>
      </c>
      <c r="B34" s="17" t="s">
        <v>138</v>
      </c>
      <c r="C34" s="419">
        <v>17360750</v>
      </c>
      <c r="D34" s="419">
        <v>-19000</v>
      </c>
      <c r="E34" s="419">
        <f t="shared" si="0"/>
        <v>17341750</v>
      </c>
      <c r="F34" s="419">
        <f>-'- 15 -'!I34-'- 16 -'!C34</f>
        <v>0</v>
      </c>
      <c r="G34" s="419">
        <f t="shared" si="1"/>
        <v>17341750</v>
      </c>
    </row>
    <row r="35" spans="1:7" ht="12.75">
      <c r="A35" s="14">
        <v>28</v>
      </c>
      <c r="B35" s="15" t="s">
        <v>139</v>
      </c>
      <c r="C35" s="418">
        <v>6458348</v>
      </c>
      <c r="D35" s="418">
        <v>-54700</v>
      </c>
      <c r="E35" s="418">
        <f t="shared" si="0"/>
        <v>6403648</v>
      </c>
      <c r="F35" s="418">
        <f>-'- 15 -'!I35-'- 16 -'!C35</f>
        <v>0</v>
      </c>
      <c r="G35" s="418">
        <f t="shared" si="1"/>
        <v>6403648</v>
      </c>
    </row>
    <row r="36" spans="1:7" ht="12.75">
      <c r="A36" s="16">
        <v>30</v>
      </c>
      <c r="B36" s="17" t="s">
        <v>140</v>
      </c>
      <c r="C36" s="419">
        <v>9826021</v>
      </c>
      <c r="D36" s="419">
        <v>-31800</v>
      </c>
      <c r="E36" s="419">
        <f t="shared" si="0"/>
        <v>9794221</v>
      </c>
      <c r="F36" s="419">
        <f>-'- 15 -'!I36-'- 16 -'!C36</f>
        <v>0</v>
      </c>
      <c r="G36" s="419">
        <f t="shared" si="1"/>
        <v>9794221</v>
      </c>
    </row>
    <row r="37" spans="1:7" ht="12.75">
      <c r="A37" s="14">
        <v>31</v>
      </c>
      <c r="B37" s="15" t="s">
        <v>141</v>
      </c>
      <c r="C37" s="418">
        <v>10984436</v>
      </c>
      <c r="D37" s="418">
        <v>-33250</v>
      </c>
      <c r="E37" s="418">
        <f t="shared" si="0"/>
        <v>10951186</v>
      </c>
      <c r="F37" s="418">
        <f>-'- 15 -'!I37-'- 16 -'!C37</f>
        <v>0</v>
      </c>
      <c r="G37" s="418">
        <f t="shared" si="1"/>
        <v>10951186</v>
      </c>
    </row>
    <row r="38" spans="1:7" ht="12.75">
      <c r="A38" s="16">
        <v>32</v>
      </c>
      <c r="B38" s="17" t="s">
        <v>142</v>
      </c>
      <c r="C38" s="419">
        <v>6969973</v>
      </c>
      <c r="D38" s="419">
        <v>-95293</v>
      </c>
      <c r="E38" s="419">
        <f t="shared" si="0"/>
        <v>6874680</v>
      </c>
      <c r="F38" s="419">
        <f>-'- 15 -'!I38-'- 16 -'!C38</f>
        <v>0</v>
      </c>
      <c r="G38" s="419">
        <f t="shared" si="1"/>
        <v>6874680</v>
      </c>
    </row>
    <row r="39" spans="1:7" ht="12.75">
      <c r="A39" s="14">
        <v>33</v>
      </c>
      <c r="B39" s="15" t="s">
        <v>143</v>
      </c>
      <c r="C39" s="418">
        <v>13694156</v>
      </c>
      <c r="D39" s="418">
        <v>0</v>
      </c>
      <c r="E39" s="418">
        <f t="shared" si="0"/>
        <v>13694156</v>
      </c>
      <c r="F39" s="418">
        <f>-'- 15 -'!I39-'- 16 -'!C39</f>
        <v>0</v>
      </c>
      <c r="G39" s="418">
        <f t="shared" si="1"/>
        <v>13694156</v>
      </c>
    </row>
    <row r="40" spans="1:7" ht="12.75">
      <c r="A40" s="16">
        <v>34</v>
      </c>
      <c r="B40" s="17" t="s">
        <v>144</v>
      </c>
      <c r="C40" s="419">
        <v>5763017</v>
      </c>
      <c r="D40" s="419">
        <v>0</v>
      </c>
      <c r="E40" s="419">
        <f t="shared" si="0"/>
        <v>5763017</v>
      </c>
      <c r="F40" s="419">
        <f>-'- 15 -'!I40-'- 16 -'!C40</f>
        <v>0</v>
      </c>
      <c r="G40" s="419">
        <f t="shared" si="1"/>
        <v>5763017</v>
      </c>
    </row>
    <row r="41" spans="1:7" ht="12.75">
      <c r="A41" s="14">
        <v>35</v>
      </c>
      <c r="B41" s="15" t="s">
        <v>145</v>
      </c>
      <c r="C41" s="418">
        <v>14719928</v>
      </c>
      <c r="D41" s="418">
        <v>0</v>
      </c>
      <c r="E41" s="418">
        <f t="shared" si="0"/>
        <v>14719928</v>
      </c>
      <c r="F41" s="418">
        <f>-'- 15 -'!I41-'- 16 -'!C41</f>
        <v>-55500</v>
      </c>
      <c r="G41" s="418">
        <f t="shared" si="1"/>
        <v>14664428</v>
      </c>
    </row>
    <row r="42" spans="1:7" ht="12.75">
      <c r="A42" s="16">
        <v>36</v>
      </c>
      <c r="B42" s="17" t="s">
        <v>146</v>
      </c>
      <c r="C42" s="419">
        <v>7709756</v>
      </c>
      <c r="D42" s="419">
        <v>-71756</v>
      </c>
      <c r="E42" s="419">
        <f t="shared" si="0"/>
        <v>7638000</v>
      </c>
      <c r="F42" s="419">
        <f>-'- 15 -'!I42-'- 16 -'!C42</f>
        <v>0</v>
      </c>
      <c r="G42" s="419">
        <f t="shared" si="1"/>
        <v>7638000</v>
      </c>
    </row>
    <row r="43" spans="1:7" ht="12.75">
      <c r="A43" s="14">
        <v>37</v>
      </c>
      <c r="B43" s="15" t="s">
        <v>147</v>
      </c>
      <c r="C43" s="418">
        <v>6960570</v>
      </c>
      <c r="D43" s="418">
        <v>-35400</v>
      </c>
      <c r="E43" s="418">
        <f t="shared" si="0"/>
        <v>6925170</v>
      </c>
      <c r="F43" s="418">
        <f>-'- 15 -'!I43-'- 16 -'!C43</f>
        <v>-17551</v>
      </c>
      <c r="G43" s="418">
        <f t="shared" si="1"/>
        <v>6907619</v>
      </c>
    </row>
    <row r="44" spans="1:7" ht="12.75">
      <c r="A44" s="16">
        <v>38</v>
      </c>
      <c r="B44" s="17" t="s">
        <v>148</v>
      </c>
      <c r="C44" s="419">
        <v>8997580</v>
      </c>
      <c r="D44" s="419">
        <v>-41442</v>
      </c>
      <c r="E44" s="419">
        <f t="shared" si="0"/>
        <v>8956138</v>
      </c>
      <c r="F44" s="419">
        <f>-'- 15 -'!I44-'- 16 -'!C44</f>
        <v>0</v>
      </c>
      <c r="G44" s="419">
        <f t="shared" si="1"/>
        <v>8956138</v>
      </c>
    </row>
    <row r="45" spans="1:7" ht="12.75">
      <c r="A45" s="14">
        <v>39</v>
      </c>
      <c r="B45" s="15" t="s">
        <v>149</v>
      </c>
      <c r="C45" s="418">
        <v>16053350</v>
      </c>
      <c r="D45" s="418">
        <v>-128200</v>
      </c>
      <c r="E45" s="418">
        <f t="shared" si="0"/>
        <v>15925150</v>
      </c>
      <c r="F45" s="418">
        <f>-'- 15 -'!I45-'- 16 -'!C45</f>
        <v>0</v>
      </c>
      <c r="G45" s="418">
        <f t="shared" si="1"/>
        <v>15925150</v>
      </c>
    </row>
    <row r="46" spans="1:7" ht="12.75">
      <c r="A46" s="16">
        <v>40</v>
      </c>
      <c r="B46" s="17" t="s">
        <v>150</v>
      </c>
      <c r="C46" s="419">
        <v>46809600</v>
      </c>
      <c r="D46" s="419">
        <v>-83100</v>
      </c>
      <c r="E46" s="419">
        <f t="shared" si="0"/>
        <v>46726500</v>
      </c>
      <c r="F46" s="419">
        <f>-'- 15 -'!I46-'- 16 -'!C46</f>
        <v>-63600</v>
      </c>
      <c r="G46" s="419">
        <f t="shared" si="1"/>
        <v>46662900</v>
      </c>
    </row>
    <row r="47" spans="1:7" ht="12.75">
      <c r="A47" s="14">
        <v>41</v>
      </c>
      <c r="B47" s="15" t="s">
        <v>151</v>
      </c>
      <c r="C47" s="418">
        <v>12307306</v>
      </c>
      <c r="D47" s="418">
        <v>-24900</v>
      </c>
      <c r="E47" s="418">
        <f t="shared" si="0"/>
        <v>12282406</v>
      </c>
      <c r="F47" s="418">
        <f>-'- 15 -'!I47-'- 16 -'!C47</f>
        <v>-135550</v>
      </c>
      <c r="G47" s="418">
        <f t="shared" si="1"/>
        <v>12146856</v>
      </c>
    </row>
    <row r="48" spans="1:7" ht="12.75">
      <c r="A48" s="16">
        <v>42</v>
      </c>
      <c r="B48" s="17" t="s">
        <v>152</v>
      </c>
      <c r="C48" s="419">
        <v>8106531</v>
      </c>
      <c r="D48" s="419">
        <v>-79375</v>
      </c>
      <c r="E48" s="419">
        <f t="shared" si="0"/>
        <v>8027156</v>
      </c>
      <c r="F48" s="419">
        <f>-'- 15 -'!I48-'- 16 -'!C48</f>
        <v>0</v>
      </c>
      <c r="G48" s="419">
        <f t="shared" si="1"/>
        <v>8027156</v>
      </c>
    </row>
    <row r="49" spans="1:7" ht="12.75">
      <c r="A49" s="14">
        <v>43</v>
      </c>
      <c r="B49" s="15" t="s">
        <v>153</v>
      </c>
      <c r="C49" s="418">
        <v>6436000</v>
      </c>
      <c r="D49" s="418">
        <v>-33000</v>
      </c>
      <c r="E49" s="418">
        <f t="shared" si="0"/>
        <v>6403000</v>
      </c>
      <c r="F49" s="418">
        <f>-'- 15 -'!I49-'- 16 -'!C49</f>
        <v>-43500</v>
      </c>
      <c r="G49" s="418">
        <f t="shared" si="1"/>
        <v>6359500</v>
      </c>
    </row>
    <row r="50" spans="1:7" ht="12.75">
      <c r="A50" s="16">
        <v>44</v>
      </c>
      <c r="B50" s="17" t="s">
        <v>154</v>
      </c>
      <c r="C50" s="419">
        <v>9278778</v>
      </c>
      <c r="D50" s="419">
        <v>-44000</v>
      </c>
      <c r="E50" s="419">
        <f t="shared" si="0"/>
        <v>9234778</v>
      </c>
      <c r="F50" s="419">
        <f>-'- 15 -'!I50-'- 16 -'!C50</f>
        <v>-275000</v>
      </c>
      <c r="G50" s="419">
        <f t="shared" si="1"/>
        <v>8959778</v>
      </c>
    </row>
    <row r="51" spans="1:7" ht="12.75">
      <c r="A51" s="14">
        <v>45</v>
      </c>
      <c r="B51" s="15" t="s">
        <v>155</v>
      </c>
      <c r="C51" s="418">
        <v>12062509</v>
      </c>
      <c r="D51" s="418">
        <v>-9300</v>
      </c>
      <c r="E51" s="418">
        <f t="shared" si="0"/>
        <v>12053209</v>
      </c>
      <c r="F51" s="418">
        <f>-'- 15 -'!I51-'- 16 -'!C51</f>
        <v>-16250</v>
      </c>
      <c r="G51" s="418">
        <f t="shared" si="1"/>
        <v>12036959</v>
      </c>
    </row>
    <row r="52" spans="1:7" ht="12.75">
      <c r="A52" s="16">
        <v>46</v>
      </c>
      <c r="B52" s="17" t="s">
        <v>156</v>
      </c>
      <c r="C52" s="419">
        <v>10603118</v>
      </c>
      <c r="D52" s="419">
        <v>0</v>
      </c>
      <c r="E52" s="419">
        <f t="shared" si="0"/>
        <v>10603118</v>
      </c>
      <c r="F52" s="419">
        <f>-'- 15 -'!I52-'- 16 -'!C52</f>
        <v>0</v>
      </c>
      <c r="G52" s="419">
        <f t="shared" si="1"/>
        <v>10603118</v>
      </c>
    </row>
    <row r="53" spans="1:7" ht="12.75">
      <c r="A53" s="14">
        <v>47</v>
      </c>
      <c r="B53" s="15" t="s">
        <v>157</v>
      </c>
      <c r="C53" s="418">
        <v>9609491</v>
      </c>
      <c r="D53" s="418">
        <v>-33000</v>
      </c>
      <c r="E53" s="418">
        <f t="shared" si="0"/>
        <v>9576491</v>
      </c>
      <c r="F53" s="418">
        <f>-'- 15 -'!I53-'- 16 -'!C53</f>
        <v>-180000</v>
      </c>
      <c r="G53" s="418">
        <f t="shared" si="1"/>
        <v>9396491</v>
      </c>
    </row>
    <row r="54" spans="1:7" ht="12.75">
      <c r="A54" s="16">
        <v>48</v>
      </c>
      <c r="B54" s="17" t="s">
        <v>158</v>
      </c>
      <c r="C54" s="419">
        <v>64074311</v>
      </c>
      <c r="D54" s="419">
        <v>-2003387</v>
      </c>
      <c r="E54" s="419">
        <f t="shared" si="0"/>
        <v>62070924</v>
      </c>
      <c r="F54" s="419">
        <f>-'- 15 -'!I54-'- 16 -'!C54</f>
        <v>-612289</v>
      </c>
      <c r="G54" s="419">
        <f t="shared" si="1"/>
        <v>61458635</v>
      </c>
    </row>
    <row r="55" spans="1:7" ht="12.75">
      <c r="A55" s="14">
        <v>49</v>
      </c>
      <c r="B55" s="15" t="s">
        <v>159</v>
      </c>
      <c r="C55" s="418">
        <v>40244447</v>
      </c>
      <c r="D55" s="418">
        <v>-92229</v>
      </c>
      <c r="E55" s="418">
        <f t="shared" si="0"/>
        <v>40152218</v>
      </c>
      <c r="F55" s="418">
        <f>-'- 15 -'!I55-'- 16 -'!C55</f>
        <v>-137070</v>
      </c>
      <c r="G55" s="418">
        <f t="shared" si="1"/>
        <v>40015148</v>
      </c>
    </row>
    <row r="56" spans="1:7" ht="12.75">
      <c r="A56" s="16">
        <v>50</v>
      </c>
      <c r="B56" s="17" t="s">
        <v>340</v>
      </c>
      <c r="C56" s="419">
        <v>14480000</v>
      </c>
      <c r="D56" s="419">
        <v>-66500</v>
      </c>
      <c r="E56" s="419">
        <f>C56+D56</f>
        <v>14413500</v>
      </c>
      <c r="F56" s="419">
        <f>-'- 15 -'!I56-'- 16 -'!C56</f>
        <v>0</v>
      </c>
      <c r="G56" s="419">
        <f t="shared" si="1"/>
        <v>14413500</v>
      </c>
    </row>
    <row r="57" spans="1:7" ht="12.75">
      <c r="A57" s="14">
        <v>2264</v>
      </c>
      <c r="B57" s="15" t="s">
        <v>160</v>
      </c>
      <c r="C57" s="418">
        <v>2022174</v>
      </c>
      <c r="D57" s="418">
        <v>0</v>
      </c>
      <c r="E57" s="418">
        <f t="shared" si="0"/>
        <v>2022174</v>
      </c>
      <c r="F57" s="418">
        <f>-'- 15 -'!I57-'- 16 -'!C57</f>
        <v>-23530</v>
      </c>
      <c r="G57" s="418">
        <f t="shared" si="1"/>
        <v>1998644</v>
      </c>
    </row>
    <row r="58" spans="1:7" ht="12.75">
      <c r="A58" s="16">
        <v>2309</v>
      </c>
      <c r="B58" s="17" t="s">
        <v>161</v>
      </c>
      <c r="C58" s="419">
        <v>2114451</v>
      </c>
      <c r="D58" s="419">
        <v>-9200</v>
      </c>
      <c r="E58" s="419">
        <f t="shared" si="0"/>
        <v>2105251</v>
      </c>
      <c r="F58" s="419">
        <f>-'- 15 -'!I58-'- 16 -'!C58</f>
        <v>0</v>
      </c>
      <c r="G58" s="419">
        <f t="shared" si="1"/>
        <v>2105251</v>
      </c>
    </row>
    <row r="59" spans="1:7" ht="12.75">
      <c r="A59" s="14">
        <v>2312</v>
      </c>
      <c r="B59" s="15" t="s">
        <v>162</v>
      </c>
      <c r="C59" s="418">
        <v>1559268</v>
      </c>
      <c r="D59" s="418">
        <v>0</v>
      </c>
      <c r="E59" s="418">
        <f t="shared" si="0"/>
        <v>1559268</v>
      </c>
      <c r="F59" s="418">
        <f>-'- 15 -'!I59-'- 16 -'!C59</f>
        <v>0</v>
      </c>
      <c r="G59" s="418">
        <f t="shared" si="1"/>
        <v>1559268</v>
      </c>
    </row>
    <row r="60" spans="1:7" ht="12.75">
      <c r="A60" s="16">
        <v>2355</v>
      </c>
      <c r="B60" s="17" t="s">
        <v>163</v>
      </c>
      <c r="C60" s="419">
        <v>25655972</v>
      </c>
      <c r="D60" s="419">
        <v>-840</v>
      </c>
      <c r="E60" s="419">
        <f t="shared" si="0"/>
        <v>25655132</v>
      </c>
      <c r="F60" s="419">
        <f>-'- 15 -'!I60-'- 16 -'!C60</f>
        <v>-2081</v>
      </c>
      <c r="G60" s="419">
        <f t="shared" si="1"/>
        <v>25653051</v>
      </c>
    </row>
    <row r="61" spans="1:7" ht="12.75">
      <c r="A61" s="14">
        <v>2439</v>
      </c>
      <c r="B61" s="15" t="s">
        <v>164</v>
      </c>
      <c r="C61" s="418">
        <v>1358529</v>
      </c>
      <c r="D61" s="418">
        <v>0</v>
      </c>
      <c r="E61" s="418">
        <f t="shared" si="0"/>
        <v>1358529</v>
      </c>
      <c r="F61" s="418">
        <f>-'- 15 -'!I61-'- 16 -'!C61</f>
        <v>0</v>
      </c>
      <c r="G61" s="418">
        <f t="shared" si="1"/>
        <v>1358529</v>
      </c>
    </row>
    <row r="62" spans="1:7" ht="12.75">
      <c r="A62" s="16">
        <v>2460</v>
      </c>
      <c r="B62" s="17" t="s">
        <v>165</v>
      </c>
      <c r="C62" s="419">
        <v>2153184</v>
      </c>
      <c r="D62" s="419">
        <v>-2200</v>
      </c>
      <c r="E62" s="419">
        <f t="shared" si="0"/>
        <v>2150984</v>
      </c>
      <c r="F62" s="419">
        <f>-'- 15 -'!I62-'- 16 -'!C62</f>
        <v>0</v>
      </c>
      <c r="G62" s="419">
        <f t="shared" si="1"/>
        <v>2150984</v>
      </c>
    </row>
    <row r="63" spans="1:7" ht="12.75">
      <c r="A63" s="14">
        <v>3000</v>
      </c>
      <c r="B63" s="15" t="s">
        <v>363</v>
      </c>
      <c r="C63" s="418">
        <v>7232071</v>
      </c>
      <c r="D63" s="418">
        <v>0</v>
      </c>
      <c r="E63" s="418">
        <f t="shared" si="0"/>
        <v>7232071</v>
      </c>
      <c r="F63" s="418">
        <f>-'- 15 -'!I63-'- 16 -'!C63</f>
        <v>-917205</v>
      </c>
      <c r="G63" s="418">
        <f t="shared" si="1"/>
        <v>6314866</v>
      </c>
    </row>
    <row r="64" spans="3:7" ht="4.5" customHeight="1">
      <c r="C64" s="420"/>
      <c r="D64" s="420"/>
      <c r="E64" s="420"/>
      <c r="F64" s="420"/>
      <c r="G64" s="420"/>
    </row>
    <row r="65" spans="1:7" ht="12.75">
      <c r="A65" s="20"/>
      <c r="B65" s="21" t="s">
        <v>166</v>
      </c>
      <c r="C65" s="421">
        <f>SUM(C11:C63)</f>
        <v>1366529655.7175</v>
      </c>
      <c r="D65" s="421">
        <f>SUM(D11:D63)</f>
        <v>-15193865</v>
      </c>
      <c r="E65" s="421">
        <f>SUM(E11:E63)</f>
        <v>1351335790.7175</v>
      </c>
      <c r="F65" s="421">
        <f>SUM(F11:F63)</f>
        <v>-12175047.2</v>
      </c>
      <c r="G65" s="421">
        <f>SUM(G11:G63)</f>
        <v>1339160743.5175</v>
      </c>
    </row>
    <row r="66" spans="3:7" ht="4.5" customHeight="1">
      <c r="C66" s="420"/>
      <c r="D66" s="420"/>
      <c r="E66" s="420"/>
      <c r="F66" s="420"/>
      <c r="G66" s="420"/>
    </row>
    <row r="67" spans="1:7" ht="12.75">
      <c r="A67" s="16">
        <v>2155</v>
      </c>
      <c r="B67" s="17" t="s">
        <v>167</v>
      </c>
      <c r="C67" s="419">
        <v>1402423</v>
      </c>
      <c r="D67" s="419">
        <v>-76039</v>
      </c>
      <c r="E67" s="419">
        <f>C67+D67</f>
        <v>1326384</v>
      </c>
      <c r="F67" s="419">
        <f>-'- 15 -'!I67-'- 16 -'!C67</f>
        <v>0</v>
      </c>
      <c r="G67" s="419">
        <f>E67+F67</f>
        <v>1326384</v>
      </c>
    </row>
    <row r="68" spans="1:7" ht="12.75">
      <c r="A68" s="14">
        <v>2408</v>
      </c>
      <c r="B68" s="15" t="s">
        <v>169</v>
      </c>
      <c r="C68" s="418">
        <v>2302065</v>
      </c>
      <c r="D68" s="418">
        <v>-4500</v>
      </c>
      <c r="E68" s="418">
        <f>C68+D68</f>
        <v>2297565</v>
      </c>
      <c r="F68" s="418">
        <f>-'- 15 -'!I68-'- 16 -'!C68</f>
        <v>-3500</v>
      </c>
      <c r="G68" s="418">
        <f>E68+F68</f>
        <v>2294065</v>
      </c>
    </row>
    <row r="69" ht="6.75" customHeight="1"/>
    <row r="70" spans="1:7" ht="12" customHeight="1">
      <c r="A70" s="396" t="s">
        <v>351</v>
      </c>
      <c r="B70" s="272" t="s">
        <v>438</v>
      </c>
      <c r="C70" s="240"/>
      <c r="D70" s="240"/>
      <c r="E70" s="240"/>
      <c r="F70" s="240"/>
      <c r="G70" s="240"/>
    </row>
    <row r="71" spans="1:7" ht="12" customHeight="1">
      <c r="A71" s="396" t="s">
        <v>352</v>
      </c>
      <c r="B71" s="272" t="s">
        <v>315</v>
      </c>
      <c r="C71" s="240"/>
      <c r="D71" s="240"/>
      <c r="E71" s="240"/>
      <c r="F71" s="240"/>
      <c r="G71" s="240"/>
    </row>
    <row r="72" spans="1:7" ht="12" customHeight="1">
      <c r="A72" s="55"/>
      <c r="B72" s="272" t="s">
        <v>489</v>
      </c>
      <c r="C72" s="240"/>
      <c r="D72" s="240"/>
      <c r="E72" s="240"/>
      <c r="F72" s="240"/>
      <c r="G72" s="240"/>
    </row>
    <row r="73" spans="1:7" ht="12" customHeight="1">
      <c r="A73" s="396" t="s">
        <v>353</v>
      </c>
      <c r="B73" s="272" t="s">
        <v>336</v>
      </c>
      <c r="C73" s="240"/>
      <c r="D73" s="240"/>
      <c r="E73" s="240"/>
      <c r="F73" s="240"/>
      <c r="G73" s="240"/>
    </row>
    <row r="74" spans="1:7" ht="12" customHeight="1">
      <c r="A74" s="396" t="s">
        <v>354</v>
      </c>
      <c r="B74" s="272" t="s">
        <v>443</v>
      </c>
      <c r="C74" s="240"/>
      <c r="D74" s="240"/>
      <c r="E74" s="240"/>
      <c r="F74" s="240"/>
      <c r="G74" s="240"/>
    </row>
    <row r="75" spans="1:2" ht="12" customHeight="1">
      <c r="A75" s="396" t="s">
        <v>442</v>
      </c>
      <c r="B75" s="272" t="s">
        <v>300</v>
      </c>
    </row>
  </sheetData>
  <printOptions horizontalCentered="1"/>
  <pageMargins left="0.5" right="0.5" top="0.6" bottom="0" header="0.3" footer="0"/>
  <pageSetup fitToHeight="1" fitToWidth="1" horizontalDpi="300" verticalDpi="300" orientation="portrait" scale="81"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0.83203125" style="82" customWidth="1"/>
    <col min="3" max="3" width="15.83203125" style="82" customWidth="1"/>
    <col min="4" max="4" width="8.83203125" style="82" customWidth="1"/>
    <col min="5" max="5" width="15.83203125" style="82" customWidth="1"/>
    <col min="6" max="6" width="8.83203125" style="82" customWidth="1"/>
    <col min="7" max="7" width="17.83203125" style="82" customWidth="1"/>
    <col min="8" max="8" width="8.83203125" style="82" customWidth="1"/>
    <col min="9" max="9" width="16.83203125" style="82" customWidth="1"/>
    <col min="10" max="10" width="8.83203125" style="82" customWidth="1"/>
    <col min="11" max="16384" width="15.83203125" style="82" customWidth="1"/>
  </cols>
  <sheetData>
    <row r="1" spans="1:10" ht="6.75" customHeight="1">
      <c r="A1" s="18"/>
      <c r="B1" s="80"/>
      <c r="C1" s="142"/>
      <c r="D1" s="142"/>
      <c r="E1" s="142"/>
      <c r="F1" s="142"/>
      <c r="G1" s="142"/>
      <c r="H1" s="142"/>
      <c r="I1" s="142"/>
      <c r="J1" s="142"/>
    </row>
    <row r="2" spans="1:10" ht="12.75">
      <c r="A2" s="9"/>
      <c r="B2" s="83"/>
      <c r="C2" s="200" t="s">
        <v>0</v>
      </c>
      <c r="D2" s="200"/>
      <c r="E2" s="200"/>
      <c r="F2" s="200"/>
      <c r="G2" s="200"/>
      <c r="H2" s="215"/>
      <c r="I2" s="215"/>
      <c r="J2" s="219" t="s">
        <v>427</v>
      </c>
    </row>
    <row r="3" spans="1:10" ht="12.75">
      <c r="A3" s="10"/>
      <c r="B3" s="86"/>
      <c r="C3" s="203" t="str">
        <f>YEAR</f>
        <v>OPERATING FUND BUDGET 2002/2003</v>
      </c>
      <c r="D3" s="203"/>
      <c r="E3" s="203"/>
      <c r="F3" s="203"/>
      <c r="G3" s="203"/>
      <c r="H3" s="216"/>
      <c r="I3" s="216"/>
      <c r="J3" s="220"/>
    </row>
    <row r="4" spans="1:10" ht="12.75">
      <c r="A4" s="11"/>
      <c r="C4" s="142"/>
      <c r="D4" s="142"/>
      <c r="E4" s="142"/>
      <c r="F4" s="142"/>
      <c r="G4" s="142"/>
      <c r="H4" s="142"/>
      <c r="I4" s="142"/>
      <c r="J4" s="142"/>
    </row>
    <row r="5" spans="1:10" ht="12.75">
      <c r="A5" s="11"/>
      <c r="C5" s="57"/>
      <c r="D5" s="142"/>
      <c r="E5" s="142"/>
      <c r="F5" s="142"/>
      <c r="G5" s="142"/>
      <c r="H5" s="142"/>
      <c r="I5" s="142"/>
      <c r="J5" s="142"/>
    </row>
    <row r="6" spans="1:10" ht="16.5">
      <c r="A6" s="11"/>
      <c r="C6" s="341" t="s">
        <v>19</v>
      </c>
      <c r="D6" s="221"/>
      <c r="E6" s="222"/>
      <c r="F6" s="222"/>
      <c r="G6" s="222"/>
      <c r="H6" s="222"/>
      <c r="I6" s="222"/>
      <c r="J6" s="223"/>
    </row>
    <row r="7" spans="3:10" ht="12.75">
      <c r="C7" s="68" t="s">
        <v>506</v>
      </c>
      <c r="D7" s="67"/>
      <c r="E7" s="68" t="s">
        <v>46</v>
      </c>
      <c r="F7" s="67"/>
      <c r="G7" s="68" t="s">
        <v>47</v>
      </c>
      <c r="H7" s="67"/>
      <c r="I7" s="238"/>
      <c r="J7" s="206"/>
    </row>
    <row r="8" spans="1:10" ht="12.75">
      <c r="A8" s="94"/>
      <c r="B8" s="46"/>
      <c r="C8" s="69" t="s">
        <v>97</v>
      </c>
      <c r="D8" s="71"/>
      <c r="E8" s="69" t="s">
        <v>76</v>
      </c>
      <c r="F8" s="71"/>
      <c r="G8" s="69" t="s">
        <v>77</v>
      </c>
      <c r="H8" s="71"/>
      <c r="I8" s="69" t="s">
        <v>343</v>
      </c>
      <c r="J8" s="71"/>
    </row>
    <row r="9" spans="1:10" ht="12.75">
      <c r="A9" s="52" t="s">
        <v>100</v>
      </c>
      <c r="B9" s="53" t="s">
        <v>101</v>
      </c>
      <c r="C9" s="224" t="s">
        <v>102</v>
      </c>
      <c r="D9" s="133" t="s">
        <v>103</v>
      </c>
      <c r="E9" s="133" t="s">
        <v>102</v>
      </c>
      <c r="F9" s="133" t="s">
        <v>103</v>
      </c>
      <c r="G9" s="133" t="s">
        <v>102</v>
      </c>
      <c r="H9" s="133" t="s">
        <v>103</v>
      </c>
      <c r="I9" s="133" t="s">
        <v>102</v>
      </c>
      <c r="J9" s="133" t="s">
        <v>103</v>
      </c>
    </row>
    <row r="10" spans="1:2" ht="4.5" customHeight="1">
      <c r="A10" s="77"/>
      <c r="B10" s="77"/>
    </row>
    <row r="11" spans="1:10" ht="12.75">
      <c r="A11" s="14">
        <v>1</v>
      </c>
      <c r="B11" s="15" t="s">
        <v>115</v>
      </c>
      <c r="C11" s="15">
        <v>0</v>
      </c>
      <c r="D11" s="360">
        <f>C11/'- 3 -'!E11</f>
        <v>0</v>
      </c>
      <c r="E11" s="15">
        <v>1580900</v>
      </c>
      <c r="F11" s="360">
        <f>E11/'- 3 -'!E11</f>
        <v>0.0062201587598241246</v>
      </c>
      <c r="G11" s="15">
        <v>260800</v>
      </c>
      <c r="H11" s="360">
        <f>G11/'- 3 -'!E11</f>
        <v>0.0010261353688165802</v>
      </c>
      <c r="I11" s="15">
        <v>3056200</v>
      </c>
      <c r="J11" s="360">
        <f>I11/'- 3 -'!E11</f>
        <v>0.012024827124912702</v>
      </c>
    </row>
    <row r="12" spans="1:10" ht="12.75">
      <c r="A12" s="16">
        <v>2</v>
      </c>
      <c r="B12" s="17" t="s">
        <v>116</v>
      </c>
      <c r="C12" s="17">
        <v>357179</v>
      </c>
      <c r="D12" s="361">
        <f>C12/'- 3 -'!E12</f>
        <v>0.005686478554792983</v>
      </c>
      <c r="E12" s="17">
        <v>0</v>
      </c>
      <c r="F12" s="361">
        <f>E12/'- 3 -'!E12</f>
        <v>0</v>
      </c>
      <c r="G12" s="17">
        <v>85380</v>
      </c>
      <c r="H12" s="361">
        <f>G12/'- 3 -'!E12</f>
        <v>0.001359294748594472</v>
      </c>
      <c r="I12" s="17">
        <v>0</v>
      </c>
      <c r="J12" s="361">
        <f>I12/'- 3 -'!E12</f>
        <v>0</v>
      </c>
    </row>
    <row r="13" spans="1:10" ht="12.75">
      <c r="A13" s="14">
        <v>3</v>
      </c>
      <c r="B13" s="15" t="s">
        <v>117</v>
      </c>
      <c r="C13" s="15">
        <v>0</v>
      </c>
      <c r="D13" s="360">
        <f>C13/'- 3 -'!E13</f>
        <v>0</v>
      </c>
      <c r="E13" s="15">
        <v>0</v>
      </c>
      <c r="F13" s="360">
        <f>E13/'- 3 -'!E13</f>
        <v>0</v>
      </c>
      <c r="G13" s="15">
        <v>15113</v>
      </c>
      <c r="H13" s="360">
        <f>G13/'- 3 -'!E13</f>
        <v>0.0003409360439354284</v>
      </c>
      <c r="I13" s="15">
        <v>0</v>
      </c>
      <c r="J13" s="360">
        <f>I13/'- 3 -'!E13</f>
        <v>0</v>
      </c>
    </row>
    <row r="14" spans="1:10" ht="12.75">
      <c r="A14" s="16">
        <v>4</v>
      </c>
      <c r="B14" s="17" t="s">
        <v>118</v>
      </c>
      <c r="C14" s="17">
        <v>88500</v>
      </c>
      <c r="D14" s="361">
        <f>C14/'- 3 -'!E14</f>
        <v>0.0020322127069507256</v>
      </c>
      <c r="E14" s="17">
        <v>0</v>
      </c>
      <c r="F14" s="361">
        <f>E14/'- 3 -'!E14</f>
        <v>0</v>
      </c>
      <c r="G14" s="17">
        <v>0</v>
      </c>
      <c r="H14" s="361">
        <f>G14/'- 3 -'!E14</f>
        <v>0</v>
      </c>
      <c r="I14" s="17">
        <v>94169</v>
      </c>
      <c r="J14" s="361">
        <f>I14/'- 3 -'!E14</f>
        <v>0.0021623891344728008</v>
      </c>
    </row>
    <row r="15" spans="1:10" ht="12.75">
      <c r="A15" s="14">
        <v>5</v>
      </c>
      <c r="B15" s="15" t="s">
        <v>119</v>
      </c>
      <c r="C15" s="15">
        <v>0</v>
      </c>
      <c r="D15" s="360">
        <f>C15/'- 3 -'!E15</f>
        <v>0</v>
      </c>
      <c r="E15" s="15">
        <v>0</v>
      </c>
      <c r="F15" s="360">
        <f>E15/'- 3 -'!E15</f>
        <v>0</v>
      </c>
      <c r="G15" s="15">
        <v>0</v>
      </c>
      <c r="H15" s="360">
        <f>G15/'- 3 -'!E15</f>
        <v>0</v>
      </c>
      <c r="I15" s="15">
        <v>20650</v>
      </c>
      <c r="J15" s="360">
        <f>I15/'- 3 -'!E15</f>
        <v>0.0003809520928115152</v>
      </c>
    </row>
    <row r="16" spans="1:10" ht="12.75">
      <c r="A16" s="16">
        <v>6</v>
      </c>
      <c r="B16" s="17" t="s">
        <v>120</v>
      </c>
      <c r="C16" s="17">
        <v>168066</v>
      </c>
      <c r="D16" s="361">
        <f>C16/'- 3 -'!E16</f>
        <v>0.002697033436532448</v>
      </c>
      <c r="E16" s="17">
        <v>11140</v>
      </c>
      <c r="F16" s="361">
        <f>E16/'- 3 -'!E16</f>
        <v>0.00017876877228571795</v>
      </c>
      <c r="G16" s="17">
        <v>102746</v>
      </c>
      <c r="H16" s="361">
        <f>G16/'- 3 -'!E16</f>
        <v>0.0016488129512808238</v>
      </c>
      <c r="I16" s="17">
        <v>40000</v>
      </c>
      <c r="J16" s="361">
        <f>I16/'- 3 -'!E16</f>
        <v>0.000641898643754822</v>
      </c>
    </row>
    <row r="17" spans="1:10" ht="12.75">
      <c r="A17" s="14">
        <v>9</v>
      </c>
      <c r="B17" s="15" t="s">
        <v>121</v>
      </c>
      <c r="C17" s="15">
        <v>298595</v>
      </c>
      <c r="D17" s="360">
        <f>C17/'- 3 -'!E17</f>
        <v>0.00355954009256652</v>
      </c>
      <c r="E17" s="15">
        <v>0</v>
      </c>
      <c r="F17" s="360">
        <f>E17/'- 3 -'!E17</f>
        <v>0</v>
      </c>
      <c r="G17" s="15">
        <v>0</v>
      </c>
      <c r="H17" s="360">
        <f>G17/'- 3 -'!E17</f>
        <v>0</v>
      </c>
      <c r="I17" s="15">
        <v>0</v>
      </c>
      <c r="J17" s="360">
        <f>I17/'- 3 -'!E17</f>
        <v>0</v>
      </c>
    </row>
    <row r="18" spans="1:10" ht="12.75">
      <c r="A18" s="16">
        <v>10</v>
      </c>
      <c r="B18" s="17" t="s">
        <v>122</v>
      </c>
      <c r="C18" s="17">
        <v>79047</v>
      </c>
      <c r="D18" s="361">
        <f>C18/'- 3 -'!E18</f>
        <v>0.0012760552978281618</v>
      </c>
      <c r="E18" s="17">
        <v>0</v>
      </c>
      <c r="F18" s="361">
        <f>E18/'- 3 -'!E18</f>
        <v>0</v>
      </c>
      <c r="G18" s="17">
        <v>0</v>
      </c>
      <c r="H18" s="361">
        <f>G18/'- 3 -'!E18</f>
        <v>0</v>
      </c>
      <c r="I18" s="17">
        <v>0</v>
      </c>
      <c r="J18" s="361">
        <f>I18/'- 3 -'!E18</f>
        <v>0</v>
      </c>
    </row>
    <row r="19" spans="1:10" ht="12.75">
      <c r="A19" s="14">
        <v>11</v>
      </c>
      <c r="B19" s="15" t="s">
        <v>123</v>
      </c>
      <c r="C19" s="15">
        <v>192875</v>
      </c>
      <c r="D19" s="360">
        <f>C19/'- 3 -'!E19</f>
        <v>0.005782728896374998</v>
      </c>
      <c r="E19" s="15">
        <v>0</v>
      </c>
      <c r="F19" s="360">
        <f>E19/'- 3 -'!E19</f>
        <v>0</v>
      </c>
      <c r="G19" s="15">
        <v>116545</v>
      </c>
      <c r="H19" s="360">
        <f>G19/'- 3 -'!E19</f>
        <v>0.0034942223680001247</v>
      </c>
      <c r="I19" s="15">
        <v>0</v>
      </c>
      <c r="J19" s="360">
        <f>I19/'- 3 -'!E19</f>
        <v>0</v>
      </c>
    </row>
    <row r="20" spans="1:10" ht="12.75">
      <c r="A20" s="16">
        <v>12</v>
      </c>
      <c r="B20" s="17" t="s">
        <v>124</v>
      </c>
      <c r="C20" s="17">
        <v>155222</v>
      </c>
      <c r="D20" s="361">
        <f>C20/'- 3 -'!E20</f>
        <v>0.002965117207536657</v>
      </c>
      <c r="E20" s="17">
        <v>0</v>
      </c>
      <c r="F20" s="361">
        <f>E20/'- 3 -'!E20</f>
        <v>0</v>
      </c>
      <c r="G20" s="17">
        <v>0</v>
      </c>
      <c r="H20" s="361">
        <f>G20/'- 3 -'!E20</f>
        <v>0</v>
      </c>
      <c r="I20" s="17">
        <v>0</v>
      </c>
      <c r="J20" s="361">
        <f>I20/'- 3 -'!E20</f>
        <v>0</v>
      </c>
    </row>
    <row r="21" spans="1:10" ht="12.75">
      <c r="A21" s="14">
        <v>13</v>
      </c>
      <c r="B21" s="15" t="s">
        <v>125</v>
      </c>
      <c r="C21" s="15">
        <v>0</v>
      </c>
      <c r="D21" s="360">
        <f>C21/'- 3 -'!E21</f>
        <v>0</v>
      </c>
      <c r="E21" s="15">
        <v>0</v>
      </c>
      <c r="F21" s="360">
        <f>E21/'- 3 -'!E21</f>
        <v>0</v>
      </c>
      <c r="G21" s="15">
        <v>0</v>
      </c>
      <c r="H21" s="360">
        <f>G21/'- 3 -'!E21</f>
        <v>0</v>
      </c>
      <c r="I21" s="15">
        <v>81338</v>
      </c>
      <c r="J21" s="360">
        <f>I21/'- 3 -'!E21</f>
        <v>0.003870636658771338</v>
      </c>
    </row>
    <row r="22" spans="1:10" ht="12.75">
      <c r="A22" s="16">
        <v>14</v>
      </c>
      <c r="B22" s="17" t="s">
        <v>126</v>
      </c>
      <c r="C22" s="17">
        <v>0</v>
      </c>
      <c r="D22" s="361">
        <f>C22/'- 3 -'!E22</f>
        <v>0</v>
      </c>
      <c r="E22" s="17">
        <v>0</v>
      </c>
      <c r="F22" s="361">
        <f>E22/'- 3 -'!E22</f>
        <v>0</v>
      </c>
      <c r="G22" s="17">
        <v>0</v>
      </c>
      <c r="H22" s="361">
        <f>G22/'- 3 -'!E22</f>
        <v>0</v>
      </c>
      <c r="I22" s="17">
        <v>0</v>
      </c>
      <c r="J22" s="361">
        <f>I22/'- 3 -'!E22</f>
        <v>0</v>
      </c>
    </row>
    <row r="23" spans="1:10" ht="12.75">
      <c r="A23" s="14">
        <v>15</v>
      </c>
      <c r="B23" s="15" t="s">
        <v>127</v>
      </c>
      <c r="C23" s="15">
        <v>54950</v>
      </c>
      <c r="D23" s="360">
        <f>C23/'- 3 -'!E23</f>
        <v>0.0016166731220811806</v>
      </c>
      <c r="E23" s="15">
        <v>0</v>
      </c>
      <c r="F23" s="360">
        <f>E23/'- 3 -'!E23</f>
        <v>0</v>
      </c>
      <c r="G23" s="15">
        <v>0</v>
      </c>
      <c r="H23" s="360">
        <f>G23/'- 3 -'!E23</f>
        <v>0</v>
      </c>
      <c r="I23" s="15">
        <v>95085</v>
      </c>
      <c r="J23" s="360">
        <f>I23/'- 3 -'!E23</f>
        <v>0.002797477048463859</v>
      </c>
    </row>
    <row r="24" spans="1:10" ht="12.75">
      <c r="A24" s="16">
        <v>16</v>
      </c>
      <c r="B24" s="17" t="s">
        <v>128</v>
      </c>
      <c r="C24" s="17">
        <v>0</v>
      </c>
      <c r="D24" s="361">
        <f>C24/'- 3 -'!E24</f>
        <v>0</v>
      </c>
      <c r="E24" s="17">
        <v>0</v>
      </c>
      <c r="F24" s="361">
        <f>E24/'- 3 -'!E24</f>
        <v>0</v>
      </c>
      <c r="G24" s="17">
        <v>0</v>
      </c>
      <c r="H24" s="361">
        <f>G24/'- 3 -'!E24</f>
        <v>0</v>
      </c>
      <c r="I24" s="17">
        <v>0</v>
      </c>
      <c r="J24" s="361">
        <f>I24/'- 3 -'!E24</f>
        <v>0</v>
      </c>
    </row>
    <row r="25" spans="1:10" ht="12.75">
      <c r="A25" s="14">
        <v>17</v>
      </c>
      <c r="B25" s="15" t="s">
        <v>129</v>
      </c>
      <c r="C25" s="15">
        <v>0</v>
      </c>
      <c r="D25" s="360">
        <f>C25/'- 3 -'!E25</f>
        <v>0</v>
      </c>
      <c r="E25" s="15">
        <v>0</v>
      </c>
      <c r="F25" s="360">
        <f>E25/'- 3 -'!E25</f>
        <v>0</v>
      </c>
      <c r="G25" s="15">
        <v>0</v>
      </c>
      <c r="H25" s="360">
        <f>G25/'- 3 -'!E25</f>
        <v>0</v>
      </c>
      <c r="I25" s="15">
        <v>5800</v>
      </c>
      <c r="J25" s="360">
        <f>I25/'- 3 -'!E25</f>
        <v>0.0013026714422302275</v>
      </c>
    </row>
    <row r="26" spans="1:10" ht="12.75">
      <c r="A26" s="16">
        <v>18</v>
      </c>
      <c r="B26" s="17" t="s">
        <v>130</v>
      </c>
      <c r="C26" s="17">
        <v>0</v>
      </c>
      <c r="D26" s="361">
        <f>C26/'- 3 -'!E26</f>
        <v>0</v>
      </c>
      <c r="E26" s="17">
        <v>0</v>
      </c>
      <c r="F26" s="361">
        <f>E26/'- 3 -'!E26</f>
        <v>0</v>
      </c>
      <c r="G26" s="17">
        <v>0</v>
      </c>
      <c r="H26" s="361">
        <f>G26/'- 3 -'!E26</f>
        <v>0</v>
      </c>
      <c r="I26" s="17">
        <v>0</v>
      </c>
      <c r="J26" s="361">
        <f>I26/'- 3 -'!E26</f>
        <v>0</v>
      </c>
    </row>
    <row r="27" spans="1:10" ht="12.75">
      <c r="A27" s="14">
        <v>19</v>
      </c>
      <c r="B27" s="15" t="s">
        <v>131</v>
      </c>
      <c r="C27" s="15">
        <v>0</v>
      </c>
      <c r="D27" s="360">
        <f>C27/'- 3 -'!E27</f>
        <v>0</v>
      </c>
      <c r="E27" s="15">
        <v>0</v>
      </c>
      <c r="F27" s="360">
        <f>E27/'- 3 -'!E27</f>
        <v>0</v>
      </c>
      <c r="G27" s="15">
        <v>0</v>
      </c>
      <c r="H27" s="360">
        <f>G27/'- 3 -'!E27</f>
        <v>0</v>
      </c>
      <c r="I27" s="15">
        <v>0</v>
      </c>
      <c r="J27" s="360">
        <f>I27/'- 3 -'!E27</f>
        <v>0</v>
      </c>
    </row>
    <row r="28" spans="1:10" ht="12.75">
      <c r="A28" s="16">
        <v>20</v>
      </c>
      <c r="B28" s="17" t="s">
        <v>132</v>
      </c>
      <c r="C28" s="17">
        <v>0</v>
      </c>
      <c r="D28" s="361">
        <f>C28/'- 3 -'!E28</f>
        <v>0</v>
      </c>
      <c r="E28" s="17">
        <v>0</v>
      </c>
      <c r="F28" s="361">
        <f>E28/'- 3 -'!E28</f>
        <v>0</v>
      </c>
      <c r="G28" s="17">
        <v>0</v>
      </c>
      <c r="H28" s="361">
        <f>G28/'- 3 -'!E28</f>
        <v>0</v>
      </c>
      <c r="I28" s="17">
        <v>49834</v>
      </c>
      <c r="J28" s="361">
        <f>I28/'- 3 -'!E28</f>
        <v>0.006305667597404496</v>
      </c>
    </row>
    <row r="29" spans="1:10" ht="12.75">
      <c r="A29" s="14">
        <v>21</v>
      </c>
      <c r="B29" s="15" t="s">
        <v>133</v>
      </c>
      <c r="C29" s="15">
        <v>60000</v>
      </c>
      <c r="D29" s="360">
        <f>C29/'- 3 -'!E29</f>
        <v>0.002553626149131767</v>
      </c>
      <c r="E29" s="15">
        <v>0</v>
      </c>
      <c r="F29" s="360">
        <f>E29/'- 3 -'!E29</f>
        <v>0</v>
      </c>
      <c r="G29" s="15">
        <v>0</v>
      </c>
      <c r="H29" s="360">
        <f>G29/'- 3 -'!E29</f>
        <v>0</v>
      </c>
      <c r="I29" s="15">
        <v>0</v>
      </c>
      <c r="J29" s="360">
        <f>I29/'- 3 -'!E29</f>
        <v>0</v>
      </c>
    </row>
    <row r="30" spans="1:10" ht="12.75">
      <c r="A30" s="16">
        <v>22</v>
      </c>
      <c r="B30" s="17" t="s">
        <v>134</v>
      </c>
      <c r="C30" s="17">
        <v>232650</v>
      </c>
      <c r="D30" s="361">
        <f>C30/'- 3 -'!E30</f>
        <v>0.018681166645883047</v>
      </c>
      <c r="E30" s="17">
        <v>0</v>
      </c>
      <c r="F30" s="361">
        <f>E30/'- 3 -'!E30</f>
        <v>0</v>
      </c>
      <c r="G30" s="17">
        <v>0</v>
      </c>
      <c r="H30" s="361">
        <f>G30/'- 3 -'!E30</f>
        <v>0</v>
      </c>
      <c r="I30" s="17">
        <v>0</v>
      </c>
      <c r="J30" s="361">
        <f>I30/'- 3 -'!E30</f>
        <v>0</v>
      </c>
    </row>
    <row r="31" spans="1:10" ht="12.75">
      <c r="A31" s="14">
        <v>23</v>
      </c>
      <c r="B31" s="15" t="s">
        <v>135</v>
      </c>
      <c r="C31" s="15">
        <v>0</v>
      </c>
      <c r="D31" s="360">
        <f>C31/'- 3 -'!E31</f>
        <v>0</v>
      </c>
      <c r="E31" s="15">
        <v>0</v>
      </c>
      <c r="F31" s="360">
        <f>E31/'- 3 -'!E31</f>
        <v>0</v>
      </c>
      <c r="G31" s="15">
        <v>0</v>
      </c>
      <c r="H31" s="360">
        <f>G31/'- 3 -'!E31</f>
        <v>0</v>
      </c>
      <c r="I31" s="15">
        <v>0</v>
      </c>
      <c r="J31" s="360">
        <f>I31/'- 3 -'!E31</f>
        <v>0</v>
      </c>
    </row>
    <row r="32" spans="1:10" ht="12.75">
      <c r="A32" s="16">
        <v>24</v>
      </c>
      <c r="B32" s="17" t="s">
        <v>136</v>
      </c>
      <c r="C32" s="17">
        <v>1730</v>
      </c>
      <c r="D32" s="361">
        <f>C32/'- 3 -'!E32</f>
        <v>7.399157291585093E-05</v>
      </c>
      <c r="E32" s="17">
        <v>0</v>
      </c>
      <c r="F32" s="361">
        <f>E32/'- 3 -'!E32</f>
        <v>0</v>
      </c>
      <c r="G32" s="17">
        <v>0</v>
      </c>
      <c r="H32" s="361">
        <f>G32/'- 3 -'!E32</f>
        <v>0</v>
      </c>
      <c r="I32" s="17">
        <v>0</v>
      </c>
      <c r="J32" s="361">
        <f>I32/'- 3 -'!E32</f>
        <v>0</v>
      </c>
    </row>
    <row r="33" spans="1:10" ht="12.75">
      <c r="A33" s="14">
        <v>25</v>
      </c>
      <c r="B33" s="15" t="s">
        <v>137</v>
      </c>
      <c r="C33" s="15">
        <v>0</v>
      </c>
      <c r="D33" s="360">
        <f>C33/'- 3 -'!E33</f>
        <v>0</v>
      </c>
      <c r="E33" s="15">
        <v>0</v>
      </c>
      <c r="F33" s="360">
        <f>E33/'- 3 -'!E33</f>
        <v>0</v>
      </c>
      <c r="G33" s="15">
        <v>0</v>
      </c>
      <c r="H33" s="360">
        <f>G33/'- 3 -'!E33</f>
        <v>0</v>
      </c>
      <c r="I33" s="15">
        <v>0</v>
      </c>
      <c r="J33" s="360">
        <f>I33/'- 3 -'!E33</f>
        <v>0</v>
      </c>
    </row>
    <row r="34" spans="1:10" ht="12.75">
      <c r="A34" s="16">
        <v>26</v>
      </c>
      <c r="B34" s="17" t="s">
        <v>138</v>
      </c>
      <c r="C34" s="17">
        <v>0</v>
      </c>
      <c r="D34" s="361">
        <f>C34/'- 3 -'!E34</f>
        <v>0</v>
      </c>
      <c r="E34" s="17">
        <v>0</v>
      </c>
      <c r="F34" s="361">
        <f>E34/'- 3 -'!E34</f>
        <v>0</v>
      </c>
      <c r="G34" s="17">
        <v>0</v>
      </c>
      <c r="H34" s="361">
        <f>G34/'- 3 -'!E34</f>
        <v>0</v>
      </c>
      <c r="I34" s="17">
        <v>0</v>
      </c>
      <c r="J34" s="361">
        <f>I34/'- 3 -'!E34</f>
        <v>0</v>
      </c>
    </row>
    <row r="35" spans="1:10" ht="12.75">
      <c r="A35" s="14">
        <v>28</v>
      </c>
      <c r="B35" s="15" t="s">
        <v>139</v>
      </c>
      <c r="C35" s="15">
        <v>0</v>
      </c>
      <c r="D35" s="360">
        <f>C35/'- 3 -'!E35</f>
        <v>0</v>
      </c>
      <c r="E35" s="15">
        <v>0</v>
      </c>
      <c r="F35" s="360">
        <f>E35/'- 3 -'!E35</f>
        <v>0</v>
      </c>
      <c r="G35" s="15">
        <v>0</v>
      </c>
      <c r="H35" s="360">
        <f>G35/'- 3 -'!E35</f>
        <v>0</v>
      </c>
      <c r="I35" s="15">
        <v>0</v>
      </c>
      <c r="J35" s="360">
        <f>I35/'- 3 -'!E35</f>
        <v>0</v>
      </c>
    </row>
    <row r="36" spans="1:10" ht="12.75">
      <c r="A36" s="16">
        <v>30</v>
      </c>
      <c r="B36" s="17" t="s">
        <v>140</v>
      </c>
      <c r="C36" s="17">
        <v>0</v>
      </c>
      <c r="D36" s="361">
        <f>C36/'- 3 -'!E36</f>
        <v>0</v>
      </c>
      <c r="E36" s="17">
        <v>0</v>
      </c>
      <c r="F36" s="361">
        <f>E36/'- 3 -'!E36</f>
        <v>0</v>
      </c>
      <c r="G36" s="17">
        <v>0</v>
      </c>
      <c r="H36" s="361">
        <f>G36/'- 3 -'!E36</f>
        <v>0</v>
      </c>
      <c r="I36" s="17">
        <v>0</v>
      </c>
      <c r="J36" s="361">
        <f>I36/'- 3 -'!E36</f>
        <v>0</v>
      </c>
    </row>
    <row r="37" spans="1:10" ht="12.75">
      <c r="A37" s="14">
        <v>31</v>
      </c>
      <c r="B37" s="15" t="s">
        <v>141</v>
      </c>
      <c r="C37" s="15">
        <v>0</v>
      </c>
      <c r="D37" s="360">
        <f>C37/'- 3 -'!E37</f>
        <v>0</v>
      </c>
      <c r="E37" s="15">
        <v>0</v>
      </c>
      <c r="F37" s="360">
        <f>E37/'- 3 -'!E37</f>
        <v>0</v>
      </c>
      <c r="G37" s="15">
        <v>0</v>
      </c>
      <c r="H37" s="360">
        <f>G37/'- 3 -'!E37</f>
        <v>0</v>
      </c>
      <c r="I37" s="15">
        <v>0</v>
      </c>
      <c r="J37" s="360">
        <f>I37/'- 3 -'!E37</f>
        <v>0</v>
      </c>
    </row>
    <row r="38" spans="1:10" ht="12.75">
      <c r="A38" s="16">
        <v>32</v>
      </c>
      <c r="B38" s="17" t="s">
        <v>142</v>
      </c>
      <c r="C38" s="17">
        <v>0</v>
      </c>
      <c r="D38" s="361">
        <f>C38/'- 3 -'!E38</f>
        <v>0</v>
      </c>
      <c r="E38" s="17">
        <v>0</v>
      </c>
      <c r="F38" s="361">
        <f>E38/'- 3 -'!E38</f>
        <v>0</v>
      </c>
      <c r="G38" s="17">
        <v>0</v>
      </c>
      <c r="H38" s="361">
        <f>G38/'- 3 -'!E38</f>
        <v>0</v>
      </c>
      <c r="I38" s="17">
        <v>0</v>
      </c>
      <c r="J38" s="361">
        <f>I38/'- 3 -'!E38</f>
        <v>0</v>
      </c>
    </row>
    <row r="39" spans="1:10" ht="12.75">
      <c r="A39" s="14">
        <v>33</v>
      </c>
      <c r="B39" s="15" t="s">
        <v>143</v>
      </c>
      <c r="C39" s="15">
        <v>0</v>
      </c>
      <c r="D39" s="360">
        <f>C39/'- 3 -'!E39</f>
        <v>0</v>
      </c>
      <c r="E39" s="15">
        <v>0</v>
      </c>
      <c r="F39" s="360">
        <f>E39/'- 3 -'!E39</f>
        <v>0</v>
      </c>
      <c r="G39" s="15">
        <v>0</v>
      </c>
      <c r="H39" s="360">
        <f>G39/'- 3 -'!E39</f>
        <v>0</v>
      </c>
      <c r="I39" s="15">
        <v>0</v>
      </c>
      <c r="J39" s="360">
        <f>I39/'- 3 -'!E39</f>
        <v>0</v>
      </c>
    </row>
    <row r="40" spans="1:10" ht="12.75">
      <c r="A40" s="16">
        <v>34</v>
      </c>
      <c r="B40" s="17" t="s">
        <v>144</v>
      </c>
      <c r="C40" s="17">
        <v>0</v>
      </c>
      <c r="D40" s="361">
        <f>C40/'- 3 -'!E40</f>
        <v>0</v>
      </c>
      <c r="E40" s="17">
        <v>0</v>
      </c>
      <c r="F40" s="361">
        <f>E40/'- 3 -'!E40</f>
        <v>0</v>
      </c>
      <c r="G40" s="17">
        <v>0</v>
      </c>
      <c r="H40" s="361">
        <f>G40/'- 3 -'!E40</f>
        <v>0</v>
      </c>
      <c r="I40" s="17">
        <v>0</v>
      </c>
      <c r="J40" s="361">
        <f>I40/'- 3 -'!E40</f>
        <v>0</v>
      </c>
    </row>
    <row r="41" spans="1:10" ht="12.75">
      <c r="A41" s="14">
        <v>35</v>
      </c>
      <c r="B41" s="15" t="s">
        <v>145</v>
      </c>
      <c r="C41" s="15">
        <v>4000</v>
      </c>
      <c r="D41" s="360">
        <f>C41/'- 3 -'!E41</f>
        <v>0.0002717404596000741</v>
      </c>
      <c r="E41" s="15">
        <v>0</v>
      </c>
      <c r="F41" s="360">
        <f>E41/'- 3 -'!E41</f>
        <v>0</v>
      </c>
      <c r="G41" s="15">
        <v>0</v>
      </c>
      <c r="H41" s="360">
        <f>G41/'- 3 -'!E41</f>
        <v>0</v>
      </c>
      <c r="I41" s="15">
        <v>51500</v>
      </c>
      <c r="J41" s="360">
        <f>I41/'- 3 -'!E41</f>
        <v>0.0034986584173509546</v>
      </c>
    </row>
    <row r="42" spans="1:10" ht="12.75">
      <c r="A42" s="16">
        <v>36</v>
      </c>
      <c r="B42" s="17" t="s">
        <v>146</v>
      </c>
      <c r="C42" s="17">
        <v>0</v>
      </c>
      <c r="D42" s="361">
        <f>C42/'- 3 -'!E42</f>
        <v>0</v>
      </c>
      <c r="E42" s="17">
        <v>0</v>
      </c>
      <c r="F42" s="361">
        <f>E42/'- 3 -'!E42</f>
        <v>0</v>
      </c>
      <c r="G42" s="17">
        <v>0</v>
      </c>
      <c r="H42" s="361">
        <f>G42/'- 3 -'!E42</f>
        <v>0</v>
      </c>
      <c r="I42" s="17">
        <v>0</v>
      </c>
      <c r="J42" s="361">
        <f>I42/'- 3 -'!E42</f>
        <v>0</v>
      </c>
    </row>
    <row r="43" spans="1:10" ht="12.75">
      <c r="A43" s="14">
        <v>37</v>
      </c>
      <c r="B43" s="15" t="s">
        <v>147</v>
      </c>
      <c r="C43" s="15">
        <v>0</v>
      </c>
      <c r="D43" s="360">
        <f>C43/'- 3 -'!E43</f>
        <v>0</v>
      </c>
      <c r="E43" s="15">
        <v>0</v>
      </c>
      <c r="F43" s="360">
        <f>E43/'- 3 -'!E43</f>
        <v>0</v>
      </c>
      <c r="G43" s="15">
        <v>0</v>
      </c>
      <c r="H43" s="360">
        <f>G43/'- 3 -'!E43</f>
        <v>0</v>
      </c>
      <c r="I43" s="15">
        <v>17551</v>
      </c>
      <c r="J43" s="360">
        <f>I43/'- 3 -'!E43</f>
        <v>0.0025343782174300413</v>
      </c>
    </row>
    <row r="44" spans="1:10" ht="12.75">
      <c r="A44" s="16">
        <v>38</v>
      </c>
      <c r="B44" s="17" t="s">
        <v>148</v>
      </c>
      <c r="C44" s="17">
        <v>0</v>
      </c>
      <c r="D44" s="361">
        <f>C44/'- 3 -'!E44</f>
        <v>0</v>
      </c>
      <c r="E44" s="17">
        <v>0</v>
      </c>
      <c r="F44" s="361">
        <f>E44/'- 3 -'!E44</f>
        <v>0</v>
      </c>
      <c r="G44" s="17">
        <v>0</v>
      </c>
      <c r="H44" s="361">
        <f>G44/'- 3 -'!E44</f>
        <v>0</v>
      </c>
      <c r="I44" s="17">
        <v>0</v>
      </c>
      <c r="J44" s="361">
        <f>I44/'- 3 -'!E44</f>
        <v>0</v>
      </c>
    </row>
    <row r="45" spans="1:10" ht="12.75">
      <c r="A45" s="14">
        <v>39</v>
      </c>
      <c r="B45" s="15" t="s">
        <v>149</v>
      </c>
      <c r="C45" s="15">
        <v>0</v>
      </c>
      <c r="D45" s="360">
        <f>C45/'- 3 -'!E45</f>
        <v>0</v>
      </c>
      <c r="E45" s="15">
        <v>0</v>
      </c>
      <c r="F45" s="360">
        <f>E45/'- 3 -'!E45</f>
        <v>0</v>
      </c>
      <c r="G45" s="15">
        <v>0</v>
      </c>
      <c r="H45" s="360">
        <f>G45/'- 3 -'!E45</f>
        <v>0</v>
      </c>
      <c r="I45" s="15">
        <v>0</v>
      </c>
      <c r="J45" s="360">
        <f>I45/'- 3 -'!E45</f>
        <v>0</v>
      </c>
    </row>
    <row r="46" spans="1:10" ht="12.75">
      <c r="A46" s="16">
        <v>40</v>
      </c>
      <c r="B46" s="17" t="s">
        <v>150</v>
      </c>
      <c r="C46" s="17">
        <v>0</v>
      </c>
      <c r="D46" s="361">
        <f>C46/'- 3 -'!E46</f>
        <v>0</v>
      </c>
      <c r="E46" s="17">
        <v>0</v>
      </c>
      <c r="F46" s="361">
        <f>E46/'- 3 -'!E46</f>
        <v>0</v>
      </c>
      <c r="G46" s="17">
        <v>43600</v>
      </c>
      <c r="H46" s="361">
        <f>G46/'- 3 -'!E46</f>
        <v>0.0009330893604271666</v>
      </c>
      <c r="I46" s="17">
        <v>20000</v>
      </c>
      <c r="J46" s="361">
        <f>I46/'- 3 -'!E46</f>
        <v>0.0004280226423977828</v>
      </c>
    </row>
    <row r="47" spans="1:10" ht="12.75">
      <c r="A47" s="14">
        <v>41</v>
      </c>
      <c r="B47" s="15" t="s">
        <v>151</v>
      </c>
      <c r="C47" s="15">
        <v>0</v>
      </c>
      <c r="D47" s="360">
        <f>C47/'- 3 -'!E47</f>
        <v>0</v>
      </c>
      <c r="E47" s="15">
        <v>0</v>
      </c>
      <c r="F47" s="360">
        <f>E47/'- 3 -'!E47</f>
        <v>0</v>
      </c>
      <c r="G47" s="15">
        <v>0</v>
      </c>
      <c r="H47" s="360">
        <f>G47/'- 3 -'!E47</f>
        <v>0</v>
      </c>
      <c r="I47" s="15">
        <v>50500</v>
      </c>
      <c r="J47" s="360">
        <f>I47/'- 3 -'!E47</f>
        <v>0.004111572276637004</v>
      </c>
    </row>
    <row r="48" spans="1:10" ht="12.75">
      <c r="A48" s="16">
        <v>42</v>
      </c>
      <c r="B48" s="17" t="s">
        <v>152</v>
      </c>
      <c r="C48" s="17">
        <v>0</v>
      </c>
      <c r="D48" s="361">
        <f>C48/'- 3 -'!E48</f>
        <v>0</v>
      </c>
      <c r="E48" s="17">
        <v>0</v>
      </c>
      <c r="F48" s="361">
        <f>E48/'- 3 -'!E48</f>
        <v>0</v>
      </c>
      <c r="G48" s="17">
        <v>0</v>
      </c>
      <c r="H48" s="361">
        <f>G48/'- 3 -'!E48</f>
        <v>0</v>
      </c>
      <c r="I48" s="17">
        <v>0</v>
      </c>
      <c r="J48" s="361">
        <f>I48/'- 3 -'!E48</f>
        <v>0</v>
      </c>
    </row>
    <row r="49" spans="1:10" ht="12.75">
      <c r="A49" s="14">
        <v>43</v>
      </c>
      <c r="B49" s="15" t="s">
        <v>153</v>
      </c>
      <c r="C49" s="15">
        <v>0</v>
      </c>
      <c r="D49" s="360">
        <f>C49/'- 3 -'!E49</f>
        <v>0</v>
      </c>
      <c r="E49" s="15">
        <v>0</v>
      </c>
      <c r="F49" s="360">
        <f>E49/'- 3 -'!E49</f>
        <v>0</v>
      </c>
      <c r="G49" s="15">
        <v>0</v>
      </c>
      <c r="H49" s="360">
        <f>G49/'- 3 -'!E49</f>
        <v>0</v>
      </c>
      <c r="I49" s="15">
        <v>22500</v>
      </c>
      <c r="J49" s="360">
        <f>I49/'- 3 -'!E49</f>
        <v>0.0035139778228955175</v>
      </c>
    </row>
    <row r="50" spans="1:10" ht="12.75">
      <c r="A50" s="16">
        <v>44</v>
      </c>
      <c r="B50" s="17" t="s">
        <v>154</v>
      </c>
      <c r="C50" s="17">
        <v>0</v>
      </c>
      <c r="D50" s="361">
        <f>C50/'- 3 -'!E50</f>
        <v>0</v>
      </c>
      <c r="E50" s="17">
        <v>0</v>
      </c>
      <c r="F50" s="361">
        <f>E50/'- 3 -'!E50</f>
        <v>0</v>
      </c>
      <c r="G50" s="17">
        <v>0</v>
      </c>
      <c r="H50" s="361">
        <f>G50/'- 3 -'!E50</f>
        <v>0</v>
      </c>
      <c r="I50" s="17">
        <v>0</v>
      </c>
      <c r="J50" s="361">
        <f>I50/'- 3 -'!E50</f>
        <v>0</v>
      </c>
    </row>
    <row r="51" spans="1:10" ht="12.75">
      <c r="A51" s="14">
        <v>45</v>
      </c>
      <c r="B51" s="15" t="s">
        <v>155</v>
      </c>
      <c r="C51" s="15">
        <v>0</v>
      </c>
      <c r="D51" s="360">
        <f>C51/'- 3 -'!E51</f>
        <v>0</v>
      </c>
      <c r="E51" s="15">
        <v>0</v>
      </c>
      <c r="F51" s="360">
        <f>E51/'- 3 -'!E51</f>
        <v>0</v>
      </c>
      <c r="G51" s="15">
        <v>16250</v>
      </c>
      <c r="H51" s="360">
        <f>G51/'- 3 -'!E51</f>
        <v>0.001348188685685281</v>
      </c>
      <c r="I51" s="15">
        <v>0</v>
      </c>
      <c r="J51" s="360">
        <f>I51/'- 3 -'!E51</f>
        <v>0</v>
      </c>
    </row>
    <row r="52" spans="1:10" ht="12.75">
      <c r="A52" s="16">
        <v>46</v>
      </c>
      <c r="B52" s="17" t="s">
        <v>156</v>
      </c>
      <c r="C52" s="17">
        <v>0</v>
      </c>
      <c r="D52" s="361">
        <f>C52/'- 3 -'!E52</f>
        <v>0</v>
      </c>
      <c r="E52" s="17">
        <v>0</v>
      </c>
      <c r="F52" s="361">
        <f>E52/'- 3 -'!E52</f>
        <v>0</v>
      </c>
      <c r="G52" s="17">
        <v>0</v>
      </c>
      <c r="H52" s="361">
        <f>G52/'- 3 -'!E52</f>
        <v>0</v>
      </c>
      <c r="I52" s="17">
        <v>0</v>
      </c>
      <c r="J52" s="361">
        <f>I52/'- 3 -'!E52</f>
        <v>0</v>
      </c>
    </row>
    <row r="53" spans="1:10" ht="12.75">
      <c r="A53" s="14">
        <v>47</v>
      </c>
      <c r="B53" s="15" t="s">
        <v>157</v>
      </c>
      <c r="C53" s="15">
        <v>0</v>
      </c>
      <c r="D53" s="360">
        <f>C53/'- 3 -'!E53</f>
        <v>0</v>
      </c>
      <c r="E53" s="15">
        <v>0</v>
      </c>
      <c r="F53" s="360">
        <f>E53/'- 3 -'!E53</f>
        <v>0</v>
      </c>
      <c r="G53" s="15">
        <v>0</v>
      </c>
      <c r="H53" s="360">
        <f>G53/'- 3 -'!E53</f>
        <v>0</v>
      </c>
      <c r="I53" s="15">
        <v>0</v>
      </c>
      <c r="J53" s="360">
        <f>I53/'- 3 -'!E53</f>
        <v>0</v>
      </c>
    </row>
    <row r="54" spans="1:10" ht="12.75">
      <c r="A54" s="16">
        <v>48</v>
      </c>
      <c r="B54" s="17" t="s">
        <v>158</v>
      </c>
      <c r="C54" s="17">
        <v>0</v>
      </c>
      <c r="D54" s="361">
        <f>C54/'- 3 -'!E54</f>
        <v>0</v>
      </c>
      <c r="E54" s="17">
        <v>0</v>
      </c>
      <c r="F54" s="361">
        <f>E54/'- 3 -'!E54</f>
        <v>0</v>
      </c>
      <c r="G54" s="17">
        <v>0</v>
      </c>
      <c r="H54" s="361">
        <f>G54/'- 3 -'!E54</f>
        <v>0</v>
      </c>
      <c r="I54" s="17">
        <v>612289</v>
      </c>
      <c r="J54" s="361">
        <f>I54/'- 3 -'!E54</f>
        <v>0.009864344858149687</v>
      </c>
    </row>
    <row r="55" spans="1:10" ht="12.75">
      <c r="A55" s="14">
        <v>49</v>
      </c>
      <c r="B55" s="15" t="s">
        <v>159</v>
      </c>
      <c r="C55" s="15">
        <v>0</v>
      </c>
      <c r="D55" s="360">
        <f>C55/'- 3 -'!E55</f>
        <v>0</v>
      </c>
      <c r="E55" s="15">
        <v>0</v>
      </c>
      <c r="F55" s="360">
        <f>E55/'- 3 -'!E55</f>
        <v>0</v>
      </c>
      <c r="G55" s="15">
        <v>0</v>
      </c>
      <c r="H55" s="360">
        <f>G55/'- 3 -'!E55</f>
        <v>0</v>
      </c>
      <c r="I55" s="15">
        <v>137070</v>
      </c>
      <c r="J55" s="360">
        <f>I55/'- 3 -'!E55</f>
        <v>0.0034137591103933535</v>
      </c>
    </row>
    <row r="56" spans="1:10" ht="12.75">
      <c r="A56" s="16">
        <v>50</v>
      </c>
      <c r="B56" s="17" t="s">
        <v>340</v>
      </c>
      <c r="C56" s="17">
        <v>0</v>
      </c>
      <c r="D56" s="361">
        <f>C56/'- 3 -'!E56</f>
        <v>0</v>
      </c>
      <c r="E56" s="17">
        <v>0</v>
      </c>
      <c r="F56" s="361">
        <f>E56/'- 3 -'!E56</f>
        <v>0</v>
      </c>
      <c r="G56" s="17">
        <v>0</v>
      </c>
      <c r="H56" s="361">
        <f>G56/'- 3 -'!E56</f>
        <v>0</v>
      </c>
      <c r="I56" s="17">
        <v>0</v>
      </c>
      <c r="J56" s="361">
        <f>I56/'- 3 -'!E56</f>
        <v>0</v>
      </c>
    </row>
    <row r="57" spans="1:10" ht="12.75">
      <c r="A57" s="14">
        <v>2264</v>
      </c>
      <c r="B57" s="15" t="s">
        <v>160</v>
      </c>
      <c r="C57" s="15">
        <v>0</v>
      </c>
      <c r="D57" s="360">
        <f>C57/'- 3 -'!E57</f>
        <v>0</v>
      </c>
      <c r="E57" s="15">
        <v>0</v>
      </c>
      <c r="F57" s="360">
        <f>E57/'- 3 -'!E57</f>
        <v>0</v>
      </c>
      <c r="G57" s="15">
        <v>0</v>
      </c>
      <c r="H57" s="360">
        <f>G57/'- 3 -'!E57</f>
        <v>0</v>
      </c>
      <c r="I57" s="15">
        <v>23530</v>
      </c>
      <c r="J57" s="360">
        <f>I57/'- 3 -'!E57</f>
        <v>0.011635991759363933</v>
      </c>
    </row>
    <row r="58" spans="1:10" ht="12.75">
      <c r="A58" s="16">
        <v>2309</v>
      </c>
      <c r="B58" s="17" t="s">
        <v>161</v>
      </c>
      <c r="C58" s="17">
        <v>0</v>
      </c>
      <c r="D58" s="361">
        <f>C58/'- 3 -'!E58</f>
        <v>0</v>
      </c>
      <c r="E58" s="17">
        <v>0</v>
      </c>
      <c r="F58" s="361">
        <f>E58/'- 3 -'!E58</f>
        <v>0</v>
      </c>
      <c r="G58" s="17">
        <v>0</v>
      </c>
      <c r="H58" s="361">
        <f>G58/'- 3 -'!E58</f>
        <v>0</v>
      </c>
      <c r="I58" s="17">
        <v>0</v>
      </c>
      <c r="J58" s="361">
        <f>I58/'- 3 -'!E58</f>
        <v>0</v>
      </c>
    </row>
    <row r="59" spans="1:10" ht="12.75">
      <c r="A59" s="14">
        <v>2312</v>
      </c>
      <c r="B59" s="15" t="s">
        <v>162</v>
      </c>
      <c r="C59" s="15">
        <v>0</v>
      </c>
      <c r="D59" s="360">
        <f>C59/'- 3 -'!E59</f>
        <v>0</v>
      </c>
      <c r="E59" s="15">
        <v>0</v>
      </c>
      <c r="F59" s="360">
        <f>E59/'- 3 -'!E59</f>
        <v>0</v>
      </c>
      <c r="G59" s="15">
        <v>0</v>
      </c>
      <c r="H59" s="360">
        <f>G59/'- 3 -'!E59</f>
        <v>0</v>
      </c>
      <c r="I59" s="15">
        <v>0</v>
      </c>
      <c r="J59" s="360">
        <f>I59/'- 3 -'!E59</f>
        <v>0</v>
      </c>
    </row>
    <row r="60" spans="1:10" ht="12.75">
      <c r="A60" s="16">
        <v>2355</v>
      </c>
      <c r="B60" s="17" t="s">
        <v>163</v>
      </c>
      <c r="C60" s="17">
        <v>0</v>
      </c>
      <c r="D60" s="361">
        <f>C60/'- 3 -'!E60</f>
        <v>0</v>
      </c>
      <c r="E60" s="17">
        <v>0</v>
      </c>
      <c r="F60" s="361">
        <f>E60/'- 3 -'!E60</f>
        <v>0</v>
      </c>
      <c r="G60" s="17">
        <v>2081</v>
      </c>
      <c r="H60" s="361">
        <f>G60/'- 3 -'!E60</f>
        <v>8.111437508877366E-05</v>
      </c>
      <c r="I60" s="17">
        <v>0</v>
      </c>
      <c r="J60" s="361">
        <f>I60/'- 3 -'!E60</f>
        <v>0</v>
      </c>
    </row>
    <row r="61" spans="1:10" ht="12.75">
      <c r="A61" s="14">
        <v>2439</v>
      </c>
      <c r="B61" s="15" t="s">
        <v>164</v>
      </c>
      <c r="C61" s="15">
        <v>0</v>
      </c>
      <c r="D61" s="360">
        <f>C61/'- 3 -'!E61</f>
        <v>0</v>
      </c>
      <c r="E61" s="15">
        <v>0</v>
      </c>
      <c r="F61" s="360">
        <f>E61/'- 3 -'!E61</f>
        <v>0</v>
      </c>
      <c r="G61" s="15">
        <v>0</v>
      </c>
      <c r="H61" s="360">
        <f>G61/'- 3 -'!E61</f>
        <v>0</v>
      </c>
      <c r="I61" s="15">
        <v>0</v>
      </c>
      <c r="J61" s="360">
        <f>I61/'- 3 -'!E61</f>
        <v>0</v>
      </c>
    </row>
    <row r="62" spans="1:10" ht="12.75">
      <c r="A62" s="16">
        <v>2460</v>
      </c>
      <c r="B62" s="17" t="s">
        <v>165</v>
      </c>
      <c r="C62" s="17">
        <v>0</v>
      </c>
      <c r="D62" s="361">
        <f>C62/'- 3 -'!E62</f>
        <v>0</v>
      </c>
      <c r="E62" s="17">
        <v>0</v>
      </c>
      <c r="F62" s="361">
        <f>E62/'- 3 -'!E62</f>
        <v>0</v>
      </c>
      <c r="G62" s="17">
        <v>0</v>
      </c>
      <c r="H62" s="361">
        <f>G62/'- 3 -'!E62</f>
        <v>0</v>
      </c>
      <c r="I62" s="17">
        <v>0</v>
      </c>
      <c r="J62" s="361">
        <f>I62/'- 3 -'!E62</f>
        <v>0</v>
      </c>
    </row>
    <row r="63" spans="1:10" ht="12.75">
      <c r="A63" s="14">
        <v>3000</v>
      </c>
      <c r="B63" s="15" t="s">
        <v>363</v>
      </c>
      <c r="C63" s="15">
        <v>304017</v>
      </c>
      <c r="D63" s="360">
        <f>C63/'- 3 -'!E63</f>
        <v>0.04203733619318726</v>
      </c>
      <c r="E63" s="15">
        <v>0</v>
      </c>
      <c r="F63" s="360">
        <f>E63/'- 3 -'!E63</f>
        <v>0</v>
      </c>
      <c r="G63" s="15">
        <v>370188</v>
      </c>
      <c r="H63" s="360">
        <f>G63/'- 3 -'!E63</f>
        <v>0.05118699747278477</v>
      </c>
      <c r="I63" s="15">
        <v>0</v>
      </c>
      <c r="J63" s="360">
        <f>I63/'- 3 -'!E63</f>
        <v>0</v>
      </c>
    </row>
    <row r="64" spans="1:10" ht="4.5" customHeight="1">
      <c r="A64" s="18"/>
      <c r="B64" s="18"/>
      <c r="C64" s="18"/>
      <c r="D64" s="198"/>
      <c r="E64" s="18"/>
      <c r="F64" s="198"/>
      <c r="G64" s="18"/>
      <c r="H64" s="198"/>
      <c r="I64" s="18"/>
      <c r="J64" s="198"/>
    </row>
    <row r="65" spans="1:10" ht="12.75">
      <c r="A65" s="20"/>
      <c r="B65" s="21" t="s">
        <v>166</v>
      </c>
      <c r="C65" s="21">
        <f>SUM(C11:C63)</f>
        <v>1996831</v>
      </c>
      <c r="D65" s="103">
        <f>C65/'- 3 -'!E65</f>
        <v>0.001477671955199063</v>
      </c>
      <c r="E65" s="21">
        <f>SUM(E11:E63)</f>
        <v>1592040</v>
      </c>
      <c r="F65" s="103">
        <f>E65/'- 3 -'!E65</f>
        <v>0.0011781231659339804</v>
      </c>
      <c r="G65" s="21">
        <f>SUM(G11:G63)</f>
        <v>1012703</v>
      </c>
      <c r="H65" s="103">
        <f>G65/'- 3 -'!E65</f>
        <v>0.0007494088493447651</v>
      </c>
      <c r="I65" s="21">
        <f>SUM(I11:I63)</f>
        <v>4378016</v>
      </c>
      <c r="J65" s="103">
        <f>I65/'- 3 -'!E65</f>
        <v>0.003239769145517463</v>
      </c>
    </row>
    <row r="66" spans="1:10" ht="4.5" customHeight="1">
      <c r="A66" s="18"/>
      <c r="B66" s="18"/>
      <c r="C66" s="18"/>
      <c r="D66" s="198"/>
      <c r="E66" s="18"/>
      <c r="F66" s="198"/>
      <c r="G66" s="18"/>
      <c r="H66" s="198"/>
      <c r="I66" s="18"/>
      <c r="J66" s="198"/>
    </row>
    <row r="67" spans="1:10" ht="12.75">
      <c r="A67" s="16">
        <v>2155</v>
      </c>
      <c r="B67" s="17" t="s">
        <v>167</v>
      </c>
      <c r="C67" s="17">
        <v>0</v>
      </c>
      <c r="D67" s="361">
        <f>C67/'- 3 -'!E67</f>
        <v>0</v>
      </c>
      <c r="E67" s="17">
        <v>0</v>
      </c>
      <c r="F67" s="361">
        <f>E67/'- 3 -'!E67</f>
        <v>0</v>
      </c>
      <c r="G67" s="17">
        <v>0</v>
      </c>
      <c r="H67" s="361">
        <f>G67/'- 3 -'!E67</f>
        <v>0</v>
      </c>
      <c r="I67" s="17">
        <v>0</v>
      </c>
      <c r="J67" s="361">
        <f>I67/'- 3 -'!E67</f>
        <v>0</v>
      </c>
    </row>
    <row r="68" spans="1:10" ht="12.75">
      <c r="A68" s="14">
        <v>2408</v>
      </c>
      <c r="B68" s="15" t="s">
        <v>169</v>
      </c>
      <c r="C68" s="15">
        <v>3500</v>
      </c>
      <c r="D68" s="360">
        <f>C68/'- 3 -'!E68</f>
        <v>0.0015233518964643002</v>
      </c>
      <c r="E68" s="15">
        <v>0</v>
      </c>
      <c r="F68" s="360">
        <f>E68/'- 3 -'!E68</f>
        <v>0</v>
      </c>
      <c r="G68" s="15">
        <v>0</v>
      </c>
      <c r="H68" s="360">
        <f>G68/'- 3 -'!E68</f>
        <v>0</v>
      </c>
      <c r="I68" s="15">
        <v>0</v>
      </c>
      <c r="J68" s="360">
        <f>I68/'- 3 -'!E68</f>
        <v>0</v>
      </c>
    </row>
    <row r="69" ht="6.75" customHeight="1"/>
    <row r="70" spans="1:2" ht="12" customHeight="1">
      <c r="A70" s="7"/>
      <c r="B70" s="7"/>
    </row>
    <row r="71" spans="1:2" ht="12" customHeight="1">
      <c r="A71" s="7"/>
      <c r="B71" s="7"/>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8"/>
      <c r="B1" s="80"/>
      <c r="C1" s="142"/>
      <c r="D1" s="142"/>
      <c r="E1" s="142"/>
      <c r="F1" s="142"/>
      <c r="G1" s="142"/>
      <c r="H1" s="142"/>
      <c r="I1" s="142"/>
      <c r="J1" s="142"/>
      <c r="K1" s="142"/>
    </row>
    <row r="2" spans="1:11" ht="12.75">
      <c r="A2" s="9"/>
      <c r="B2" s="83"/>
      <c r="C2" s="200" t="s">
        <v>0</v>
      </c>
      <c r="D2" s="200"/>
      <c r="E2" s="200"/>
      <c r="F2" s="200"/>
      <c r="G2" s="200"/>
      <c r="H2" s="215"/>
      <c r="I2" s="215"/>
      <c r="J2" s="231"/>
      <c r="K2" s="219" t="s">
        <v>428</v>
      </c>
    </row>
    <row r="3" spans="1:11" ht="12.75">
      <c r="A3" s="10"/>
      <c r="B3" s="86"/>
      <c r="C3" s="203" t="str">
        <f>YEAR</f>
        <v>OPERATING FUND BUDGET 2002/2003</v>
      </c>
      <c r="D3" s="203"/>
      <c r="E3" s="203"/>
      <c r="F3" s="203"/>
      <c r="G3" s="203"/>
      <c r="H3" s="216"/>
      <c r="I3" s="216"/>
      <c r="J3" s="216"/>
      <c r="K3" s="220"/>
    </row>
    <row r="4" spans="1:11" ht="12.75">
      <c r="A4" s="11"/>
      <c r="C4" s="142"/>
      <c r="D4" s="142"/>
      <c r="E4" s="142"/>
      <c r="F4" s="142"/>
      <c r="G4" s="142"/>
      <c r="H4" s="142"/>
      <c r="I4" s="142"/>
      <c r="J4" s="142"/>
      <c r="K4" s="142"/>
    </row>
    <row r="5" spans="1:11" ht="16.5">
      <c r="A5" s="11"/>
      <c r="C5" s="341" t="s">
        <v>337</v>
      </c>
      <c r="D5" s="221"/>
      <c r="E5" s="234"/>
      <c r="F5" s="234"/>
      <c r="G5" s="234"/>
      <c r="H5" s="234"/>
      <c r="I5" s="234"/>
      <c r="J5" s="234"/>
      <c r="K5" s="235"/>
    </row>
    <row r="6" spans="1:11" ht="12.75">
      <c r="A6" s="11"/>
      <c r="C6" s="205"/>
      <c r="D6" s="66"/>
      <c r="E6" s="67"/>
      <c r="F6" s="68" t="s">
        <v>20</v>
      </c>
      <c r="G6" s="66"/>
      <c r="H6" s="67"/>
      <c r="I6" s="68" t="s">
        <v>18</v>
      </c>
      <c r="J6" s="66"/>
      <c r="K6" s="67"/>
    </row>
    <row r="7" spans="3:11" ht="12.75">
      <c r="C7" s="69" t="s">
        <v>48</v>
      </c>
      <c r="D7" s="70"/>
      <c r="E7" s="71"/>
      <c r="F7" s="69" t="s">
        <v>49</v>
      </c>
      <c r="G7" s="70"/>
      <c r="H7" s="71"/>
      <c r="I7" s="69" t="s">
        <v>50</v>
      </c>
      <c r="J7" s="70"/>
      <c r="K7" s="71"/>
    </row>
    <row r="8" spans="1:11" ht="12.75">
      <c r="A8" s="94"/>
      <c r="B8" s="46"/>
      <c r="C8" s="237"/>
      <c r="D8" s="228"/>
      <c r="E8" s="229" t="s">
        <v>75</v>
      </c>
      <c r="F8" s="73"/>
      <c r="G8" s="74"/>
      <c r="H8" s="229" t="s">
        <v>75</v>
      </c>
      <c r="I8" s="73"/>
      <c r="J8" s="74"/>
      <c r="K8" s="229" t="s">
        <v>75</v>
      </c>
    </row>
    <row r="9" spans="1:11" ht="12.75">
      <c r="A9" s="52" t="s">
        <v>100</v>
      </c>
      <c r="B9" s="53" t="s">
        <v>101</v>
      </c>
      <c r="C9" s="75" t="s">
        <v>102</v>
      </c>
      <c r="D9" s="76" t="s">
        <v>103</v>
      </c>
      <c r="E9" s="76" t="s">
        <v>104</v>
      </c>
      <c r="F9" s="76" t="s">
        <v>102</v>
      </c>
      <c r="G9" s="76" t="s">
        <v>103</v>
      </c>
      <c r="H9" s="76" t="s">
        <v>104</v>
      </c>
      <c r="I9" s="76" t="s">
        <v>102</v>
      </c>
      <c r="J9" s="76" t="s">
        <v>103</v>
      </c>
      <c r="K9" s="76" t="s">
        <v>104</v>
      </c>
    </row>
    <row r="10" spans="1:2" ht="4.5" customHeight="1">
      <c r="A10" s="77"/>
      <c r="B10" s="77"/>
    </row>
    <row r="11" spans="1:11" ht="12.75">
      <c r="A11" s="14">
        <v>1</v>
      </c>
      <c r="B11" s="15" t="s">
        <v>115</v>
      </c>
      <c r="C11" s="15">
        <v>764700</v>
      </c>
      <c r="D11" s="360">
        <f>C11/'- 3 -'!E11</f>
        <v>0.003008764250513953</v>
      </c>
      <c r="E11" s="15">
        <f>C11/'- 7 -'!G11</f>
        <v>24.733165146516594</v>
      </c>
      <c r="F11" s="15">
        <v>1168600</v>
      </c>
      <c r="G11" s="360">
        <f>F11/'- 3 -'!E11</f>
        <v>0.004597936319014784</v>
      </c>
      <c r="H11" s="15">
        <f>F11/'- 7 -'!G11</f>
        <v>37.79675270069215</v>
      </c>
      <c r="I11" s="15">
        <v>4394000</v>
      </c>
      <c r="J11" s="360">
        <f>I11/'- 3 -'!E11</f>
        <v>0.017288492371856035</v>
      </c>
      <c r="K11" s="15">
        <f>I11/'- 7 -'!G11</f>
        <v>142.11786014619315</v>
      </c>
    </row>
    <row r="12" spans="1:11" ht="12.75">
      <c r="A12" s="16">
        <v>2</v>
      </c>
      <c r="B12" s="17" t="s">
        <v>116</v>
      </c>
      <c r="C12" s="17">
        <v>316635</v>
      </c>
      <c r="D12" s="361">
        <f>C12/'- 3 -'!E12</f>
        <v>0.005040996635291762</v>
      </c>
      <c r="E12" s="17">
        <f>C12/'- 7 -'!G12</f>
        <v>34.620809551925475</v>
      </c>
      <c r="F12" s="17">
        <v>563259</v>
      </c>
      <c r="G12" s="361">
        <f>F12/'- 3 -'!E12</f>
        <v>0.008967381129053334</v>
      </c>
      <c r="H12" s="17">
        <f>F12/'- 7 -'!G12</f>
        <v>61.586629928491774</v>
      </c>
      <c r="I12" s="17">
        <v>1095983</v>
      </c>
      <c r="J12" s="361">
        <f>I12/'- 3 -'!E12</f>
        <v>0.017448628911323674</v>
      </c>
      <c r="K12" s="17">
        <f>I12/'- 7 -'!G12</f>
        <v>119.83456887314397</v>
      </c>
    </row>
    <row r="13" spans="1:11" ht="12.75">
      <c r="A13" s="14">
        <v>3</v>
      </c>
      <c r="B13" s="15" t="s">
        <v>117</v>
      </c>
      <c r="C13" s="15">
        <v>190870</v>
      </c>
      <c r="D13" s="360">
        <f>C13/'- 3 -'!E13</f>
        <v>0.00430586003480151</v>
      </c>
      <c r="E13" s="15">
        <f>C13/'- 7 -'!G13</f>
        <v>33.220781481159165</v>
      </c>
      <c r="F13" s="15">
        <v>442210</v>
      </c>
      <c r="G13" s="360">
        <f>F13/'- 3 -'!E13</f>
        <v>0.009975870309580215</v>
      </c>
      <c r="H13" s="15">
        <f>F13/'- 7 -'!G13</f>
        <v>76.96632146897572</v>
      </c>
      <c r="I13" s="15">
        <v>736240</v>
      </c>
      <c r="J13" s="360">
        <f>I13/'- 3 -'!E13</f>
        <v>0.016608929596176786</v>
      </c>
      <c r="K13" s="15">
        <f>I13/'- 7 -'!G13</f>
        <v>128.14202419284658</v>
      </c>
    </row>
    <row r="14" spans="1:11" ht="12.75">
      <c r="A14" s="16">
        <v>4</v>
      </c>
      <c r="B14" s="17" t="s">
        <v>118</v>
      </c>
      <c r="C14" s="17">
        <v>202673</v>
      </c>
      <c r="D14" s="361">
        <f>C14/'- 3 -'!E14</f>
        <v>0.004653950801760728</v>
      </c>
      <c r="E14" s="17">
        <f>C14/'- 7 -'!G14</f>
        <v>32.53700433456414</v>
      </c>
      <c r="F14" s="17">
        <v>383639</v>
      </c>
      <c r="G14" s="361">
        <f>F14/'- 3 -'!E14</f>
        <v>0.008809446900360106</v>
      </c>
      <c r="H14" s="17">
        <f>F14/'- 7 -'!G14</f>
        <v>61.589179643602506</v>
      </c>
      <c r="I14" s="17">
        <v>707887</v>
      </c>
      <c r="J14" s="361">
        <f>I14/'- 3 -'!E14</f>
        <v>0.016255106852940432</v>
      </c>
      <c r="K14" s="17">
        <f>I14/'- 7 -'!G14</f>
        <v>113.64376304382726</v>
      </c>
    </row>
    <row r="15" spans="1:11" ht="12.75">
      <c r="A15" s="14">
        <v>5</v>
      </c>
      <c r="B15" s="15" t="s">
        <v>119</v>
      </c>
      <c r="C15" s="15">
        <v>243597</v>
      </c>
      <c r="D15" s="360">
        <f>C15/'- 3 -'!E15</f>
        <v>0.004493887988019693</v>
      </c>
      <c r="E15" s="15">
        <f>C15/'- 7 -'!G15</f>
        <v>33.699522722556544</v>
      </c>
      <c r="F15" s="15">
        <v>906413</v>
      </c>
      <c r="G15" s="360">
        <f>F15/'- 3 -'!E15</f>
        <v>0.016721546213150796</v>
      </c>
      <c r="H15" s="15">
        <f>F15/'- 7 -'!G15</f>
        <v>125.39434184132254</v>
      </c>
      <c r="I15" s="15">
        <v>962178</v>
      </c>
      <c r="J15" s="360">
        <f>I15/'- 3 -'!E15</f>
        <v>0.01775030134417424</v>
      </c>
      <c r="K15" s="15">
        <f>I15/'- 7 -'!G15</f>
        <v>133.10894376426646</v>
      </c>
    </row>
    <row r="16" spans="1:11" ht="12.75">
      <c r="A16" s="16">
        <v>6</v>
      </c>
      <c r="B16" s="17" t="s">
        <v>120</v>
      </c>
      <c r="C16" s="17">
        <v>223032</v>
      </c>
      <c r="D16" s="361">
        <f>C16/'- 3 -'!E16</f>
        <v>0.0035790984578481367</v>
      </c>
      <c r="E16" s="17">
        <f>C16/'- 7 -'!G16</f>
        <v>25.095021097046413</v>
      </c>
      <c r="F16" s="17">
        <v>337872</v>
      </c>
      <c r="G16" s="361">
        <f>F16/'- 3 -'!E16</f>
        <v>0.005421989464068231</v>
      </c>
      <c r="H16" s="17">
        <f>F16/'- 7 -'!G16</f>
        <v>38.01654008438818</v>
      </c>
      <c r="I16" s="17">
        <v>1291492</v>
      </c>
      <c r="J16" s="361">
        <f>I16/'- 3 -'!E16</f>
        <v>0.020725174080505067</v>
      </c>
      <c r="K16" s="17">
        <f>I16/'- 7 -'!G16</f>
        <v>145.31555555555556</v>
      </c>
    </row>
    <row r="17" spans="1:11" ht="12.75">
      <c r="A17" s="14">
        <v>9</v>
      </c>
      <c r="B17" s="15" t="s">
        <v>121</v>
      </c>
      <c r="C17" s="15">
        <v>289875</v>
      </c>
      <c r="D17" s="360">
        <f>C17/'- 3 -'!E17</f>
        <v>0.0034555892909550394</v>
      </c>
      <c r="E17" s="15">
        <f>C17/'- 7 -'!G17</f>
        <v>23.367593712212816</v>
      </c>
      <c r="F17" s="15">
        <v>946243</v>
      </c>
      <c r="G17" s="360">
        <f>F17/'- 3 -'!E17</f>
        <v>0.011280128253354615</v>
      </c>
      <c r="H17" s="15">
        <f>F17/'- 7 -'!G17</f>
        <v>76.27916162837566</v>
      </c>
      <c r="I17" s="15">
        <v>983857</v>
      </c>
      <c r="J17" s="360">
        <f>I17/'- 3 -'!E17</f>
        <v>0.011728523373975513</v>
      </c>
      <c r="K17" s="15">
        <f>I17/'- 7 -'!G17</f>
        <v>79.31132607819427</v>
      </c>
    </row>
    <row r="18" spans="1:11" ht="12.75">
      <c r="A18" s="16">
        <v>10</v>
      </c>
      <c r="B18" s="17" t="s">
        <v>122</v>
      </c>
      <c r="C18" s="17">
        <v>253131</v>
      </c>
      <c r="D18" s="361">
        <f>C18/'- 3 -'!E18</f>
        <v>0.00408629237788329</v>
      </c>
      <c r="E18" s="17">
        <f>C18/'- 7 -'!G18</f>
        <v>29.350223201345006</v>
      </c>
      <c r="F18" s="17">
        <v>645496</v>
      </c>
      <c r="G18" s="361">
        <f>F18/'- 3 -'!E18</f>
        <v>0.010420238472388417</v>
      </c>
      <c r="H18" s="17">
        <f>F18/'- 7 -'!G18</f>
        <v>74.84445475100006</v>
      </c>
      <c r="I18" s="17">
        <v>995520</v>
      </c>
      <c r="J18" s="361">
        <f>I18/'- 3 -'!E18</f>
        <v>0.016070674030562726</v>
      </c>
      <c r="K18" s="17">
        <f>I18/'- 7 -'!G18</f>
        <v>115.42930024928981</v>
      </c>
    </row>
    <row r="19" spans="1:11" ht="12.75">
      <c r="A19" s="14">
        <v>11</v>
      </c>
      <c r="B19" s="15" t="s">
        <v>123</v>
      </c>
      <c r="C19" s="15">
        <v>184400</v>
      </c>
      <c r="D19" s="360">
        <f>C19/'- 3 -'!E19</f>
        <v>0.005528633614991832</v>
      </c>
      <c r="E19" s="15">
        <f>C19/'- 7 -'!G19</f>
        <v>39.25910155418352</v>
      </c>
      <c r="F19" s="15">
        <v>209190</v>
      </c>
      <c r="G19" s="360">
        <f>F19/'- 3 -'!E19</f>
        <v>0.006271881051627664</v>
      </c>
      <c r="H19" s="15">
        <f>F19/'- 7 -'!G19</f>
        <v>44.5369384713647</v>
      </c>
      <c r="I19" s="15">
        <v>480355</v>
      </c>
      <c r="J19" s="360">
        <f>I19/'- 3 -'!E19</f>
        <v>0.01440188069484491</v>
      </c>
      <c r="K19" s="15">
        <f>I19/'- 7 -'!G19</f>
        <v>102.26846923568235</v>
      </c>
    </row>
    <row r="20" spans="1:11" ht="12.75">
      <c r="A20" s="16">
        <v>12</v>
      </c>
      <c r="B20" s="17" t="s">
        <v>124</v>
      </c>
      <c r="C20" s="17">
        <v>173531</v>
      </c>
      <c r="D20" s="361">
        <f>C20/'- 3 -'!E20</f>
        <v>0.0033148635769481363</v>
      </c>
      <c r="E20" s="17">
        <f>C20/'- 7 -'!G20</f>
        <v>22.73133350799057</v>
      </c>
      <c r="F20" s="17">
        <v>466743</v>
      </c>
      <c r="G20" s="361">
        <f>F20/'- 3 -'!E20</f>
        <v>0.008915924938457704</v>
      </c>
      <c r="H20" s="17">
        <f>F20/'- 7 -'!G20</f>
        <v>61.14003143830233</v>
      </c>
      <c r="I20" s="17">
        <v>871314</v>
      </c>
      <c r="J20" s="361">
        <f>I20/'- 3 -'!E20</f>
        <v>0.01664421367182226</v>
      </c>
      <c r="K20" s="17">
        <f>I20/'- 7 -'!G20</f>
        <v>114.1359706575845</v>
      </c>
    </row>
    <row r="21" spans="1:11" ht="12.75">
      <c r="A21" s="14">
        <v>13</v>
      </c>
      <c r="B21" s="15" t="s">
        <v>125</v>
      </c>
      <c r="C21" s="15">
        <v>111451</v>
      </c>
      <c r="D21" s="360">
        <f>C21/'- 3 -'!E21</f>
        <v>0.00530362593445529</v>
      </c>
      <c r="E21" s="15">
        <f>C21/'- 7 -'!G21</f>
        <v>42.53854961832061</v>
      </c>
      <c r="F21" s="15">
        <v>173733</v>
      </c>
      <c r="G21" s="360">
        <f>F21/'- 3 -'!E21</f>
        <v>0.008267443490598747</v>
      </c>
      <c r="H21" s="15">
        <f>F21/'- 7 -'!G21</f>
        <v>66.31030534351144</v>
      </c>
      <c r="I21" s="15">
        <v>388097</v>
      </c>
      <c r="J21" s="360">
        <f>I21/'- 3 -'!E21</f>
        <v>0.01846839700212914</v>
      </c>
      <c r="K21" s="15">
        <f>I21/'- 7 -'!G21</f>
        <v>148.12862595419847</v>
      </c>
    </row>
    <row r="22" spans="1:11" ht="12.75">
      <c r="A22" s="16">
        <v>14</v>
      </c>
      <c r="B22" s="17" t="s">
        <v>126</v>
      </c>
      <c r="C22" s="17">
        <v>196150</v>
      </c>
      <c r="D22" s="361">
        <f>C22/'- 3 -'!E22</f>
        <v>0.00823971085273047</v>
      </c>
      <c r="E22" s="17">
        <f>C22/'- 7 -'!G22</f>
        <v>57.28679906542056</v>
      </c>
      <c r="F22" s="17">
        <v>236502</v>
      </c>
      <c r="G22" s="361">
        <f>F22/'- 3 -'!E22</f>
        <v>0.009934785093512422</v>
      </c>
      <c r="H22" s="17">
        <f>F22/'- 7 -'!G22</f>
        <v>69.07184579439253</v>
      </c>
      <c r="I22" s="17">
        <v>493481</v>
      </c>
      <c r="J22" s="361">
        <f>I22/'- 3 -'!E22</f>
        <v>0.020729751472425617</v>
      </c>
      <c r="K22" s="17">
        <f>I22/'- 7 -'!G22</f>
        <v>144.1241238317757</v>
      </c>
    </row>
    <row r="23" spans="1:11" ht="12.75">
      <c r="A23" s="14">
        <v>15</v>
      </c>
      <c r="B23" s="15" t="s">
        <v>127</v>
      </c>
      <c r="C23" s="15">
        <v>166689</v>
      </c>
      <c r="D23" s="360">
        <f>C23/'- 3 -'!E23</f>
        <v>0.004904124222867878</v>
      </c>
      <c r="E23" s="15">
        <f>C23/'- 7 -'!G23</f>
        <v>27.45207509881423</v>
      </c>
      <c r="F23" s="15">
        <v>267846</v>
      </c>
      <c r="G23" s="360">
        <f>F23/'- 3 -'!E23</f>
        <v>0.00788024438684178</v>
      </c>
      <c r="H23" s="15">
        <f>F23/'- 7 -'!G23</f>
        <v>44.11166007905138</v>
      </c>
      <c r="I23" s="15">
        <v>505975</v>
      </c>
      <c r="J23" s="360">
        <f>I23/'- 3 -'!E23</f>
        <v>0.014886190772429942</v>
      </c>
      <c r="K23" s="15">
        <f>I23/'- 7 -'!G23</f>
        <v>83.3292160737813</v>
      </c>
    </row>
    <row r="24" spans="1:11" ht="12.75">
      <c r="A24" s="16">
        <v>16</v>
      </c>
      <c r="B24" s="17" t="s">
        <v>128</v>
      </c>
      <c r="C24" s="17">
        <v>39350</v>
      </c>
      <c r="D24" s="361">
        <f>C24/'- 3 -'!E24</f>
        <v>0.006305448083408179</v>
      </c>
      <c r="E24" s="17">
        <f>C24/'- 7 -'!G24</f>
        <v>47.29567307692308</v>
      </c>
      <c r="F24" s="17">
        <v>0</v>
      </c>
      <c r="G24" s="361">
        <f>F24/'- 3 -'!E24</f>
        <v>0</v>
      </c>
      <c r="H24" s="17">
        <f>F24/'- 7 -'!G24</f>
        <v>0</v>
      </c>
      <c r="I24" s="17">
        <v>159442</v>
      </c>
      <c r="J24" s="361">
        <f>I24/'- 3 -'!E24</f>
        <v>0.0255490026255341</v>
      </c>
      <c r="K24" s="17">
        <f>I24/'- 7 -'!G24</f>
        <v>191.63701923076923</v>
      </c>
    </row>
    <row r="25" spans="1:11" ht="12.75">
      <c r="A25" s="14">
        <v>17</v>
      </c>
      <c r="B25" s="15" t="s">
        <v>129</v>
      </c>
      <c r="C25" s="15">
        <v>51700</v>
      </c>
      <c r="D25" s="360">
        <f>C25/'- 3 -'!E25</f>
        <v>0.01161174371781082</v>
      </c>
      <c r="E25" s="15">
        <f>C25/'- 7 -'!G25</f>
        <v>105.53174117166769</v>
      </c>
      <c r="F25" s="15">
        <v>30000</v>
      </c>
      <c r="G25" s="360">
        <f>F25/'- 3 -'!E25</f>
        <v>0.00673795573567359</v>
      </c>
      <c r="H25" s="15">
        <f>F25/'- 7 -'!G25</f>
        <v>61.236987140232706</v>
      </c>
      <c r="I25" s="15">
        <v>110950</v>
      </c>
      <c r="J25" s="360">
        <f>I25/'- 3 -'!E25</f>
        <v>0.02491920629576616</v>
      </c>
      <c r="K25" s="15">
        <f>I25/'- 7 -'!G25</f>
        <v>226.4747907736273</v>
      </c>
    </row>
    <row r="26" spans="1:11" ht="12.75">
      <c r="A26" s="16">
        <v>18</v>
      </c>
      <c r="B26" s="17" t="s">
        <v>130</v>
      </c>
      <c r="C26" s="17">
        <v>88000</v>
      </c>
      <c r="D26" s="361">
        <f>C26/'- 3 -'!E26</f>
        <v>0.008977403624373253</v>
      </c>
      <c r="E26" s="17">
        <f>C26/'- 7 -'!G26</f>
        <v>62.857142857142854</v>
      </c>
      <c r="F26" s="17">
        <v>96132.5</v>
      </c>
      <c r="G26" s="361">
        <f>F26/'- 3 -'!E26</f>
        <v>0.009807048340000702</v>
      </c>
      <c r="H26" s="17">
        <f>F26/'- 7 -'!G26</f>
        <v>68.66607142857143</v>
      </c>
      <c r="I26" s="17">
        <v>183975.75</v>
      </c>
      <c r="J26" s="361">
        <f>I26/'- 3 -'!E26</f>
        <v>0.01876846096416804</v>
      </c>
      <c r="K26" s="17">
        <f>I26/'- 7 -'!G26</f>
        <v>131.41125</v>
      </c>
    </row>
    <row r="27" spans="1:11" ht="12.75">
      <c r="A27" s="14">
        <v>19</v>
      </c>
      <c r="B27" s="15" t="s">
        <v>131</v>
      </c>
      <c r="C27" s="15">
        <v>91000</v>
      </c>
      <c r="D27" s="360">
        <f>C27/'- 3 -'!E27</f>
        <v>0.0073281400174023195</v>
      </c>
      <c r="E27" s="15">
        <f>C27/'- 7 -'!G27</f>
        <v>50.17921146953405</v>
      </c>
      <c r="F27" s="15">
        <v>156000</v>
      </c>
      <c r="G27" s="360">
        <f>F27/'- 3 -'!E27</f>
        <v>0.012562525744118262</v>
      </c>
      <c r="H27" s="15">
        <f>F27/'- 7 -'!G27</f>
        <v>86.02150537634408</v>
      </c>
      <c r="I27" s="15">
        <v>378000</v>
      </c>
      <c r="J27" s="360">
        <f>I27/'- 3 -'!E27</f>
        <v>0.030439966226132712</v>
      </c>
      <c r="K27" s="15">
        <f>I27/'- 7 -'!G27</f>
        <v>208.43672456575683</v>
      </c>
    </row>
    <row r="28" spans="1:11" ht="12.75">
      <c r="A28" s="16">
        <v>20</v>
      </c>
      <c r="B28" s="17" t="s">
        <v>132</v>
      </c>
      <c r="C28" s="17">
        <v>57200</v>
      </c>
      <c r="D28" s="361">
        <f>C28/'- 3 -'!E28</f>
        <v>0.007237712938386185</v>
      </c>
      <c r="E28" s="17">
        <f>C28/'- 7 -'!G28</f>
        <v>60.02728512960436</v>
      </c>
      <c r="F28" s="17">
        <v>109335</v>
      </c>
      <c r="G28" s="361">
        <f>F28/'- 3 -'!E28</f>
        <v>0.013834533988084851</v>
      </c>
      <c r="H28" s="17">
        <f>F28/'- 7 -'!G28</f>
        <v>114.73921712666596</v>
      </c>
      <c r="I28" s="17">
        <v>179200</v>
      </c>
      <c r="J28" s="361">
        <f>I28/'- 3 -'!E28</f>
        <v>0.022674792981797278</v>
      </c>
      <c r="K28" s="17">
        <f>I28/'- 7 -'!G28</f>
        <v>188.05750865778148</v>
      </c>
    </row>
    <row r="29" spans="1:11" ht="12.75">
      <c r="A29" s="14">
        <v>21</v>
      </c>
      <c r="B29" s="15" t="s">
        <v>133</v>
      </c>
      <c r="C29" s="15">
        <v>151500</v>
      </c>
      <c r="D29" s="360">
        <f>C29/'- 3 -'!E29</f>
        <v>0.0064479060265577115</v>
      </c>
      <c r="E29" s="15">
        <f>C29/'- 7 -'!G29</f>
        <v>45.210384959713515</v>
      </c>
      <c r="F29" s="15">
        <v>249000</v>
      </c>
      <c r="G29" s="360">
        <f>F29/'- 3 -'!E29</f>
        <v>0.010597548518896834</v>
      </c>
      <c r="H29" s="15">
        <f>F29/'- 7 -'!G29</f>
        <v>74.30617726051925</v>
      </c>
      <c r="I29" s="15">
        <v>324000</v>
      </c>
      <c r="J29" s="360">
        <f>I29/'- 3 -'!E29</f>
        <v>0.013789581205311542</v>
      </c>
      <c r="K29" s="15">
        <f>I29/'- 7 -'!G29</f>
        <v>96.68755595344673</v>
      </c>
    </row>
    <row r="30" spans="1:11" ht="12.75">
      <c r="A30" s="16">
        <v>22</v>
      </c>
      <c r="B30" s="17" t="s">
        <v>134</v>
      </c>
      <c r="C30" s="17">
        <v>104000</v>
      </c>
      <c r="D30" s="361">
        <f>C30/'- 3 -'!E30</f>
        <v>0.00835091911099006</v>
      </c>
      <c r="E30" s="17">
        <f>C30/'- 7 -'!G30</f>
        <v>63.04940891179145</v>
      </c>
      <c r="F30" s="17">
        <v>97000</v>
      </c>
      <c r="G30" s="361">
        <f>F30/'- 3 -'!E30</f>
        <v>0.007788838016981112</v>
      </c>
      <c r="H30" s="17">
        <f>F30/'- 7 -'!G30</f>
        <v>58.80569869657472</v>
      </c>
      <c r="I30" s="17">
        <v>253450</v>
      </c>
      <c r="J30" s="361">
        <f>I30/'- 3 -'!E30</f>
        <v>0.02035135046808106</v>
      </c>
      <c r="K30" s="17">
        <f>I30/'- 7 -'!G30</f>
        <v>153.65262200666868</v>
      </c>
    </row>
    <row r="31" spans="1:11" ht="12.75">
      <c r="A31" s="14">
        <v>23</v>
      </c>
      <c r="B31" s="15" t="s">
        <v>135</v>
      </c>
      <c r="C31" s="15">
        <v>70975</v>
      </c>
      <c r="D31" s="360">
        <f>C31/'- 3 -'!E31</f>
        <v>0.006939424761529687</v>
      </c>
      <c r="E31" s="15">
        <f>C31/'- 7 -'!G31</f>
        <v>50.1944837340877</v>
      </c>
      <c r="F31" s="15">
        <v>88150</v>
      </c>
      <c r="G31" s="360">
        <f>F31/'- 3 -'!E31</f>
        <v>0.008618672669656102</v>
      </c>
      <c r="H31" s="15">
        <f>F31/'- 7 -'!G31</f>
        <v>62.34087694483734</v>
      </c>
      <c r="I31" s="15">
        <v>171025</v>
      </c>
      <c r="J31" s="360">
        <f>I31/'- 3 -'!E31</f>
        <v>0.016721593798388373</v>
      </c>
      <c r="K31" s="15">
        <f>I31/'- 7 -'!G31</f>
        <v>120.95120226308345</v>
      </c>
    </row>
    <row r="32" spans="1:11" ht="12.75">
      <c r="A32" s="16">
        <v>24</v>
      </c>
      <c r="B32" s="17" t="s">
        <v>136</v>
      </c>
      <c r="C32" s="17">
        <v>122818</v>
      </c>
      <c r="D32" s="361">
        <f>C32/'- 3 -'!E32</f>
        <v>0.00525288844068149</v>
      </c>
      <c r="E32" s="17">
        <f>C32/'- 7 -'!G32</f>
        <v>35.11794813141566</v>
      </c>
      <c r="F32" s="17">
        <v>190082</v>
      </c>
      <c r="G32" s="361">
        <f>F32/'- 3 -'!E32</f>
        <v>0.008129749227162298</v>
      </c>
      <c r="H32" s="17">
        <f>F32/'- 7 -'!G32</f>
        <v>54.35107082606582</v>
      </c>
      <c r="I32" s="17">
        <v>406036</v>
      </c>
      <c r="J32" s="361">
        <f>I32/'- 3 -'!E32</f>
        <v>0.017366036011826846</v>
      </c>
      <c r="K32" s="17">
        <f>I32/'- 7 -'!G32</f>
        <v>116.09984845452206</v>
      </c>
    </row>
    <row r="33" spans="1:11" ht="12.75">
      <c r="A33" s="14">
        <v>25</v>
      </c>
      <c r="B33" s="15" t="s">
        <v>137</v>
      </c>
      <c r="C33" s="15">
        <v>85640</v>
      </c>
      <c r="D33" s="360">
        <f>C33/'- 3 -'!E33</f>
        <v>0.008052388289096912</v>
      </c>
      <c r="E33" s="15">
        <f>C33/'- 7 -'!G33</f>
        <v>61.25894134477826</v>
      </c>
      <c r="F33" s="15">
        <v>94615</v>
      </c>
      <c r="G33" s="360">
        <f>F33/'- 3 -'!E33</f>
        <v>0.008896271811920882</v>
      </c>
      <c r="H33" s="15">
        <f>F33/'- 7 -'!G33</f>
        <v>67.6788268955651</v>
      </c>
      <c r="I33" s="15">
        <v>205000</v>
      </c>
      <c r="J33" s="360">
        <f>I33/'- 3 -'!E33</f>
        <v>0.01927533394751129</v>
      </c>
      <c r="K33" s="15">
        <f>I33/'- 7 -'!G33</f>
        <v>146.63805436337626</v>
      </c>
    </row>
    <row r="34" spans="1:11" ht="12.75">
      <c r="A34" s="16">
        <v>26</v>
      </c>
      <c r="B34" s="17" t="s">
        <v>138</v>
      </c>
      <c r="C34" s="17">
        <v>134360</v>
      </c>
      <c r="D34" s="361">
        <f>C34/'- 3 -'!E34</f>
        <v>0.007747776320152233</v>
      </c>
      <c r="E34" s="17">
        <f>C34/'- 7 -'!G34</f>
        <v>45.391891891891895</v>
      </c>
      <c r="F34" s="17">
        <v>110100</v>
      </c>
      <c r="G34" s="361">
        <f>F34/'- 3 -'!E34</f>
        <v>0.006348840226620727</v>
      </c>
      <c r="H34" s="17">
        <f>F34/'- 7 -'!G34</f>
        <v>37.195945945945944</v>
      </c>
      <c r="I34" s="17">
        <v>279740</v>
      </c>
      <c r="J34" s="361">
        <f>I34/'- 3 -'!E34</f>
        <v>0.016131013306038895</v>
      </c>
      <c r="K34" s="17">
        <f>I34/'- 7 -'!G34</f>
        <v>94.50675675675676</v>
      </c>
    </row>
    <row r="35" spans="1:11" ht="12.75">
      <c r="A35" s="14">
        <v>28</v>
      </c>
      <c r="B35" s="15" t="s">
        <v>139</v>
      </c>
      <c r="C35" s="15">
        <v>81000</v>
      </c>
      <c r="D35" s="360">
        <f>C35/'- 3 -'!E35</f>
        <v>0.012649040047173111</v>
      </c>
      <c r="E35" s="15">
        <f>C35/'- 7 -'!G35</f>
        <v>98.84075655887736</v>
      </c>
      <c r="F35" s="15">
        <v>99106</v>
      </c>
      <c r="G35" s="360">
        <f>F35/'- 3 -'!E35</f>
        <v>0.015476490900186893</v>
      </c>
      <c r="H35" s="15">
        <f>F35/'- 7 -'!G35</f>
        <v>120.934716290421</v>
      </c>
      <c r="I35" s="15">
        <v>167551</v>
      </c>
      <c r="J35" s="360">
        <f>I35/'- 3 -'!E35</f>
        <v>0.026164929740048172</v>
      </c>
      <c r="K35" s="15">
        <f>I35/'- 7 -'!G35</f>
        <v>204.45515558267235</v>
      </c>
    </row>
    <row r="36" spans="1:11" ht="12.75">
      <c r="A36" s="16">
        <v>30</v>
      </c>
      <c r="B36" s="17" t="s">
        <v>140</v>
      </c>
      <c r="C36" s="17">
        <v>99358</v>
      </c>
      <c r="D36" s="361">
        <f>C36/'- 3 -'!E36</f>
        <v>0.010144553609725573</v>
      </c>
      <c r="E36" s="17">
        <f>C36/'- 7 -'!G36</f>
        <v>76.33527965580824</v>
      </c>
      <c r="F36" s="17">
        <v>88790</v>
      </c>
      <c r="G36" s="361">
        <f>F36/'- 3 -'!E36</f>
        <v>0.009065549980953054</v>
      </c>
      <c r="H36" s="17">
        <f>F36/'- 7 -'!G36</f>
        <v>68.2160417947142</v>
      </c>
      <c r="I36" s="17">
        <v>179794</v>
      </c>
      <c r="J36" s="361">
        <f>I36/'- 3 -'!E36</f>
        <v>0.018357151630538047</v>
      </c>
      <c r="K36" s="17">
        <f>I36/'- 7 -'!G36</f>
        <v>138.13306699446835</v>
      </c>
    </row>
    <row r="37" spans="1:11" ht="12.75">
      <c r="A37" s="14">
        <v>31</v>
      </c>
      <c r="B37" s="15" t="s">
        <v>141</v>
      </c>
      <c r="C37" s="15">
        <v>91170</v>
      </c>
      <c r="D37" s="360">
        <f>C37/'- 3 -'!E37</f>
        <v>0.008325125698714277</v>
      </c>
      <c r="E37" s="15">
        <f>C37/'- 7 -'!G37</f>
        <v>56.27777777777778</v>
      </c>
      <c r="F37" s="15">
        <v>97971</v>
      </c>
      <c r="G37" s="360">
        <f>F37/'- 3 -'!E37</f>
        <v>0.008946154325202769</v>
      </c>
      <c r="H37" s="15">
        <f>F37/'- 7 -'!G37</f>
        <v>60.47592592592593</v>
      </c>
      <c r="I37" s="15">
        <v>245435</v>
      </c>
      <c r="J37" s="360">
        <f>I37/'- 3 -'!E37</f>
        <v>0.022411727825643726</v>
      </c>
      <c r="K37" s="15">
        <f>I37/'- 7 -'!G37</f>
        <v>151.5030864197531</v>
      </c>
    </row>
    <row r="38" spans="1:11" ht="12.75">
      <c r="A38" s="16">
        <v>32</v>
      </c>
      <c r="B38" s="17" t="s">
        <v>142</v>
      </c>
      <c r="C38" s="17">
        <v>84800</v>
      </c>
      <c r="D38" s="361">
        <f>C38/'- 3 -'!E38</f>
        <v>0.01233511959829403</v>
      </c>
      <c r="E38" s="17">
        <f>C38/'- 7 -'!G38</f>
        <v>101.01250744490768</v>
      </c>
      <c r="F38" s="17">
        <v>60443</v>
      </c>
      <c r="G38" s="361">
        <f>F38/'- 3 -'!E38</f>
        <v>0.0087921183240529</v>
      </c>
      <c r="H38" s="17">
        <f>F38/'- 7 -'!G38</f>
        <v>71.9988088147707</v>
      </c>
      <c r="I38" s="17">
        <v>191883</v>
      </c>
      <c r="J38" s="361">
        <f>I38/'- 3 -'!E38</f>
        <v>0.02791155370140865</v>
      </c>
      <c r="K38" s="17">
        <f>I38/'- 7 -'!G38</f>
        <v>228.5681953543776</v>
      </c>
    </row>
    <row r="39" spans="1:11" ht="12.75">
      <c r="A39" s="14">
        <v>33</v>
      </c>
      <c r="B39" s="15" t="s">
        <v>143</v>
      </c>
      <c r="C39" s="15">
        <v>117293</v>
      </c>
      <c r="D39" s="360">
        <f>C39/'- 3 -'!E39</f>
        <v>0.00856518649269075</v>
      </c>
      <c r="E39" s="15">
        <f>C39/'- 7 -'!G39</f>
        <v>62.72017539169029</v>
      </c>
      <c r="F39" s="15">
        <v>155554</v>
      </c>
      <c r="G39" s="360">
        <f>F39/'- 3 -'!E39</f>
        <v>0.011359152035364575</v>
      </c>
      <c r="H39" s="15">
        <f>F39/'- 7 -'!G39</f>
        <v>83.17950911715951</v>
      </c>
      <c r="I39" s="15">
        <v>255255</v>
      </c>
      <c r="J39" s="360">
        <f>I39/'- 3 -'!E39</f>
        <v>0.01863970295066012</v>
      </c>
      <c r="K39" s="15">
        <f>I39/'- 7 -'!G39</f>
        <v>136.49270092508422</v>
      </c>
    </row>
    <row r="40" spans="1:11" ht="12.75">
      <c r="A40" s="16">
        <v>34</v>
      </c>
      <c r="B40" s="17" t="s">
        <v>144</v>
      </c>
      <c r="C40" s="17">
        <v>37000</v>
      </c>
      <c r="D40" s="361">
        <f>C40/'- 3 -'!E40</f>
        <v>0.006420248283147525</v>
      </c>
      <c r="E40" s="17">
        <f>C40/'- 7 -'!G40</f>
        <v>50.65023956194388</v>
      </c>
      <c r="F40" s="17">
        <v>51960</v>
      </c>
      <c r="G40" s="361">
        <f>F40/'- 3 -'!E40</f>
        <v>0.009016110832225551</v>
      </c>
      <c r="H40" s="17">
        <f>F40/'- 7 -'!G40</f>
        <v>71.129363449692</v>
      </c>
      <c r="I40" s="17">
        <v>106800</v>
      </c>
      <c r="J40" s="361">
        <f>I40/'- 3 -'!E40</f>
        <v>0.018531959909193395</v>
      </c>
      <c r="K40" s="17">
        <f>I40/'- 7 -'!G40</f>
        <v>146.20123203285422</v>
      </c>
    </row>
    <row r="41" spans="1:11" ht="12.75">
      <c r="A41" s="14">
        <v>35</v>
      </c>
      <c r="B41" s="15" t="s">
        <v>145</v>
      </c>
      <c r="C41" s="15">
        <v>149950</v>
      </c>
      <c r="D41" s="360">
        <f>C41/'- 3 -'!E41</f>
        <v>0.010186870479257778</v>
      </c>
      <c r="E41" s="15">
        <f>C41/'- 7 -'!G41</f>
        <v>78.31105076248173</v>
      </c>
      <c r="F41" s="15">
        <v>120328</v>
      </c>
      <c r="G41" s="360">
        <f>F41/'- 3 -'!E41</f>
        <v>0.00817449650568943</v>
      </c>
      <c r="H41" s="15">
        <f>F41/'- 7 -'!G41</f>
        <v>62.84102778358053</v>
      </c>
      <c r="I41" s="15">
        <v>268266</v>
      </c>
      <c r="J41" s="360">
        <f>I41/'- 3 -'!E41</f>
        <v>0.018224681533768373</v>
      </c>
      <c r="K41" s="15">
        <f>I41/'- 7 -'!G41</f>
        <v>140.10131606434092</v>
      </c>
    </row>
    <row r="42" spans="1:11" ht="12.75">
      <c r="A42" s="16">
        <v>36</v>
      </c>
      <c r="B42" s="17" t="s">
        <v>146</v>
      </c>
      <c r="C42" s="17">
        <v>87454</v>
      </c>
      <c r="D42" s="361">
        <f>C42/'- 3 -'!E42</f>
        <v>0.011449855983241686</v>
      </c>
      <c r="E42" s="17">
        <f>C42/'- 7 -'!G42</f>
        <v>93.53368983957219</v>
      </c>
      <c r="F42" s="17">
        <v>67602</v>
      </c>
      <c r="G42" s="361">
        <f>F42/'- 3 -'!E42</f>
        <v>0.008850746268656716</v>
      </c>
      <c r="H42" s="17">
        <f>F42/'- 7 -'!G42</f>
        <v>72.30160427807486</v>
      </c>
      <c r="I42" s="17">
        <v>97517</v>
      </c>
      <c r="J42" s="361">
        <f>I42/'- 3 -'!E42</f>
        <v>0.012767347473160513</v>
      </c>
      <c r="K42" s="17">
        <f>I42/'- 7 -'!G42</f>
        <v>104.29625668449198</v>
      </c>
    </row>
    <row r="43" spans="1:11" ht="12.75">
      <c r="A43" s="14">
        <v>37</v>
      </c>
      <c r="B43" s="15" t="s">
        <v>147</v>
      </c>
      <c r="C43" s="15">
        <v>59767</v>
      </c>
      <c r="D43" s="360">
        <f>C43/'- 3 -'!E43</f>
        <v>0.008630401852950902</v>
      </c>
      <c r="E43" s="15">
        <f>C43/'- 7 -'!G43</f>
        <v>64.8211012656855</v>
      </c>
      <c r="F43" s="15">
        <v>111881</v>
      </c>
      <c r="G43" s="360">
        <f>F43/'- 3 -'!E43</f>
        <v>0.01615570448090083</v>
      </c>
      <c r="H43" s="15">
        <f>F43/'- 7 -'!G43</f>
        <v>121.34203876229624</v>
      </c>
      <c r="I43" s="15">
        <v>102047</v>
      </c>
      <c r="J43" s="360">
        <f>I43/'- 3 -'!E43</f>
        <v>0.01473566713885724</v>
      </c>
      <c r="K43" s="15">
        <f>I43/'- 7 -'!G43</f>
        <v>110.67644219819312</v>
      </c>
    </row>
    <row r="44" spans="1:11" ht="12.75">
      <c r="A44" s="16">
        <v>38</v>
      </c>
      <c r="B44" s="17" t="s">
        <v>148</v>
      </c>
      <c r="C44" s="17">
        <v>112301</v>
      </c>
      <c r="D44" s="361">
        <f>C44/'- 3 -'!E44</f>
        <v>0.012538998394173917</v>
      </c>
      <c r="E44" s="17">
        <f>C44/'- 7 -'!G44</f>
        <v>96.14811643835617</v>
      </c>
      <c r="F44" s="17">
        <v>94038</v>
      </c>
      <c r="G44" s="361">
        <f>F44/'- 3 -'!E44</f>
        <v>0.01049983821151483</v>
      </c>
      <c r="H44" s="17">
        <f>F44/'- 7 -'!G44</f>
        <v>80.51198630136986</v>
      </c>
      <c r="I44" s="17">
        <v>213587</v>
      </c>
      <c r="J44" s="361">
        <f>I44/'- 3 -'!E44</f>
        <v>0.023848113997350196</v>
      </c>
      <c r="K44" s="17">
        <f>I44/'- 7 -'!G44</f>
        <v>182.86558219178082</v>
      </c>
    </row>
    <row r="45" spans="1:11" ht="12.75">
      <c r="A45" s="14">
        <v>39</v>
      </c>
      <c r="B45" s="15" t="s">
        <v>149</v>
      </c>
      <c r="C45" s="15">
        <v>142000</v>
      </c>
      <c r="D45" s="360">
        <f>C45/'- 3 -'!E45</f>
        <v>0.008916713500343796</v>
      </c>
      <c r="E45" s="15">
        <f>C45/'- 7 -'!G45</f>
        <v>67.61904761904762</v>
      </c>
      <c r="F45" s="15">
        <v>149450</v>
      </c>
      <c r="G45" s="360">
        <f>F45/'- 3 -'!E45</f>
        <v>0.009384526990326622</v>
      </c>
      <c r="H45" s="15">
        <f>F45/'- 7 -'!G45</f>
        <v>71.16666666666667</v>
      </c>
      <c r="I45" s="15">
        <v>372750</v>
      </c>
      <c r="J45" s="360">
        <f>I45/'- 3 -'!E45</f>
        <v>0.023406372938402465</v>
      </c>
      <c r="K45" s="15">
        <f>I45/'- 7 -'!G45</f>
        <v>177.5</v>
      </c>
    </row>
    <row r="46" spans="1:11" ht="12.75">
      <c r="A46" s="16">
        <v>40</v>
      </c>
      <c r="B46" s="17" t="s">
        <v>150</v>
      </c>
      <c r="C46" s="17">
        <v>212000</v>
      </c>
      <c r="D46" s="361">
        <f>C46/'- 3 -'!E46</f>
        <v>0.004537040009416498</v>
      </c>
      <c r="E46" s="17">
        <f>C46/'- 7 -'!G46</f>
        <v>28.642842667026954</v>
      </c>
      <c r="F46" s="17">
        <v>547600</v>
      </c>
      <c r="G46" s="361">
        <f>F46/'- 3 -'!E46</f>
        <v>0.011719259948851294</v>
      </c>
      <c r="H46" s="17">
        <f>F46/'- 7 -'!G46</f>
        <v>73.98500303992434</v>
      </c>
      <c r="I46" s="17">
        <v>864900</v>
      </c>
      <c r="J46" s="361">
        <f>I46/'- 3 -'!E46</f>
        <v>0.01850983917049212</v>
      </c>
      <c r="K46" s="17">
        <f>I46/'- 7 -'!G46</f>
        <v>116.85469161656421</v>
      </c>
    </row>
    <row r="47" spans="1:11" ht="12.75">
      <c r="A47" s="14">
        <v>41</v>
      </c>
      <c r="B47" s="15" t="s">
        <v>151</v>
      </c>
      <c r="C47" s="15">
        <v>153900</v>
      </c>
      <c r="D47" s="360">
        <f>C47/'- 3 -'!E47</f>
        <v>0.012530118284642277</v>
      </c>
      <c r="E47" s="15">
        <f>C47/'- 7 -'!G47</f>
        <v>97.49762432689262</v>
      </c>
      <c r="F47" s="15">
        <v>100200</v>
      </c>
      <c r="G47" s="360">
        <f>F47/'- 3 -'!E47</f>
        <v>0.008158010735030254</v>
      </c>
      <c r="H47" s="15">
        <f>F47/'- 7 -'!G47</f>
        <v>63.47798542920494</v>
      </c>
      <c r="I47" s="15">
        <v>186230</v>
      </c>
      <c r="J47" s="360">
        <f>I47/'- 3 -'!E47</f>
        <v>0.015162338714418007</v>
      </c>
      <c r="K47" s="15">
        <f>I47/'- 7 -'!G47</f>
        <v>117.97909407665506</v>
      </c>
    </row>
    <row r="48" spans="1:11" ht="12.75">
      <c r="A48" s="16">
        <v>42</v>
      </c>
      <c r="B48" s="17" t="s">
        <v>152</v>
      </c>
      <c r="C48" s="17">
        <v>116020</v>
      </c>
      <c r="D48" s="361">
        <f>C48/'- 3 -'!E48</f>
        <v>0.014453437805369673</v>
      </c>
      <c r="E48" s="17">
        <f>C48/'- 7 -'!G48</f>
        <v>111.50408457472369</v>
      </c>
      <c r="F48" s="17">
        <v>101345</v>
      </c>
      <c r="G48" s="361">
        <f>F48/'- 3 -'!E48</f>
        <v>0.012625268525988532</v>
      </c>
      <c r="H48" s="17">
        <f>F48/'- 7 -'!G48</f>
        <v>97.40028832292167</v>
      </c>
      <c r="I48" s="17">
        <v>151003</v>
      </c>
      <c r="J48" s="361">
        <f>I48/'- 3 -'!E48</f>
        <v>0.018811519297743808</v>
      </c>
      <c r="K48" s="17">
        <f>I48/'- 7 -'!G48</f>
        <v>145.12542047092745</v>
      </c>
    </row>
    <row r="49" spans="1:11" ht="12.75">
      <c r="A49" s="14">
        <v>43</v>
      </c>
      <c r="B49" s="15" t="s">
        <v>153</v>
      </c>
      <c r="C49" s="15">
        <v>65000</v>
      </c>
      <c r="D49" s="360">
        <f>C49/'- 3 -'!E49</f>
        <v>0.01015149148836483</v>
      </c>
      <c r="E49" s="15">
        <f>C49/'- 7 -'!G49</f>
        <v>83.70895041854475</v>
      </c>
      <c r="F49" s="15">
        <v>97500</v>
      </c>
      <c r="G49" s="360">
        <f>F49/'- 3 -'!E49</f>
        <v>0.015227237232547243</v>
      </c>
      <c r="H49" s="15">
        <f>F49/'- 7 -'!G49</f>
        <v>125.56342562781713</v>
      </c>
      <c r="I49" s="15">
        <v>125000</v>
      </c>
      <c r="J49" s="360">
        <f>I49/'- 3 -'!E49</f>
        <v>0.01952209901608621</v>
      </c>
      <c r="K49" s="15">
        <f>I49/'- 7 -'!G49</f>
        <v>160.97875080489376</v>
      </c>
    </row>
    <row r="50" spans="1:11" ht="12.75">
      <c r="A50" s="16">
        <v>44</v>
      </c>
      <c r="B50" s="17" t="s">
        <v>154</v>
      </c>
      <c r="C50" s="17">
        <v>84900</v>
      </c>
      <c r="D50" s="361">
        <f>C50/'- 3 -'!E50</f>
        <v>0.009193507412955677</v>
      </c>
      <c r="E50" s="17">
        <f>C50/'- 7 -'!G50</f>
        <v>69.84779925956397</v>
      </c>
      <c r="F50" s="17">
        <v>102832</v>
      </c>
      <c r="G50" s="361">
        <f>F50/'- 3 -'!E50</f>
        <v>0.01113529745923508</v>
      </c>
      <c r="H50" s="17">
        <f>F50/'- 7 -'!G50</f>
        <v>84.60057589469355</v>
      </c>
      <c r="I50" s="17">
        <v>219600</v>
      </c>
      <c r="J50" s="361">
        <f>I50/'- 3 -'!E50</f>
        <v>0.023779672884394188</v>
      </c>
      <c r="K50" s="17">
        <f>I50/'- 7 -'!G50</f>
        <v>180.6663924310983</v>
      </c>
    </row>
    <row r="51" spans="1:11" ht="12.75">
      <c r="A51" s="14">
        <v>45</v>
      </c>
      <c r="B51" s="15" t="s">
        <v>155</v>
      </c>
      <c r="C51" s="15">
        <v>73700</v>
      </c>
      <c r="D51" s="360">
        <f>C51/'- 3 -'!E51</f>
        <v>0.006114554223692628</v>
      </c>
      <c r="E51" s="15">
        <f>C51/'- 7 -'!G51</f>
        <v>39.0153520381154</v>
      </c>
      <c r="F51" s="15">
        <v>47455</v>
      </c>
      <c r="G51" s="360">
        <f>F51/'- 3 -'!E51</f>
        <v>0.0039371257894889235</v>
      </c>
      <c r="H51" s="15">
        <f>F51/'- 7 -'!G51</f>
        <v>25.1217575436739</v>
      </c>
      <c r="I51" s="15">
        <v>341750</v>
      </c>
      <c r="J51" s="360">
        <f>I51/'- 3 -'!E51</f>
        <v>0.028353445128181217</v>
      </c>
      <c r="K51" s="15">
        <f>I51/'- 7 -'!G51</f>
        <v>180.91582848067762</v>
      </c>
    </row>
    <row r="52" spans="1:11" ht="12.75">
      <c r="A52" s="16">
        <v>46</v>
      </c>
      <c r="B52" s="17" t="s">
        <v>156</v>
      </c>
      <c r="C52" s="17">
        <v>73091</v>
      </c>
      <c r="D52" s="361">
        <f>C52/'- 3 -'!E52</f>
        <v>0.0068933496731810396</v>
      </c>
      <c r="E52" s="17">
        <f>C52/'- 7 -'!G52</f>
        <v>48.69487008660893</v>
      </c>
      <c r="F52" s="17">
        <v>176883</v>
      </c>
      <c r="G52" s="361">
        <f>F52/'- 3 -'!E52</f>
        <v>0.016682168396126497</v>
      </c>
      <c r="H52" s="17">
        <f>F52/'- 7 -'!G52</f>
        <v>117.84343770819454</v>
      </c>
      <c r="I52" s="17">
        <v>286913</v>
      </c>
      <c r="J52" s="361">
        <f>I52/'- 3 -'!E52</f>
        <v>0.027059304630958556</v>
      </c>
      <c r="K52" s="17">
        <f>I52/'- 7 -'!G52</f>
        <v>191.14790139906728</v>
      </c>
    </row>
    <row r="53" spans="1:11" ht="12.75">
      <c r="A53" s="14">
        <v>47</v>
      </c>
      <c r="B53" s="15" t="s">
        <v>157</v>
      </c>
      <c r="C53" s="15">
        <v>80923</v>
      </c>
      <c r="D53" s="360">
        <f>C53/'- 3 -'!E53</f>
        <v>0.008450172406573557</v>
      </c>
      <c r="E53" s="15">
        <f>C53/'- 7 -'!G53</f>
        <v>57.02818886539817</v>
      </c>
      <c r="F53" s="15">
        <v>98492</v>
      </c>
      <c r="G53" s="360">
        <f>F53/'- 3 -'!E53</f>
        <v>0.010284769233323563</v>
      </c>
      <c r="H53" s="15">
        <f>F53/'- 7 -'!G53</f>
        <v>69.40944326990838</v>
      </c>
      <c r="I53" s="15">
        <v>164213</v>
      </c>
      <c r="J53" s="360">
        <f>I53/'- 3 -'!E53</f>
        <v>0.017147512590989747</v>
      </c>
      <c r="K53" s="15">
        <f>I53/'- 7 -'!G53</f>
        <v>115.7244538407329</v>
      </c>
    </row>
    <row r="54" spans="1:11" ht="12.75">
      <c r="A54" s="16">
        <v>48</v>
      </c>
      <c r="B54" s="17" t="s">
        <v>158</v>
      </c>
      <c r="C54" s="17">
        <v>684819</v>
      </c>
      <c r="D54" s="361">
        <f>C54/'- 3 -'!E54</f>
        <v>0.011032846876904878</v>
      </c>
      <c r="E54" s="17">
        <f>C54/'- 7 -'!G54</f>
        <v>131.94971098265896</v>
      </c>
      <c r="F54" s="17">
        <v>1380718</v>
      </c>
      <c r="G54" s="361">
        <f>F54/'- 3 -'!E54</f>
        <v>0.022244199232477994</v>
      </c>
      <c r="H54" s="17">
        <f>F54/'- 7 -'!G54</f>
        <v>266.03429672447015</v>
      </c>
      <c r="I54" s="17">
        <v>1560682</v>
      </c>
      <c r="J54" s="361">
        <f>I54/'- 3 -'!E54</f>
        <v>0.025143527748998872</v>
      </c>
      <c r="K54" s="17">
        <f>I54/'- 7 -'!G54</f>
        <v>300.70944123314064</v>
      </c>
    </row>
    <row r="55" spans="1:11" ht="12.75">
      <c r="A55" s="14">
        <v>49</v>
      </c>
      <c r="B55" s="15" t="s">
        <v>159</v>
      </c>
      <c r="C55" s="15">
        <v>683365</v>
      </c>
      <c r="D55" s="360">
        <f>C55/'- 3 -'!E55</f>
        <v>0.017019358681505465</v>
      </c>
      <c r="E55" s="15">
        <f>C55/'- 7 -'!G55</f>
        <v>157.82101616628177</v>
      </c>
      <c r="F55" s="15">
        <v>438426</v>
      </c>
      <c r="G55" s="360">
        <f>F55/'- 3 -'!E55</f>
        <v>0.010919097918824809</v>
      </c>
      <c r="H55" s="15">
        <f>F55/'- 7 -'!G55</f>
        <v>101.25311778290992</v>
      </c>
      <c r="I55" s="15">
        <v>514761</v>
      </c>
      <c r="J55" s="360">
        <f>I55/'- 3 -'!E55</f>
        <v>0.012820238224448771</v>
      </c>
      <c r="K55" s="15">
        <f>I55/'- 7 -'!G55</f>
        <v>118.8824480369515</v>
      </c>
    </row>
    <row r="56" spans="1:11" ht="12.75">
      <c r="A56" s="16">
        <v>50</v>
      </c>
      <c r="B56" s="17" t="s">
        <v>340</v>
      </c>
      <c r="C56" s="17">
        <v>125000</v>
      </c>
      <c r="D56" s="361">
        <f>C56/'- 3 -'!E56</f>
        <v>0.008672425156970896</v>
      </c>
      <c r="E56" s="17">
        <f>C56/'- 7 -'!G56</f>
        <v>72.61109497531223</v>
      </c>
      <c r="F56" s="17">
        <v>227200</v>
      </c>
      <c r="G56" s="361">
        <f>F56/'- 3 -'!E56</f>
        <v>0.0157629999653103</v>
      </c>
      <c r="H56" s="17">
        <f>F56/'- 7 -'!G56</f>
        <v>131.9779262271275</v>
      </c>
      <c r="I56" s="17">
        <v>164800</v>
      </c>
      <c r="J56" s="361">
        <f>I56/'- 3 -'!E56</f>
        <v>0.011433725326950429</v>
      </c>
      <c r="K56" s="17">
        <f>I56/'- 7 -'!G56</f>
        <v>95.73046761545164</v>
      </c>
    </row>
    <row r="57" spans="1:11" ht="12.75">
      <c r="A57" s="14">
        <v>2264</v>
      </c>
      <c r="B57" s="15" t="s">
        <v>160</v>
      </c>
      <c r="C57" s="15">
        <v>3600</v>
      </c>
      <c r="D57" s="360">
        <f>C57/'- 3 -'!E57</f>
        <v>0.001780262232626866</v>
      </c>
      <c r="E57" s="15">
        <f>C57/'- 7 -'!G57</f>
        <v>17.475728155339805</v>
      </c>
      <c r="F57" s="15">
        <v>45000</v>
      </c>
      <c r="G57" s="360">
        <f>F57/'- 3 -'!E57</f>
        <v>0.022253277907835826</v>
      </c>
      <c r="H57" s="15">
        <f>F57/'- 7 -'!G57</f>
        <v>218.44660194174756</v>
      </c>
      <c r="I57" s="15">
        <v>6232</v>
      </c>
      <c r="J57" s="360">
        <f>I57/'- 3 -'!E57</f>
        <v>0.003081831731591841</v>
      </c>
      <c r="K57" s="15">
        <f>I57/'- 7 -'!G57</f>
        <v>30.25242718446602</v>
      </c>
    </row>
    <row r="58" spans="1:11" ht="12.75">
      <c r="A58" s="16">
        <v>2309</v>
      </c>
      <c r="B58" s="17" t="s">
        <v>161</v>
      </c>
      <c r="C58" s="17">
        <v>31600</v>
      </c>
      <c r="D58" s="361">
        <f>C58/'- 3 -'!E58</f>
        <v>0.015010086683250596</v>
      </c>
      <c r="E58" s="17">
        <f>C58/'- 7 -'!G58</f>
        <v>120.74894917844861</v>
      </c>
      <c r="F58" s="17">
        <v>0</v>
      </c>
      <c r="G58" s="361">
        <f>F58/'- 3 -'!E58</f>
        <v>0</v>
      </c>
      <c r="H58" s="17">
        <f>F58/'- 7 -'!G58</f>
        <v>0</v>
      </c>
      <c r="I58" s="17">
        <v>109870</v>
      </c>
      <c r="J58" s="361">
        <f>I58/'- 3 -'!E58</f>
        <v>0.05218855138888427</v>
      </c>
      <c r="K58" s="17">
        <f>I58/'- 7 -'!G58</f>
        <v>419.83186855177684</v>
      </c>
    </row>
    <row r="59" spans="1:11" ht="12.75">
      <c r="A59" s="14">
        <v>2312</v>
      </c>
      <c r="B59" s="15" t="s">
        <v>162</v>
      </c>
      <c r="C59" s="15">
        <v>8433</v>
      </c>
      <c r="D59" s="360">
        <f>C59/'- 3 -'!E59</f>
        <v>0.005408306974811258</v>
      </c>
      <c r="E59" s="15">
        <f>C59/'- 7 -'!G59</f>
        <v>48.60518731988473</v>
      </c>
      <c r="F59" s="15">
        <v>0</v>
      </c>
      <c r="G59" s="360">
        <f>F59/'- 3 -'!E59</f>
        <v>0</v>
      </c>
      <c r="H59" s="15">
        <f>F59/'- 7 -'!G59</f>
        <v>0</v>
      </c>
      <c r="I59" s="15">
        <v>86229</v>
      </c>
      <c r="J59" s="360">
        <f>I59/'- 3 -'!E59</f>
        <v>0.055300948906794725</v>
      </c>
      <c r="K59" s="15">
        <f>I59/'- 7 -'!G59</f>
        <v>496.9971181556196</v>
      </c>
    </row>
    <row r="60" spans="1:11" ht="12.75">
      <c r="A60" s="16">
        <v>2355</v>
      </c>
      <c r="B60" s="17" t="s">
        <v>163</v>
      </c>
      <c r="C60" s="17">
        <v>148525</v>
      </c>
      <c r="D60" s="361">
        <f>C60/'- 3 -'!E60</f>
        <v>0.005789290033666558</v>
      </c>
      <c r="E60" s="17">
        <f>C60/'- 7 -'!G60</f>
        <v>44.34243917002538</v>
      </c>
      <c r="F60" s="17">
        <v>212778</v>
      </c>
      <c r="G60" s="361">
        <f>F60/'- 3 -'!E60</f>
        <v>0.008293779193963999</v>
      </c>
      <c r="H60" s="17">
        <f>F60/'- 7 -'!G60</f>
        <v>63.525302283922976</v>
      </c>
      <c r="I60" s="17">
        <v>610198</v>
      </c>
      <c r="J60" s="361">
        <f>I60/'- 3 -'!E60</f>
        <v>0.023784636929562473</v>
      </c>
      <c r="K60" s="17">
        <f>I60/'- 7 -'!G60</f>
        <v>182.1758471413644</v>
      </c>
    </row>
    <row r="61" spans="1:11" ht="12.75">
      <c r="A61" s="14">
        <v>2439</v>
      </c>
      <c r="B61" s="15" t="s">
        <v>164</v>
      </c>
      <c r="C61" s="15">
        <v>20100</v>
      </c>
      <c r="D61" s="360">
        <f>C61/'- 3 -'!E61</f>
        <v>0.014795414746391133</v>
      </c>
      <c r="E61" s="15">
        <f>C61/'- 7 -'!G61</f>
        <v>126.81388012618297</v>
      </c>
      <c r="F61" s="15">
        <v>0</v>
      </c>
      <c r="G61" s="360">
        <f>F61/'- 3 -'!E61</f>
        <v>0</v>
      </c>
      <c r="H61" s="15">
        <f>F61/'- 7 -'!G61</f>
        <v>0</v>
      </c>
      <c r="I61" s="15">
        <v>42098</v>
      </c>
      <c r="J61" s="360">
        <f>I61/'- 3 -'!E61</f>
        <v>0.03098792885540169</v>
      </c>
      <c r="K61" s="15">
        <f>I61/'- 7 -'!G61</f>
        <v>265.602523659306</v>
      </c>
    </row>
    <row r="62" spans="1:11" ht="12.75">
      <c r="A62" s="16">
        <v>2460</v>
      </c>
      <c r="B62" s="17" t="s">
        <v>165</v>
      </c>
      <c r="C62" s="17">
        <v>1200</v>
      </c>
      <c r="D62" s="361">
        <f>C62/'- 3 -'!E62</f>
        <v>0.0005578842055542952</v>
      </c>
      <c r="E62" s="17">
        <f>C62/'- 7 -'!G62</f>
        <v>4.4085231447465105</v>
      </c>
      <c r="F62" s="17">
        <v>0</v>
      </c>
      <c r="G62" s="361">
        <f>F62/'- 3 -'!E62</f>
        <v>0</v>
      </c>
      <c r="H62" s="17">
        <f>F62/'- 7 -'!G62</f>
        <v>0</v>
      </c>
      <c r="I62" s="17">
        <v>221239</v>
      </c>
      <c r="J62" s="361">
        <f>I62/'- 3 -'!E62</f>
        <v>0.10285478646052225</v>
      </c>
      <c r="K62" s="17">
        <f>I62/'- 7 -'!G62</f>
        <v>812.7810433504776</v>
      </c>
    </row>
    <row r="63" spans="1:11" ht="12.75">
      <c r="A63" s="14">
        <v>3000</v>
      </c>
      <c r="B63" s="15" t="s">
        <v>363</v>
      </c>
      <c r="C63" s="15">
        <v>14596</v>
      </c>
      <c r="D63" s="360">
        <f>C63/'- 3 -'!E63</f>
        <v>0.00201823239843746</v>
      </c>
      <c r="E63" s="15">
        <f>C63/'- 7 -'!G63</f>
        <v>18.240439890027492</v>
      </c>
      <c r="F63" s="15">
        <v>100895</v>
      </c>
      <c r="G63" s="360">
        <f>F63/'- 3 -'!E63</f>
        <v>0.013951052195145761</v>
      </c>
      <c r="H63" s="15">
        <f>F63/'- 7 -'!G63</f>
        <v>126.08722819295176</v>
      </c>
      <c r="I63" s="15">
        <v>423965</v>
      </c>
      <c r="J63" s="360">
        <f>I63/'- 3 -'!E63</f>
        <v>0.0586229034532432</v>
      </c>
      <c r="K63" s="15">
        <f>I63/'- 7 -'!G63</f>
        <v>529.8237940514871</v>
      </c>
    </row>
    <row r="64" spans="1:11" ht="4.5" customHeight="1">
      <c r="A64" s="18"/>
      <c r="B64" s="18"/>
      <c r="C64" s="18"/>
      <c r="D64" s="198"/>
      <c r="E64" s="18"/>
      <c r="F64" s="18"/>
      <c r="G64" s="198"/>
      <c r="H64" s="18"/>
      <c r="I64" s="18"/>
      <c r="J64" s="198"/>
      <c r="K64" s="18"/>
    </row>
    <row r="65" spans="1:11" ht="12.75">
      <c r="A65" s="20"/>
      <c r="B65" s="21" t="s">
        <v>166</v>
      </c>
      <c r="C65" s="21">
        <f>SUM(C11:C63)</f>
        <v>7956142</v>
      </c>
      <c r="D65" s="103">
        <f>C65/'- 3 -'!E65</f>
        <v>0.005887612875091274</v>
      </c>
      <c r="E65" s="21">
        <f>C65/'- 7 -'!G65</f>
        <v>43.98221438757711</v>
      </c>
      <c r="F65" s="21">
        <f>SUM(F11:F63)</f>
        <v>12742607.5</v>
      </c>
      <c r="G65" s="103">
        <f>F65/'- 3 -'!E65</f>
        <v>0.009429638131048268</v>
      </c>
      <c r="H65" s="21">
        <f>F65/'- 7 -'!G65</f>
        <v>70.44219358097781</v>
      </c>
      <c r="I65" s="21">
        <f>SUM(I11:I63)</f>
        <v>24837765.75</v>
      </c>
      <c r="J65" s="103">
        <f>I65/'- 3 -'!E65</f>
        <v>0.018380158300115943</v>
      </c>
      <c r="K65" s="21">
        <f>I65/'- 7 -'!G65</f>
        <v>137.30523388407596</v>
      </c>
    </row>
    <row r="66" spans="1:11" ht="4.5" customHeight="1">
      <c r="A66" s="18"/>
      <c r="B66" s="18"/>
      <c r="C66" s="18"/>
      <c r="D66" s="198"/>
      <c r="E66" s="18"/>
      <c r="F66" s="18"/>
      <c r="G66" s="198"/>
      <c r="H66" s="18"/>
      <c r="I66" s="18"/>
      <c r="J66" s="198"/>
      <c r="K66" s="18"/>
    </row>
    <row r="67" spans="1:11" ht="12.75">
      <c r="A67" s="16">
        <v>2155</v>
      </c>
      <c r="B67" s="17" t="s">
        <v>167</v>
      </c>
      <c r="C67" s="17">
        <v>17500</v>
      </c>
      <c r="D67" s="361">
        <f>C67/'- 3 -'!E67</f>
        <v>0.013193765907912037</v>
      </c>
      <c r="E67" s="17">
        <f>C67/'- 7 -'!G67</f>
        <v>123.2394366197183</v>
      </c>
      <c r="F67" s="17">
        <v>13041</v>
      </c>
      <c r="G67" s="361">
        <f>F67/'- 3 -'!E67</f>
        <v>0.009831994354576051</v>
      </c>
      <c r="H67" s="17">
        <f>F67/'- 7 -'!G67</f>
        <v>91.83802816901408</v>
      </c>
      <c r="I67" s="17">
        <v>19700</v>
      </c>
      <c r="J67" s="361">
        <f>I67/'- 3 -'!E67</f>
        <v>0.014852410764906693</v>
      </c>
      <c r="K67" s="17">
        <f>I67/'- 7 -'!G67</f>
        <v>138.73239436619718</v>
      </c>
    </row>
    <row r="68" spans="1:11" ht="12.75">
      <c r="A68" s="14">
        <v>2408</v>
      </c>
      <c r="B68" s="15" t="s">
        <v>169</v>
      </c>
      <c r="C68" s="15">
        <v>39500</v>
      </c>
      <c r="D68" s="360">
        <f>C68/'- 3 -'!E68</f>
        <v>0.0171921142600971</v>
      </c>
      <c r="E68" s="15">
        <f>C68/'- 7 -'!G68</f>
        <v>161.88524590163934</v>
      </c>
      <c r="F68" s="15">
        <v>42184</v>
      </c>
      <c r="G68" s="360">
        <f>F68/'- 3 -'!E68</f>
        <v>0.018360307542985725</v>
      </c>
      <c r="H68" s="15">
        <f>F68/'- 7 -'!G68</f>
        <v>172.88524590163934</v>
      </c>
      <c r="I68" s="15">
        <v>72903</v>
      </c>
      <c r="J68" s="360">
        <f>I68/'- 3 -'!E68</f>
        <v>0.031730549516553394</v>
      </c>
      <c r="K68" s="15">
        <f>I68/'- 7 -'!G68</f>
        <v>298.7827868852459</v>
      </c>
    </row>
    <row r="69" ht="6.75" customHeight="1"/>
    <row r="70" spans="1:2" ht="12" customHeight="1">
      <c r="A70" s="7"/>
      <c r="B70" s="7"/>
    </row>
    <row r="71" spans="1:2" ht="12" customHeight="1">
      <c r="A71" s="7"/>
      <c r="B71" s="7"/>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F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20.83203125" style="82" customWidth="1"/>
    <col min="4" max="5" width="15.83203125" style="82" customWidth="1"/>
    <col min="6" max="6" width="44.83203125" style="82" customWidth="1"/>
    <col min="7" max="16384" width="15.83203125" style="82" customWidth="1"/>
  </cols>
  <sheetData>
    <row r="1" spans="1:6" ht="6.75" customHeight="1">
      <c r="A1" s="18"/>
      <c r="B1" s="80"/>
      <c r="C1" s="142"/>
      <c r="D1" s="142"/>
      <c r="E1" s="142"/>
      <c r="F1" s="142"/>
    </row>
    <row r="2" spans="1:6" ht="12.75">
      <c r="A2" s="9"/>
      <c r="B2" s="83"/>
      <c r="C2" s="200" t="s">
        <v>0</v>
      </c>
      <c r="D2" s="200"/>
      <c r="E2" s="200"/>
      <c r="F2" s="219" t="s">
        <v>437</v>
      </c>
    </row>
    <row r="3" spans="1:6" ht="12.75">
      <c r="A3" s="10"/>
      <c r="B3" s="86"/>
      <c r="C3" s="203" t="str">
        <f>YEAR</f>
        <v>OPERATING FUND BUDGET 2002/2003</v>
      </c>
      <c r="D3" s="203"/>
      <c r="E3" s="203"/>
      <c r="F3" s="220"/>
    </row>
    <row r="4" spans="1:6" ht="12.75">
      <c r="A4" s="11"/>
      <c r="C4" s="142"/>
      <c r="D4" s="142"/>
      <c r="E4" s="142"/>
      <c r="F4" s="142"/>
    </row>
    <row r="5" spans="1:6" ht="16.5">
      <c r="A5" s="11"/>
      <c r="C5" s="365" t="s">
        <v>338</v>
      </c>
      <c r="D5" s="344"/>
      <c r="E5" s="346"/>
      <c r="F5" s="236"/>
    </row>
    <row r="6" spans="1:6" ht="12.75">
      <c r="A6" s="11"/>
      <c r="C6" s="68" t="s">
        <v>21</v>
      </c>
      <c r="D6" s="66"/>
      <c r="E6" s="67"/>
      <c r="F6" s="182"/>
    </row>
    <row r="7" spans="3:6" ht="12.75">
      <c r="C7" s="69" t="s">
        <v>51</v>
      </c>
      <c r="D7" s="70"/>
      <c r="E7" s="71"/>
      <c r="F7" s="182"/>
    </row>
    <row r="8" spans="1:6" ht="12.75">
      <c r="A8" s="94"/>
      <c r="B8" s="46"/>
      <c r="C8" s="73"/>
      <c r="D8" s="228"/>
      <c r="E8" s="229" t="s">
        <v>75</v>
      </c>
      <c r="F8" s="182"/>
    </row>
    <row r="9" spans="1:5" ht="12.75">
      <c r="A9" s="52" t="s">
        <v>100</v>
      </c>
      <c r="B9" s="53" t="s">
        <v>101</v>
      </c>
      <c r="C9" s="75" t="s">
        <v>102</v>
      </c>
      <c r="D9" s="76" t="s">
        <v>103</v>
      </c>
      <c r="E9" s="76" t="s">
        <v>104</v>
      </c>
    </row>
    <row r="10" spans="1:2" ht="4.5" customHeight="1">
      <c r="A10" s="77"/>
      <c r="B10" s="77"/>
    </row>
    <row r="11" spans="1:5" ht="12.75">
      <c r="A11" s="14">
        <v>1</v>
      </c>
      <c r="B11" s="15" t="s">
        <v>115</v>
      </c>
      <c r="C11" s="15">
        <v>787900</v>
      </c>
      <c r="D11" s="360">
        <f>C11/'- 3 -'!E11</f>
        <v>0.0031000462311755505</v>
      </c>
      <c r="E11" s="15">
        <f>C11/'- 7 -'!G11</f>
        <v>25.48353709813054</v>
      </c>
    </row>
    <row r="12" spans="1:5" ht="12.75">
      <c r="A12" s="16">
        <v>2</v>
      </c>
      <c r="B12" s="17" t="s">
        <v>116</v>
      </c>
      <c r="C12" s="17">
        <v>37335</v>
      </c>
      <c r="D12" s="361">
        <f>C12/'- 3 -'!E12</f>
        <v>0.0005943929425951583</v>
      </c>
      <c r="E12" s="17">
        <f>C12/'- 7 -'!G12</f>
        <v>4.082201666338648</v>
      </c>
    </row>
    <row r="13" spans="1:5" ht="12.75">
      <c r="A13" s="14">
        <v>3</v>
      </c>
      <c r="B13" s="15" t="s">
        <v>117</v>
      </c>
      <c r="C13" s="15">
        <v>133675</v>
      </c>
      <c r="D13" s="360">
        <f>C13/'- 3 -'!E13</f>
        <v>0.003015590926557824</v>
      </c>
      <c r="E13" s="15">
        <f>C13/'- 7 -'!G13</f>
        <v>23.26603428770342</v>
      </c>
    </row>
    <row r="14" spans="1:5" ht="12.75">
      <c r="A14" s="16">
        <v>4</v>
      </c>
      <c r="B14" s="17" t="s">
        <v>118</v>
      </c>
      <c r="C14" s="17">
        <v>34500</v>
      </c>
      <c r="D14" s="361">
        <f>C14/'- 3 -'!E14</f>
        <v>0.0007922185128790963</v>
      </c>
      <c r="E14" s="17">
        <f>C14/'- 7 -'!G14</f>
        <v>5.538609728688393</v>
      </c>
    </row>
    <row r="15" spans="1:5" ht="12.75">
      <c r="A15" s="14">
        <v>5</v>
      </c>
      <c r="B15" s="15" t="s">
        <v>119</v>
      </c>
      <c r="C15" s="15">
        <v>287349</v>
      </c>
      <c r="D15" s="360">
        <f>C15/'- 3 -'!E15</f>
        <v>0.005301026775655984</v>
      </c>
      <c r="E15" s="15">
        <f>C15/'- 7 -'!G15</f>
        <v>39.752230753268314</v>
      </c>
    </row>
    <row r="16" spans="1:5" ht="12.75">
      <c r="A16" s="16">
        <v>6</v>
      </c>
      <c r="B16" s="17" t="s">
        <v>120</v>
      </c>
      <c r="C16" s="17">
        <v>208868</v>
      </c>
      <c r="D16" s="361">
        <f>C16/'- 3 -'!E16</f>
        <v>0.0033518021480945545</v>
      </c>
      <c r="E16" s="17">
        <f>C16/'- 7 -'!G16</f>
        <v>23.501322081575246</v>
      </c>
    </row>
    <row r="17" spans="1:5" ht="12.75">
      <c r="A17" s="14">
        <v>9</v>
      </c>
      <c r="B17" s="15" t="s">
        <v>121</v>
      </c>
      <c r="C17" s="15">
        <v>206000</v>
      </c>
      <c r="D17" s="360">
        <f>C17/'- 3 -'!E17</f>
        <v>0.002455718478436354</v>
      </c>
      <c r="E17" s="15">
        <f>C17/'- 7 -'!G17</f>
        <v>16.6062071745264</v>
      </c>
    </row>
    <row r="18" spans="1:5" ht="12.75">
      <c r="A18" s="16">
        <v>10</v>
      </c>
      <c r="B18" s="17" t="s">
        <v>122</v>
      </c>
      <c r="C18" s="17">
        <v>168761</v>
      </c>
      <c r="D18" s="361">
        <f>C18/'- 3 -'!E18</f>
        <v>0.002724307919551386</v>
      </c>
      <c r="E18" s="17">
        <f>C18/'- 7 -'!G18</f>
        <v>19.567627108817902</v>
      </c>
    </row>
    <row r="19" spans="1:5" ht="12.75">
      <c r="A19" s="14">
        <v>11</v>
      </c>
      <c r="B19" s="15" t="s">
        <v>123</v>
      </c>
      <c r="C19" s="15">
        <v>10800</v>
      </c>
      <c r="D19" s="360">
        <f>C19/'- 3 -'!E19</f>
        <v>0.00032380283645288383</v>
      </c>
      <c r="E19" s="15">
        <f>C19/'- 7 -'!G19</f>
        <v>2.299340004258037</v>
      </c>
    </row>
    <row r="20" spans="1:5" ht="12.75">
      <c r="A20" s="16">
        <v>12</v>
      </c>
      <c r="B20" s="17" t="s">
        <v>124</v>
      </c>
      <c r="C20" s="17">
        <v>30975</v>
      </c>
      <c r="D20" s="361">
        <f>C20/'- 3 -'!E20</f>
        <v>0.0005916977329466696</v>
      </c>
      <c r="E20" s="17">
        <f>C20/'- 7 -'!G20</f>
        <v>4.057505894681687</v>
      </c>
    </row>
    <row r="21" spans="1:5" ht="12.75">
      <c r="A21" s="14">
        <v>13</v>
      </c>
      <c r="B21" s="15" t="s">
        <v>125</v>
      </c>
      <c r="C21" s="15">
        <v>55500</v>
      </c>
      <c r="D21" s="360">
        <f>C21/'- 3 -'!E21</f>
        <v>0.002641082084164957</v>
      </c>
      <c r="E21" s="15">
        <f>C21/'- 7 -'!G21</f>
        <v>21.18320610687023</v>
      </c>
    </row>
    <row r="22" spans="1:5" ht="12.75">
      <c r="A22" s="16">
        <v>14</v>
      </c>
      <c r="B22" s="17" t="s">
        <v>126</v>
      </c>
      <c r="C22" s="17">
        <v>41210</v>
      </c>
      <c r="D22" s="361">
        <f>C22/'- 3 -'!E22</f>
        <v>0.001731116412138785</v>
      </c>
      <c r="E22" s="17">
        <f>C22/'- 7 -'!G22</f>
        <v>12.035630841121495</v>
      </c>
    </row>
    <row r="23" spans="1:5" ht="12.75">
      <c r="A23" s="14">
        <v>15</v>
      </c>
      <c r="B23" s="15" t="s">
        <v>127</v>
      </c>
      <c r="C23" s="15">
        <v>25700</v>
      </c>
      <c r="D23" s="360">
        <f>C23/'- 3 -'!E23</f>
        <v>0.000756114635805029</v>
      </c>
      <c r="E23" s="15">
        <f>C23/'- 7 -'!G23</f>
        <v>4.232542819499341</v>
      </c>
    </row>
    <row r="24" spans="1:5" ht="12.75">
      <c r="A24" s="16">
        <v>16</v>
      </c>
      <c r="B24" s="17" t="s">
        <v>128</v>
      </c>
      <c r="C24" s="17">
        <v>4500</v>
      </c>
      <c r="D24" s="361">
        <f>C24/'- 3 -'!E24</f>
        <v>0.0007210804669717105</v>
      </c>
      <c r="E24" s="17">
        <f>C24/'- 7 -'!G24</f>
        <v>5.408653846153846</v>
      </c>
    </row>
    <row r="25" spans="1:5" ht="12.75">
      <c r="A25" s="14">
        <v>17</v>
      </c>
      <c r="B25" s="15" t="s">
        <v>129</v>
      </c>
      <c r="C25" s="15">
        <v>4000</v>
      </c>
      <c r="D25" s="360">
        <f>C25/'- 3 -'!E25</f>
        <v>0.000898394098089812</v>
      </c>
      <c r="E25" s="15">
        <f>C25/'- 7 -'!G25</f>
        <v>8.164931618697693</v>
      </c>
    </row>
    <row r="26" spans="1:5" ht="12.75">
      <c r="A26" s="16">
        <v>18</v>
      </c>
      <c r="B26" s="17" t="s">
        <v>130</v>
      </c>
      <c r="C26" s="17">
        <v>4000</v>
      </c>
      <c r="D26" s="361">
        <f>C26/'- 3 -'!E26</f>
        <v>0.00040806380110787515</v>
      </c>
      <c r="E26" s="17">
        <f>C26/'- 7 -'!G26</f>
        <v>2.857142857142857</v>
      </c>
    </row>
    <row r="27" spans="1:5" ht="12.75">
      <c r="A27" s="14">
        <v>19</v>
      </c>
      <c r="B27" s="15" t="s">
        <v>131</v>
      </c>
      <c r="C27" s="15">
        <v>12000</v>
      </c>
      <c r="D27" s="360">
        <f>C27/'- 3 -'!E27</f>
        <v>0.0009663481341629432</v>
      </c>
      <c r="E27" s="15">
        <f>C27/'- 7 -'!G27</f>
        <v>6.6170388751033915</v>
      </c>
    </row>
    <row r="28" spans="1:5" ht="12.75">
      <c r="A28" s="16">
        <v>20</v>
      </c>
      <c r="B28" s="17" t="s">
        <v>132</v>
      </c>
      <c r="C28" s="17">
        <v>0</v>
      </c>
      <c r="D28" s="361">
        <f>C28/'- 3 -'!E28</f>
        <v>0</v>
      </c>
      <c r="E28" s="17">
        <f>C28/'- 7 -'!G28</f>
        <v>0</v>
      </c>
    </row>
    <row r="29" spans="1:5" ht="12.75">
      <c r="A29" s="14">
        <v>21</v>
      </c>
      <c r="B29" s="15" t="s">
        <v>133</v>
      </c>
      <c r="C29" s="15">
        <v>7000</v>
      </c>
      <c r="D29" s="360">
        <f>C29/'- 3 -'!E29</f>
        <v>0.0002979230507320395</v>
      </c>
      <c r="E29" s="15">
        <f>C29/'- 7 -'!G29</f>
        <v>2.0889286780065652</v>
      </c>
    </row>
    <row r="30" spans="1:5" ht="12.75">
      <c r="A30" s="16">
        <v>22</v>
      </c>
      <c r="B30" s="17" t="s">
        <v>134</v>
      </c>
      <c r="C30" s="17">
        <v>0</v>
      </c>
      <c r="D30" s="361">
        <f>C30/'- 3 -'!E30</f>
        <v>0</v>
      </c>
      <c r="E30" s="17">
        <f>C30/'- 7 -'!G30</f>
        <v>0</v>
      </c>
    </row>
    <row r="31" spans="1:5" ht="12.75">
      <c r="A31" s="14">
        <v>23</v>
      </c>
      <c r="B31" s="15" t="s">
        <v>135</v>
      </c>
      <c r="C31" s="15">
        <v>0</v>
      </c>
      <c r="D31" s="360">
        <f>C31/'- 3 -'!E31</f>
        <v>0</v>
      </c>
      <c r="E31" s="15">
        <f>C31/'- 7 -'!G31</f>
        <v>0</v>
      </c>
    </row>
    <row r="32" spans="1:5" ht="12.75">
      <c r="A32" s="16">
        <v>24</v>
      </c>
      <c r="B32" s="17" t="s">
        <v>136</v>
      </c>
      <c r="C32" s="17">
        <v>7000</v>
      </c>
      <c r="D32" s="361">
        <f>C32/'- 3 -'!E32</f>
        <v>0.0002993878672895702</v>
      </c>
      <c r="E32" s="17">
        <f>C32/'- 7 -'!G32</f>
        <v>2.001544048265805</v>
      </c>
    </row>
    <row r="33" spans="1:5" ht="12.75">
      <c r="A33" s="14">
        <v>25</v>
      </c>
      <c r="B33" s="15" t="s">
        <v>137</v>
      </c>
      <c r="C33" s="15">
        <v>10225</v>
      </c>
      <c r="D33" s="360">
        <f>C33/'- 3 -'!E33</f>
        <v>0.0009614160468941607</v>
      </c>
      <c r="E33" s="15">
        <f>C33/'- 7 -'!G33</f>
        <v>7.314020028612303</v>
      </c>
    </row>
    <row r="34" spans="1:5" ht="12.75">
      <c r="A34" s="16">
        <v>26</v>
      </c>
      <c r="B34" s="17" t="s">
        <v>138</v>
      </c>
      <c r="C34" s="17">
        <v>31900</v>
      </c>
      <c r="D34" s="361">
        <f>C34/'- 3 -'!E34</f>
        <v>0.0018394914008101836</v>
      </c>
      <c r="E34" s="17">
        <f>C34/'- 7 -'!G34</f>
        <v>10.777027027027026</v>
      </c>
    </row>
    <row r="35" spans="1:5" ht="12.75">
      <c r="A35" s="14">
        <v>28</v>
      </c>
      <c r="B35" s="15" t="s">
        <v>139</v>
      </c>
      <c r="C35" s="15">
        <v>11100</v>
      </c>
      <c r="D35" s="360">
        <f>C35/'- 3 -'!E35</f>
        <v>0.0017333869694274263</v>
      </c>
      <c r="E35" s="15">
        <f>C35/'- 7 -'!G35</f>
        <v>13.544844417327639</v>
      </c>
    </row>
    <row r="36" spans="1:5" ht="12.75">
      <c r="A36" s="16">
        <v>30</v>
      </c>
      <c r="B36" s="17" t="s">
        <v>140</v>
      </c>
      <c r="C36" s="17">
        <v>11845</v>
      </c>
      <c r="D36" s="361">
        <f>C36/'- 3 -'!E36</f>
        <v>0.001209386637283353</v>
      </c>
      <c r="E36" s="17">
        <f>C36/'- 7 -'!G36</f>
        <v>9.100338045482484</v>
      </c>
    </row>
    <row r="37" spans="1:5" ht="12.75">
      <c r="A37" s="14">
        <v>31</v>
      </c>
      <c r="B37" s="15" t="s">
        <v>141</v>
      </c>
      <c r="C37" s="15">
        <v>3000</v>
      </c>
      <c r="D37" s="360">
        <f>C37/'- 3 -'!E37</f>
        <v>0.0002739429318431812</v>
      </c>
      <c r="E37" s="15">
        <f>C37/'- 7 -'!G37</f>
        <v>1.8518518518518519</v>
      </c>
    </row>
    <row r="38" spans="1:5" ht="12.75">
      <c r="A38" s="16">
        <v>32</v>
      </c>
      <c r="B38" s="17" t="s">
        <v>142</v>
      </c>
      <c r="C38" s="17">
        <v>7500</v>
      </c>
      <c r="D38" s="361">
        <f>C38/'- 3 -'!E38</f>
        <v>0.001090959870132137</v>
      </c>
      <c r="E38" s="17">
        <f>C38/'- 7 -'!G38</f>
        <v>8.933889219773675</v>
      </c>
    </row>
    <row r="39" spans="1:5" ht="12.75">
      <c r="A39" s="14">
        <v>33</v>
      </c>
      <c r="B39" s="15" t="s">
        <v>143</v>
      </c>
      <c r="C39" s="15">
        <v>13000</v>
      </c>
      <c r="D39" s="360">
        <f>C39/'- 3 -'!E39</f>
        <v>0.0009493100560560286</v>
      </c>
      <c r="E39" s="15">
        <f>C39/'- 7 -'!G39</f>
        <v>6.951499919790386</v>
      </c>
    </row>
    <row r="40" spans="1:5" ht="12.75">
      <c r="A40" s="16">
        <v>34</v>
      </c>
      <c r="B40" s="17" t="s">
        <v>144</v>
      </c>
      <c r="C40" s="17">
        <v>5900</v>
      </c>
      <c r="D40" s="361">
        <f>C40/'- 3 -'!E40</f>
        <v>0.001023769320826227</v>
      </c>
      <c r="E40" s="17">
        <f>C40/'- 7 -'!G40</f>
        <v>8.0766598220397</v>
      </c>
    </row>
    <row r="41" spans="1:5" ht="12.75">
      <c r="A41" s="14">
        <v>35</v>
      </c>
      <c r="B41" s="15" t="s">
        <v>145</v>
      </c>
      <c r="C41" s="15">
        <v>20700</v>
      </c>
      <c r="D41" s="360">
        <f>C41/'- 3 -'!E41</f>
        <v>0.0014062568784303836</v>
      </c>
      <c r="E41" s="15">
        <f>C41/'- 7 -'!G41</f>
        <v>10.810528514727388</v>
      </c>
    </row>
    <row r="42" spans="1:5" ht="12.75">
      <c r="A42" s="16">
        <v>36</v>
      </c>
      <c r="B42" s="17" t="s">
        <v>146</v>
      </c>
      <c r="C42" s="17">
        <v>6240</v>
      </c>
      <c r="D42" s="361">
        <f>C42/'- 3 -'!E42</f>
        <v>0.000816967792615868</v>
      </c>
      <c r="E42" s="17">
        <f>C42/'- 7 -'!G42</f>
        <v>6.67379679144385</v>
      </c>
    </row>
    <row r="43" spans="1:5" ht="12.75">
      <c r="A43" s="14">
        <v>37</v>
      </c>
      <c r="B43" s="15" t="s">
        <v>147</v>
      </c>
      <c r="C43" s="15">
        <v>8000</v>
      </c>
      <c r="D43" s="360">
        <f>C43/'- 3 -'!E43</f>
        <v>0.0011552062981847377</v>
      </c>
      <c r="E43" s="15">
        <f>C43/'- 7 -'!G43</f>
        <v>8.676507271997657</v>
      </c>
    </row>
    <row r="44" spans="1:5" ht="12.75">
      <c r="A44" s="16">
        <v>38</v>
      </c>
      <c r="B44" s="17" t="s">
        <v>148</v>
      </c>
      <c r="C44" s="17">
        <v>0</v>
      </c>
      <c r="D44" s="361">
        <f>C44/'- 3 -'!E44</f>
        <v>0</v>
      </c>
      <c r="E44" s="17">
        <f>C44/'- 7 -'!G44</f>
        <v>0</v>
      </c>
    </row>
    <row r="45" spans="1:5" ht="12.75">
      <c r="A45" s="14">
        <v>39</v>
      </c>
      <c r="B45" s="15" t="s">
        <v>149</v>
      </c>
      <c r="C45" s="15">
        <v>0</v>
      </c>
      <c r="D45" s="360">
        <f>C45/'- 3 -'!E45</f>
        <v>0</v>
      </c>
      <c r="E45" s="15">
        <f>C45/'- 7 -'!G45</f>
        <v>0</v>
      </c>
    </row>
    <row r="46" spans="1:5" ht="12.75">
      <c r="A46" s="16">
        <v>40</v>
      </c>
      <c r="B46" s="17" t="s">
        <v>150</v>
      </c>
      <c r="C46" s="17">
        <v>67900</v>
      </c>
      <c r="D46" s="361">
        <f>C46/'- 3 -'!E46</f>
        <v>0.0014531368709404728</v>
      </c>
      <c r="E46" s="17">
        <f>C46/'- 7 -'!G46</f>
        <v>9.173816118354388</v>
      </c>
    </row>
    <row r="47" spans="1:5" ht="12.75">
      <c r="A47" s="14">
        <v>41</v>
      </c>
      <c r="B47" s="15" t="s">
        <v>151</v>
      </c>
      <c r="C47" s="15">
        <v>28110</v>
      </c>
      <c r="D47" s="360">
        <f>C47/'- 3 -'!E47</f>
        <v>0.0022886395385399243</v>
      </c>
      <c r="E47" s="15">
        <f>C47/'- 7 -'!G47</f>
        <v>17.80804561292366</v>
      </c>
    </row>
    <row r="48" spans="1:5" ht="12.75">
      <c r="A48" s="16">
        <v>42</v>
      </c>
      <c r="B48" s="17" t="s">
        <v>152</v>
      </c>
      <c r="C48" s="17">
        <v>8162</v>
      </c>
      <c r="D48" s="361">
        <f>C48/'- 3 -'!E48</f>
        <v>0.0010167984775678958</v>
      </c>
      <c r="E48" s="17">
        <f>C48/'- 7 -'!G48</f>
        <v>7.8443056222969725</v>
      </c>
    </row>
    <row r="49" spans="1:5" ht="12.75">
      <c r="A49" s="14">
        <v>43</v>
      </c>
      <c r="B49" s="15" t="s">
        <v>153</v>
      </c>
      <c r="C49" s="15">
        <v>14000</v>
      </c>
      <c r="D49" s="360">
        <f>C49/'- 3 -'!E49</f>
        <v>0.0021864750898016555</v>
      </c>
      <c r="E49" s="15">
        <f>C49/'- 7 -'!G49</f>
        <v>18.0296200901481</v>
      </c>
    </row>
    <row r="50" spans="1:5" ht="12.75">
      <c r="A50" s="16">
        <v>44</v>
      </c>
      <c r="B50" s="17" t="s">
        <v>154</v>
      </c>
      <c r="C50" s="17">
        <v>0</v>
      </c>
      <c r="D50" s="361">
        <f>C50/'- 3 -'!E50</f>
        <v>0</v>
      </c>
      <c r="E50" s="17">
        <f>C50/'- 7 -'!G50</f>
        <v>0</v>
      </c>
    </row>
    <row r="51" spans="1:5" ht="12.75">
      <c r="A51" s="14">
        <v>45</v>
      </c>
      <c r="B51" s="15" t="s">
        <v>155</v>
      </c>
      <c r="C51" s="15">
        <v>0</v>
      </c>
      <c r="D51" s="360">
        <f>C51/'- 3 -'!E51</f>
        <v>0</v>
      </c>
      <c r="E51" s="15">
        <f>C51/'- 7 -'!G51</f>
        <v>0</v>
      </c>
    </row>
    <row r="52" spans="1:5" ht="12.75">
      <c r="A52" s="16">
        <v>46</v>
      </c>
      <c r="B52" s="17" t="s">
        <v>156</v>
      </c>
      <c r="C52" s="17">
        <v>7445</v>
      </c>
      <c r="D52" s="361">
        <f>C52/'- 3 -'!E52</f>
        <v>0.0007021519519069768</v>
      </c>
      <c r="E52" s="17">
        <f>C52/'- 7 -'!G52</f>
        <v>4.960026648900733</v>
      </c>
    </row>
    <row r="53" spans="1:5" ht="12.75">
      <c r="A53" s="14">
        <v>47</v>
      </c>
      <c r="B53" s="15" t="s">
        <v>157</v>
      </c>
      <c r="C53" s="15">
        <v>7500</v>
      </c>
      <c r="D53" s="360">
        <f>C53/'- 3 -'!E53</f>
        <v>0.0007831678638866783</v>
      </c>
      <c r="E53" s="15">
        <f>C53/'- 7 -'!G53</f>
        <v>5.2854122621564485</v>
      </c>
    </row>
    <row r="54" spans="1:5" ht="12.75">
      <c r="A54" s="16">
        <v>48</v>
      </c>
      <c r="B54" s="17" t="s">
        <v>158</v>
      </c>
      <c r="C54" s="17">
        <v>150691</v>
      </c>
      <c r="D54" s="361">
        <f>C54/'- 3 -'!E54</f>
        <v>0.0024277228416963795</v>
      </c>
      <c r="E54" s="17">
        <f>C54/'- 7 -'!G54</f>
        <v>29.034874759152217</v>
      </c>
    </row>
    <row r="55" spans="1:5" ht="12.75">
      <c r="A55" s="14">
        <v>49</v>
      </c>
      <c r="B55" s="15" t="s">
        <v>159</v>
      </c>
      <c r="C55" s="15">
        <v>29455</v>
      </c>
      <c r="D55" s="360">
        <f>C55/'- 3 -'!E55</f>
        <v>0.000733583385107144</v>
      </c>
      <c r="E55" s="15">
        <f>C55/'- 7 -'!G55</f>
        <v>6.802540415704388</v>
      </c>
    </row>
    <row r="56" spans="1:5" ht="12.75">
      <c r="A56" s="16">
        <v>50</v>
      </c>
      <c r="B56" s="17" t="s">
        <v>340</v>
      </c>
      <c r="C56" s="17">
        <v>6000</v>
      </c>
      <c r="D56" s="361">
        <f>C56/'- 3 -'!E56</f>
        <v>0.000416276407534603</v>
      </c>
      <c r="E56" s="17">
        <f>C56/'- 7 -'!G56</f>
        <v>3.485332558814987</v>
      </c>
    </row>
    <row r="57" spans="1:5" ht="12.75">
      <c r="A57" s="14">
        <v>2264</v>
      </c>
      <c r="B57" s="15" t="s">
        <v>160</v>
      </c>
      <c r="C57" s="15">
        <v>0</v>
      </c>
      <c r="D57" s="360">
        <f>C57/'- 3 -'!E57</f>
        <v>0</v>
      </c>
      <c r="E57" s="15">
        <f>C57/'- 7 -'!G57</f>
        <v>0</v>
      </c>
    </row>
    <row r="58" spans="1:5" ht="12.75">
      <c r="A58" s="16">
        <v>2309</v>
      </c>
      <c r="B58" s="17" t="s">
        <v>161</v>
      </c>
      <c r="C58" s="17">
        <v>3000</v>
      </c>
      <c r="D58" s="361">
        <f>C58/'- 3 -'!E58</f>
        <v>0.001425008229422525</v>
      </c>
      <c r="E58" s="17">
        <f>C58/'- 7 -'!G58</f>
        <v>11.46350783339702</v>
      </c>
    </row>
    <row r="59" spans="1:5" ht="12.75">
      <c r="A59" s="14">
        <v>2312</v>
      </c>
      <c r="B59" s="15" t="s">
        <v>162</v>
      </c>
      <c r="C59" s="15">
        <v>2000</v>
      </c>
      <c r="D59" s="360">
        <f>C59/'- 3 -'!E59</f>
        <v>0.0012826531423719336</v>
      </c>
      <c r="E59" s="15">
        <f>C59/'- 7 -'!G59</f>
        <v>11.527377521613833</v>
      </c>
    </row>
    <row r="60" spans="1:5" ht="12.75">
      <c r="A60" s="16">
        <v>2355</v>
      </c>
      <c r="B60" s="17" t="s">
        <v>163</v>
      </c>
      <c r="C60" s="17">
        <v>0</v>
      </c>
      <c r="D60" s="361">
        <f>C60/'- 3 -'!E60</f>
        <v>0</v>
      </c>
      <c r="E60" s="17">
        <f>C60/'- 7 -'!G60</f>
        <v>0</v>
      </c>
    </row>
    <row r="61" spans="1:5" ht="12.75">
      <c r="A61" s="14">
        <v>2439</v>
      </c>
      <c r="B61" s="15" t="s">
        <v>164</v>
      </c>
      <c r="C61" s="15">
        <v>0</v>
      </c>
      <c r="D61" s="360">
        <f>C61/'- 3 -'!E61</f>
        <v>0</v>
      </c>
      <c r="E61" s="15">
        <f>C61/'- 7 -'!G61</f>
        <v>0</v>
      </c>
    </row>
    <row r="62" spans="1:5" ht="12.75">
      <c r="A62" s="16">
        <v>2460</v>
      </c>
      <c r="B62" s="17" t="s">
        <v>165</v>
      </c>
      <c r="C62" s="17">
        <v>0</v>
      </c>
      <c r="D62" s="361">
        <f>C62/'- 3 -'!E62</f>
        <v>0</v>
      </c>
      <c r="E62" s="17">
        <f>C62/'- 7 -'!G62</f>
        <v>0</v>
      </c>
    </row>
    <row r="63" spans="1:5" ht="12.75">
      <c r="A63" s="14">
        <v>3000</v>
      </c>
      <c r="B63" s="15" t="s">
        <v>363</v>
      </c>
      <c r="C63" s="15">
        <v>239391</v>
      </c>
      <c r="D63" s="360">
        <f>C63/'- 3 -'!E63</f>
        <v>0.033101306665822276</v>
      </c>
      <c r="E63" s="15">
        <f>C63/'- 7 -'!G63</f>
        <v>299.1639590102474</v>
      </c>
    </row>
    <row r="64" spans="1:5" ht="4.5" customHeight="1">
      <c r="A64" s="18"/>
      <c r="B64" s="18"/>
      <c r="C64" s="18"/>
      <c r="D64" s="198"/>
      <c r="E64" s="18"/>
    </row>
    <row r="65" spans="1:6" ht="12.75">
      <c r="A65" s="20"/>
      <c r="B65" s="21" t="s">
        <v>166</v>
      </c>
      <c r="C65" s="21">
        <f>SUM(C11:C63)</f>
        <v>2760137</v>
      </c>
      <c r="D65" s="103">
        <f>C65/'- 3 -'!E65</f>
        <v>0.0020425248994067483</v>
      </c>
      <c r="E65" s="21">
        <f>C65/'- 7 -'!G65</f>
        <v>15.258266792257343</v>
      </c>
      <c r="F65" s="77"/>
    </row>
    <row r="66" spans="1:5" ht="4.5" customHeight="1">
      <c r="A66" s="18"/>
      <c r="B66" s="18"/>
      <c r="C66" s="18"/>
      <c r="D66" s="198"/>
      <c r="E66" s="18"/>
    </row>
    <row r="67" spans="1:5" ht="12.75">
      <c r="A67" s="16">
        <v>2155</v>
      </c>
      <c r="B67" s="17" t="s">
        <v>167</v>
      </c>
      <c r="C67" s="17">
        <v>0</v>
      </c>
      <c r="D67" s="361">
        <f>C67/'- 3 -'!E67</f>
        <v>0</v>
      </c>
      <c r="E67" s="17">
        <f>C67/'- 7 -'!G67</f>
        <v>0</v>
      </c>
    </row>
    <row r="68" spans="1:5" ht="12.75">
      <c r="A68" s="14">
        <v>2408</v>
      </c>
      <c r="B68" s="15" t="s">
        <v>169</v>
      </c>
      <c r="C68" s="15">
        <v>0</v>
      </c>
      <c r="D68" s="360">
        <f>C68/'- 3 -'!E68</f>
        <v>0</v>
      </c>
      <c r="E68" s="15">
        <f>C68/'- 7 -'!G68</f>
        <v>0</v>
      </c>
    </row>
    <row r="69" ht="6.75" customHeight="1"/>
    <row r="70" spans="1:2" ht="12" customHeight="1">
      <c r="A70" s="7"/>
      <c r="B70" s="7"/>
    </row>
    <row r="71" spans="1:2" ht="12" customHeight="1">
      <c r="A71" s="7"/>
      <c r="B71" s="7"/>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8"/>
      <c r="B1" s="80"/>
      <c r="C1" s="142"/>
      <c r="D1" s="142"/>
      <c r="E1" s="142"/>
      <c r="F1" s="142"/>
      <c r="G1" s="142"/>
      <c r="H1" s="142"/>
      <c r="I1" s="142"/>
      <c r="J1" s="142"/>
      <c r="K1" s="142"/>
    </row>
    <row r="2" spans="1:11" ht="12.75">
      <c r="A2" s="9"/>
      <c r="B2" s="83"/>
      <c r="C2" s="200" t="s">
        <v>0</v>
      </c>
      <c r="D2" s="200"/>
      <c r="E2" s="201"/>
      <c r="F2" s="200"/>
      <c r="G2" s="200"/>
      <c r="H2" s="200"/>
      <c r="I2" s="215"/>
      <c r="J2" s="215"/>
      <c r="K2" s="219" t="s">
        <v>436</v>
      </c>
    </row>
    <row r="3" spans="1:11" ht="12.75">
      <c r="A3" s="10"/>
      <c r="B3" s="86"/>
      <c r="C3" s="203" t="str">
        <f>YEAR</f>
        <v>OPERATING FUND BUDGET 2002/2003</v>
      </c>
      <c r="D3" s="203"/>
      <c r="E3" s="204"/>
      <c r="F3" s="203"/>
      <c r="G3" s="203"/>
      <c r="H3" s="203"/>
      <c r="I3" s="216"/>
      <c r="J3" s="216"/>
      <c r="K3" s="203"/>
    </row>
    <row r="4" spans="1:11" ht="12.75">
      <c r="A4" s="11"/>
      <c r="C4" s="142"/>
      <c r="D4" s="142"/>
      <c r="E4" s="142"/>
      <c r="F4" s="142"/>
      <c r="G4" s="142"/>
      <c r="H4" s="142"/>
      <c r="I4" s="142"/>
      <c r="J4" s="142"/>
      <c r="K4" s="142"/>
    </row>
    <row r="5" spans="1:11" ht="16.5">
      <c r="A5" s="11"/>
      <c r="C5" s="341" t="s">
        <v>13</v>
      </c>
      <c r="D5" s="221"/>
      <c r="E5" s="234"/>
      <c r="F5" s="234"/>
      <c r="G5" s="234"/>
      <c r="H5" s="234"/>
      <c r="I5" s="234"/>
      <c r="J5" s="234"/>
      <c r="K5" s="235"/>
    </row>
    <row r="6" spans="1:11" ht="12.75">
      <c r="A6" s="11"/>
      <c r="C6" s="68" t="s">
        <v>23</v>
      </c>
      <c r="D6" s="66"/>
      <c r="E6" s="67"/>
      <c r="F6" s="68" t="s">
        <v>469</v>
      </c>
      <c r="G6" s="66"/>
      <c r="H6" s="67"/>
      <c r="I6" s="68" t="s">
        <v>22</v>
      </c>
      <c r="J6" s="66"/>
      <c r="K6" s="67"/>
    </row>
    <row r="7" spans="3:11" ht="16.5">
      <c r="C7" s="69" t="s">
        <v>53</v>
      </c>
      <c r="D7" s="70"/>
      <c r="E7" s="71"/>
      <c r="F7" s="69" t="s">
        <v>470</v>
      </c>
      <c r="G7" s="70"/>
      <c r="H7" s="71"/>
      <c r="I7" s="69" t="s">
        <v>52</v>
      </c>
      <c r="J7" s="70"/>
      <c r="K7" s="71"/>
    </row>
    <row r="8" spans="1:11" ht="12.75">
      <c r="A8" s="94"/>
      <c r="B8" s="46"/>
      <c r="C8" s="142"/>
      <c r="D8" s="228"/>
      <c r="E8" s="229" t="s">
        <v>75</v>
      </c>
      <c r="F8" s="73"/>
      <c r="G8" s="74"/>
      <c r="H8" s="229" t="s">
        <v>75</v>
      </c>
      <c r="I8" s="73"/>
      <c r="J8" s="74"/>
      <c r="K8" s="229" t="s">
        <v>75</v>
      </c>
    </row>
    <row r="9" spans="1:11" ht="12.75">
      <c r="A9" s="52" t="s">
        <v>100</v>
      </c>
      <c r="B9" s="53" t="s">
        <v>101</v>
      </c>
      <c r="C9" s="75" t="s">
        <v>102</v>
      </c>
      <c r="D9" s="76" t="s">
        <v>103</v>
      </c>
      <c r="E9" s="76" t="s">
        <v>104</v>
      </c>
      <c r="F9" s="76" t="s">
        <v>102</v>
      </c>
      <c r="G9" s="76" t="s">
        <v>103</v>
      </c>
      <c r="H9" s="76" t="s">
        <v>104</v>
      </c>
      <c r="I9" s="76" t="s">
        <v>102</v>
      </c>
      <c r="J9" s="76" t="s">
        <v>103</v>
      </c>
      <c r="K9" s="76" t="s">
        <v>104</v>
      </c>
    </row>
    <row r="10" spans="1:2" ht="4.5" customHeight="1">
      <c r="A10" s="77"/>
      <c r="B10" s="77"/>
    </row>
    <row r="11" spans="1:11" ht="12.75">
      <c r="A11" s="14">
        <v>1</v>
      </c>
      <c r="B11" s="15" t="s">
        <v>115</v>
      </c>
      <c r="C11" s="15">
        <v>778900</v>
      </c>
      <c r="D11" s="360">
        <f>C11/'- 3 -'!E11</f>
        <v>0.0030646351179878617</v>
      </c>
      <c r="E11" s="15">
        <f>C11/'- 7 -'!G11</f>
        <v>25.192444530694093</v>
      </c>
      <c r="F11" s="15">
        <v>3235300</v>
      </c>
      <c r="G11" s="360">
        <f>F11/'- 3 -'!E11</f>
        <v>0.012729508277347708</v>
      </c>
      <c r="H11" s="15">
        <f>F11/'- 7 -'!G11</f>
        <v>104.64130926968109</v>
      </c>
      <c r="I11" s="15">
        <v>2206400</v>
      </c>
      <c r="J11" s="360">
        <f>I11/'- 3 -'!E11</f>
        <v>0.008681231126368491</v>
      </c>
      <c r="K11" s="15">
        <f>I11/'- 7 -'!G11</f>
        <v>71.36296008797464</v>
      </c>
    </row>
    <row r="12" spans="1:11" ht="12.75">
      <c r="A12" s="16">
        <v>2</v>
      </c>
      <c r="B12" s="17" t="s">
        <v>116</v>
      </c>
      <c r="C12" s="17">
        <v>424080</v>
      </c>
      <c r="D12" s="361">
        <f>C12/'- 3 -'!E12</f>
        <v>0.006751577851767904</v>
      </c>
      <c r="E12" s="17">
        <f>C12/'- 7 -'!G12</f>
        <v>46.36882503444204</v>
      </c>
      <c r="F12" s="17">
        <v>847627</v>
      </c>
      <c r="G12" s="361">
        <f>F12/'- 3 -'!E12</f>
        <v>0.013494670061687591</v>
      </c>
      <c r="H12" s="17">
        <f>F12/'- 7 -'!G12</f>
        <v>92.6793719521529</v>
      </c>
      <c r="I12" s="17">
        <v>803038</v>
      </c>
      <c r="J12" s="361">
        <f>I12/'- 3 -'!E12</f>
        <v>0.01278478960320693</v>
      </c>
      <c r="K12" s="17">
        <f>I12/'- 7 -'!G12</f>
        <v>87.80401933127776</v>
      </c>
    </row>
    <row r="13" spans="1:11" ht="12.75">
      <c r="A13" s="14">
        <v>3</v>
      </c>
      <c r="B13" s="15" t="s">
        <v>117</v>
      </c>
      <c r="C13" s="15">
        <v>352482</v>
      </c>
      <c r="D13" s="360">
        <f>C13/'- 3 -'!E13</f>
        <v>0.00795168521395141</v>
      </c>
      <c r="E13" s="15">
        <f>C13/'- 7 -'!G13</f>
        <v>61.34922983204247</v>
      </c>
      <c r="F13" s="15">
        <v>1119140</v>
      </c>
      <c r="G13" s="360">
        <f>F13/'- 3 -'!E13</f>
        <v>0.025246818249844195</v>
      </c>
      <c r="H13" s="15">
        <f>F13/'- 7 -'!G13</f>
        <v>194.78548429205466</v>
      </c>
      <c r="I13" s="15">
        <v>335568</v>
      </c>
      <c r="J13" s="360">
        <f>I13/'- 3 -'!E13</f>
        <v>0.0075701201873436</v>
      </c>
      <c r="K13" s="15">
        <f>I13/'- 7 -'!G13</f>
        <v>58.405360717082935</v>
      </c>
    </row>
    <row r="14" spans="1:11" ht="12.75">
      <c r="A14" s="16">
        <v>4</v>
      </c>
      <c r="B14" s="17" t="s">
        <v>118</v>
      </c>
      <c r="C14" s="17">
        <v>126838</v>
      </c>
      <c r="D14" s="361">
        <f>C14/'- 3 -'!E14</f>
        <v>0.0029125626590306907</v>
      </c>
      <c r="E14" s="17">
        <f>C14/'- 7 -'!G14</f>
        <v>20.362497993257346</v>
      </c>
      <c r="F14" s="17">
        <v>979459</v>
      </c>
      <c r="G14" s="361">
        <f>F14/'- 3 -'!E14</f>
        <v>0.022491175432059328</v>
      </c>
      <c r="H14" s="17">
        <f>F14/'- 7 -'!G14</f>
        <v>157.24177235511317</v>
      </c>
      <c r="I14" s="17">
        <v>621114</v>
      </c>
      <c r="J14" s="361">
        <f>I14/'- 3 -'!E14</f>
        <v>0.014262550997344553</v>
      </c>
      <c r="K14" s="17">
        <f>I14/'- 7 -'!G14</f>
        <v>99.71327660940761</v>
      </c>
    </row>
    <row r="15" spans="1:11" ht="12.75">
      <c r="A15" s="14">
        <v>5</v>
      </c>
      <c r="B15" s="15" t="s">
        <v>119</v>
      </c>
      <c r="C15" s="15">
        <v>93589</v>
      </c>
      <c r="D15" s="360">
        <f>C15/'- 3 -'!E15</f>
        <v>0.0017265339183601403</v>
      </c>
      <c r="E15" s="15">
        <f>C15/'- 7 -'!G15</f>
        <v>12.947222798644255</v>
      </c>
      <c r="F15" s="15">
        <v>1682222</v>
      </c>
      <c r="G15" s="360">
        <f>F15/'- 3 -'!E15</f>
        <v>0.031033704187582212</v>
      </c>
      <c r="H15" s="15">
        <f>F15/'- 7 -'!G15</f>
        <v>232.720758110258</v>
      </c>
      <c r="I15" s="15">
        <v>671696</v>
      </c>
      <c r="J15" s="360">
        <f>I15/'- 3 -'!E15</f>
        <v>0.01239147684906167</v>
      </c>
      <c r="K15" s="15">
        <f>I15/'- 7 -'!G15</f>
        <v>92.92328975582762</v>
      </c>
    </row>
    <row r="16" spans="1:11" ht="12.75">
      <c r="A16" s="16">
        <v>6</v>
      </c>
      <c r="B16" s="17" t="s">
        <v>120</v>
      </c>
      <c r="C16" s="17">
        <v>370944</v>
      </c>
      <c r="D16" s="361">
        <f>C16/'- 3 -'!E16</f>
        <v>0.005952711262724718</v>
      </c>
      <c r="E16" s="17">
        <f>C16/'- 7 -'!G16</f>
        <v>41.73772151898734</v>
      </c>
      <c r="F16" s="17">
        <v>1505236</v>
      </c>
      <c r="G16" s="361">
        <f>F16/'- 3 -'!E16</f>
        <v>0.024155223673273333</v>
      </c>
      <c r="H16" s="17">
        <f>F16/'- 7 -'!G16</f>
        <v>169.36551336146272</v>
      </c>
      <c r="I16" s="17">
        <v>1145379</v>
      </c>
      <c r="J16" s="361">
        <f>I16/'- 3 -'!E16</f>
        <v>0.018380430667131357</v>
      </c>
      <c r="K16" s="17">
        <f>I16/'- 7 -'!G16</f>
        <v>128.87527426160338</v>
      </c>
    </row>
    <row r="17" spans="1:11" ht="12.75">
      <c r="A17" s="14">
        <v>9</v>
      </c>
      <c r="B17" s="15" t="s">
        <v>121</v>
      </c>
      <c r="C17" s="15">
        <v>632446</v>
      </c>
      <c r="D17" s="360">
        <f>C17/'- 3 -'!E17</f>
        <v>0.007539365673850283</v>
      </c>
      <c r="E17" s="15">
        <f>C17/'- 7 -'!G17</f>
        <v>50.983151954856915</v>
      </c>
      <c r="F17" s="15">
        <v>2521645</v>
      </c>
      <c r="G17" s="360">
        <f>F17/'- 3 -'!E17</f>
        <v>0.03006043797357592</v>
      </c>
      <c r="H17" s="15">
        <f>F17/'- 7 -'!G17</f>
        <v>203.2765014107215</v>
      </c>
      <c r="I17" s="15">
        <v>520390</v>
      </c>
      <c r="J17" s="360">
        <f>I17/'- 3 -'!E17</f>
        <v>0.006203550189288807</v>
      </c>
      <c r="K17" s="15">
        <f>I17/'- 7 -'!G17</f>
        <v>41.95002015316405</v>
      </c>
    </row>
    <row r="18" spans="1:11" ht="12.75">
      <c r="A18" s="16">
        <v>10</v>
      </c>
      <c r="B18" s="17" t="s">
        <v>122</v>
      </c>
      <c r="C18" s="17">
        <v>123322</v>
      </c>
      <c r="D18" s="361">
        <f>C18/'- 3 -'!E18</f>
        <v>0.001990786385805465</v>
      </c>
      <c r="E18" s="17">
        <f>C18/'- 7 -'!G18</f>
        <v>14.299031827932055</v>
      </c>
      <c r="F18" s="17">
        <v>1175485</v>
      </c>
      <c r="G18" s="361">
        <f>F18/'- 3 -'!E18</f>
        <v>0.018975848062134388</v>
      </c>
      <c r="H18" s="17">
        <f>F18/'- 7 -'!G18</f>
        <v>136.2960171604151</v>
      </c>
      <c r="I18" s="17">
        <v>394681</v>
      </c>
      <c r="J18" s="361">
        <f>I18/'- 3 -'!E18</f>
        <v>0.0063713332701066045</v>
      </c>
      <c r="K18" s="17">
        <f>I18/'- 7 -'!G18</f>
        <v>45.76276885616557</v>
      </c>
    </row>
    <row r="19" spans="1:11" ht="12.75">
      <c r="A19" s="14">
        <v>11</v>
      </c>
      <c r="B19" s="15" t="s">
        <v>123</v>
      </c>
      <c r="C19" s="15">
        <v>232010</v>
      </c>
      <c r="D19" s="360">
        <f>C19/'- 3 -'!E19</f>
        <v>0.006956064452354961</v>
      </c>
      <c r="E19" s="15">
        <f>C19/'- 7 -'!G19</f>
        <v>49.39535873962104</v>
      </c>
      <c r="F19" s="15">
        <v>464245</v>
      </c>
      <c r="G19" s="360">
        <f>F19/'- 3 -'!E19</f>
        <v>0.013918874797136023</v>
      </c>
      <c r="H19" s="15">
        <f>F19/'- 7 -'!G19</f>
        <v>98.83862039599744</v>
      </c>
      <c r="I19" s="15">
        <v>158695</v>
      </c>
      <c r="J19" s="360">
        <f>I19/'- 3 -'!E19</f>
        <v>0.004757952882489852</v>
      </c>
      <c r="K19" s="15">
        <f>I19/'- 7 -'!G19</f>
        <v>33.78645944219715</v>
      </c>
    </row>
    <row r="20" spans="1:11" ht="12.75">
      <c r="A20" s="16">
        <v>12</v>
      </c>
      <c r="B20" s="17" t="s">
        <v>124</v>
      </c>
      <c r="C20" s="17">
        <v>475083</v>
      </c>
      <c r="D20" s="361">
        <f>C20/'- 3 -'!E20</f>
        <v>0.009075239194883055</v>
      </c>
      <c r="E20" s="17">
        <f>C20/'- 7 -'!G20</f>
        <v>62.23251244432801</v>
      </c>
      <c r="F20" s="17">
        <v>719674</v>
      </c>
      <c r="G20" s="361">
        <f>F20/'- 3 -'!E20</f>
        <v>0.013747521364347426</v>
      </c>
      <c r="H20" s="17">
        <f>F20/'- 7 -'!G20</f>
        <v>94.27220330102175</v>
      </c>
      <c r="I20" s="17">
        <v>453182</v>
      </c>
      <c r="J20" s="361">
        <f>I20/'- 3 -'!E20</f>
        <v>0.008656876901121473</v>
      </c>
      <c r="K20" s="17">
        <f>I20/'- 7 -'!G20</f>
        <v>59.36363636363637</v>
      </c>
    </row>
    <row r="21" spans="1:11" ht="12.75">
      <c r="A21" s="14">
        <v>13</v>
      </c>
      <c r="B21" s="15" t="s">
        <v>125</v>
      </c>
      <c r="C21" s="15">
        <v>64456</v>
      </c>
      <c r="D21" s="360">
        <f>C21/'- 3 -'!E21</f>
        <v>0.003067271834539396</v>
      </c>
      <c r="E21" s="15">
        <f>C21/'- 7 -'!G21</f>
        <v>24.601526717557253</v>
      </c>
      <c r="F21" s="15">
        <v>248156</v>
      </c>
      <c r="G21" s="360">
        <f>F21/'- 3 -'!E21</f>
        <v>0.011809015597802506</v>
      </c>
      <c r="H21" s="15">
        <f>F21/'- 7 -'!G21</f>
        <v>94.71603053435115</v>
      </c>
      <c r="I21" s="15">
        <v>76405</v>
      </c>
      <c r="J21" s="360">
        <f>I21/'- 3 -'!E21</f>
        <v>0.003635889669200424</v>
      </c>
      <c r="K21" s="15">
        <f>I21/'- 7 -'!G21</f>
        <v>29.162213740458014</v>
      </c>
    </row>
    <row r="22" spans="1:11" ht="12.75">
      <c r="A22" s="16">
        <v>14</v>
      </c>
      <c r="B22" s="17" t="s">
        <v>126</v>
      </c>
      <c r="C22" s="17">
        <v>136160</v>
      </c>
      <c r="D22" s="361">
        <f>C22/'- 3 -'!E22</f>
        <v>0.005719699361242828</v>
      </c>
      <c r="E22" s="17">
        <f>C22/'- 7 -'!G22</f>
        <v>39.76635514018692</v>
      </c>
      <c r="F22" s="17">
        <v>299797</v>
      </c>
      <c r="G22" s="361">
        <f>F22/'- 3 -'!E22</f>
        <v>0.0125936303569515</v>
      </c>
      <c r="H22" s="17">
        <f>F22/'- 7 -'!G22</f>
        <v>87.55753504672897</v>
      </c>
      <c r="I22" s="17">
        <v>104014</v>
      </c>
      <c r="J22" s="361">
        <f>I22/'- 3 -'!E22</f>
        <v>0.004369336143950584</v>
      </c>
      <c r="K22" s="17">
        <f>I22/'- 7 -'!G22</f>
        <v>30.377920560747665</v>
      </c>
    </row>
    <row r="23" spans="1:11" ht="12.75">
      <c r="A23" s="14">
        <v>15</v>
      </c>
      <c r="B23" s="15" t="s">
        <v>127</v>
      </c>
      <c r="C23" s="15">
        <v>60038</v>
      </c>
      <c r="D23" s="360">
        <f>C23/'- 3 -'!E23</f>
        <v>0.0017663661674888066</v>
      </c>
      <c r="E23" s="15">
        <f>C23/'- 7 -'!G23</f>
        <v>9.88768115942029</v>
      </c>
      <c r="F23" s="15">
        <v>472974</v>
      </c>
      <c r="G23" s="360">
        <f>F23/'- 3 -'!E23</f>
        <v>0.013915274854289795</v>
      </c>
      <c r="H23" s="15">
        <f>F23/'- 7 -'!G23</f>
        <v>77.89426877470356</v>
      </c>
      <c r="I23" s="15">
        <v>144894</v>
      </c>
      <c r="J23" s="360">
        <f>I23/'- 3 -'!E23</f>
        <v>0.004262897822581084</v>
      </c>
      <c r="K23" s="15">
        <f>I23/'- 7 -'!G23</f>
        <v>23.862648221343875</v>
      </c>
    </row>
    <row r="24" spans="1:11" ht="12.75">
      <c r="A24" s="16">
        <v>16</v>
      </c>
      <c r="B24" s="17" t="s">
        <v>128</v>
      </c>
      <c r="C24" s="17">
        <v>0</v>
      </c>
      <c r="D24" s="361">
        <f>C24/'- 3 -'!E24</f>
        <v>0</v>
      </c>
      <c r="E24" s="17">
        <f>C24/'- 7 -'!G24</f>
        <v>0</v>
      </c>
      <c r="F24" s="17">
        <v>91635</v>
      </c>
      <c r="G24" s="361">
        <f>F24/'- 3 -'!E24</f>
        <v>0.014683601909100596</v>
      </c>
      <c r="H24" s="17">
        <f>F24/'- 7 -'!G24</f>
        <v>110.13822115384616</v>
      </c>
      <c r="I24" s="17">
        <v>28020</v>
      </c>
      <c r="J24" s="361">
        <f>I24/'- 3 -'!E24</f>
        <v>0.004489927707677184</v>
      </c>
      <c r="K24" s="17">
        <f>I24/'- 7 -'!G24</f>
        <v>33.67788461538461</v>
      </c>
    </row>
    <row r="25" spans="1:11" ht="12.75">
      <c r="A25" s="14">
        <v>17</v>
      </c>
      <c r="B25" s="15" t="s">
        <v>129</v>
      </c>
      <c r="C25" s="15">
        <v>0</v>
      </c>
      <c r="D25" s="360">
        <f>C25/'- 3 -'!E25</f>
        <v>0</v>
      </c>
      <c r="E25" s="15">
        <f>C25/'- 7 -'!G25</f>
        <v>0</v>
      </c>
      <c r="F25" s="15">
        <v>57550</v>
      </c>
      <c r="G25" s="360">
        <f>F25/'- 3 -'!E25</f>
        <v>0.01292564508626717</v>
      </c>
      <c r="H25" s="15">
        <f>F25/'- 7 -'!G25</f>
        <v>117.47295366401308</v>
      </c>
      <c r="I25" s="15">
        <v>24000</v>
      </c>
      <c r="J25" s="360">
        <f>I25/'- 3 -'!E25</f>
        <v>0.005390364588538872</v>
      </c>
      <c r="K25" s="15">
        <f>I25/'- 7 -'!G25</f>
        <v>48.98958971218616</v>
      </c>
    </row>
    <row r="26" spans="1:11" ht="12.75">
      <c r="A26" s="16">
        <v>18</v>
      </c>
      <c r="B26" s="17" t="s">
        <v>130</v>
      </c>
      <c r="C26" s="17">
        <v>0</v>
      </c>
      <c r="D26" s="361">
        <f>C26/'- 3 -'!E26</f>
        <v>0</v>
      </c>
      <c r="E26" s="17">
        <f>C26/'- 7 -'!G26</f>
        <v>0</v>
      </c>
      <c r="F26" s="17">
        <v>136620.37</v>
      </c>
      <c r="G26" s="361">
        <f>F26/'- 3 -'!E26</f>
        <v>0.013937456872741078</v>
      </c>
      <c r="H26" s="17">
        <f>F26/'- 7 -'!G26</f>
        <v>97.58597857142857</v>
      </c>
      <c r="I26" s="17">
        <v>47000</v>
      </c>
      <c r="J26" s="361">
        <f>I26/'- 3 -'!E26</f>
        <v>0.004794749663017533</v>
      </c>
      <c r="K26" s="17">
        <f>I26/'- 7 -'!G26</f>
        <v>33.57142857142857</v>
      </c>
    </row>
    <row r="27" spans="1:11" ht="12.75">
      <c r="A27" s="14">
        <v>19</v>
      </c>
      <c r="B27" s="15" t="s">
        <v>131</v>
      </c>
      <c r="C27" s="15">
        <v>32500</v>
      </c>
      <c r="D27" s="360">
        <f>C27/'- 3 -'!E27</f>
        <v>0.002617192863357971</v>
      </c>
      <c r="E27" s="15">
        <f>C27/'- 7 -'!G27</f>
        <v>17.921146953405017</v>
      </c>
      <c r="F27" s="15">
        <v>167000</v>
      </c>
      <c r="G27" s="360">
        <f>F27/'- 3 -'!E27</f>
        <v>0.01344834486710096</v>
      </c>
      <c r="H27" s="15">
        <f>F27/'- 7 -'!G27</f>
        <v>92.08712434518885</v>
      </c>
      <c r="I27" s="15">
        <v>83100</v>
      </c>
      <c r="J27" s="360">
        <f>I27/'- 3 -'!E27</f>
        <v>0.006691960829078382</v>
      </c>
      <c r="K27" s="15">
        <f>I27/'- 7 -'!G27</f>
        <v>45.82299421009098</v>
      </c>
    </row>
    <row r="28" spans="1:11" ht="12.75">
      <c r="A28" s="16">
        <v>20</v>
      </c>
      <c r="B28" s="17" t="s">
        <v>132</v>
      </c>
      <c r="C28" s="17">
        <v>0</v>
      </c>
      <c r="D28" s="361">
        <f>C28/'- 3 -'!E28</f>
        <v>0</v>
      </c>
      <c r="E28" s="17">
        <f>C28/'- 7 -'!G28</f>
        <v>0</v>
      </c>
      <c r="F28" s="17">
        <v>88741</v>
      </c>
      <c r="G28" s="361">
        <f>F28/'- 3 -'!E28</f>
        <v>0.011228704263379867</v>
      </c>
      <c r="H28" s="17">
        <f>F28/'- 7 -'!G28</f>
        <v>93.12729562388498</v>
      </c>
      <c r="I28" s="17">
        <v>115000</v>
      </c>
      <c r="J28" s="361">
        <f>I28/'- 3 -'!E28</f>
        <v>0.014551345942559638</v>
      </c>
      <c r="K28" s="17">
        <f>I28/'- 7 -'!G28</f>
        <v>120.68422709623255</v>
      </c>
    </row>
    <row r="29" spans="1:11" ht="12.75">
      <c r="A29" s="14">
        <v>21</v>
      </c>
      <c r="B29" s="15" t="s">
        <v>133</v>
      </c>
      <c r="C29" s="15">
        <v>162925</v>
      </c>
      <c r="D29" s="360">
        <f>C29/'- 3 -'!E29</f>
        <v>0.006934159005788219</v>
      </c>
      <c r="E29" s="15">
        <f>C29/'- 7 -'!G29</f>
        <v>48.619814980602804</v>
      </c>
      <c r="F29" s="15">
        <v>410000</v>
      </c>
      <c r="G29" s="360">
        <f>F29/'- 3 -'!E29</f>
        <v>0.017449778685733743</v>
      </c>
      <c r="H29" s="15">
        <f>F29/'- 7 -'!G29</f>
        <v>122.35153685467024</v>
      </c>
      <c r="I29" s="15">
        <v>118872</v>
      </c>
      <c r="J29" s="360">
        <f>I29/'- 3 -'!E29</f>
        <v>0.005059244126659857</v>
      </c>
      <c r="K29" s="15">
        <f>I29/'- 7 -'!G29</f>
        <v>35.473589973142346</v>
      </c>
    </row>
    <row r="30" spans="1:11" ht="12.75">
      <c r="A30" s="16">
        <v>22</v>
      </c>
      <c r="B30" s="17" t="s">
        <v>134</v>
      </c>
      <c r="C30" s="17">
        <v>95650</v>
      </c>
      <c r="D30" s="361">
        <f>C30/'- 3 -'!E30</f>
        <v>0.00768043666313653</v>
      </c>
      <c r="E30" s="17">
        <f>C30/'- 7 -'!G30</f>
        <v>57.98726886935435</v>
      </c>
      <c r="F30" s="17">
        <v>163850</v>
      </c>
      <c r="G30" s="361">
        <f>F30/'- 3 -'!E30</f>
        <v>0.013156712464766549</v>
      </c>
      <c r="H30" s="17">
        <f>F30/'- 7 -'!G30</f>
        <v>99.33313125189451</v>
      </c>
      <c r="I30" s="17">
        <v>66065</v>
      </c>
      <c r="J30" s="361">
        <f>I30/'- 3 -'!E30</f>
        <v>0.00530484106795729</v>
      </c>
      <c r="K30" s="17">
        <f>I30/'- 7 -'!G30</f>
        <v>40.05153076689906</v>
      </c>
    </row>
    <row r="31" spans="1:11" ht="12.75">
      <c r="A31" s="14">
        <v>23</v>
      </c>
      <c r="B31" s="15" t="s">
        <v>135</v>
      </c>
      <c r="C31" s="15">
        <v>15625</v>
      </c>
      <c r="D31" s="360">
        <f>C31/'- 3 -'!E31</f>
        <v>0.0015277000619781805</v>
      </c>
      <c r="E31" s="15">
        <f>C31/'- 7 -'!G31</f>
        <v>11.05021216407355</v>
      </c>
      <c r="F31" s="15">
        <v>134500</v>
      </c>
      <c r="G31" s="360">
        <f>F31/'- 3 -'!E31</f>
        <v>0.013150442133508177</v>
      </c>
      <c r="H31" s="15">
        <f>F31/'- 7 -'!G31</f>
        <v>95.12022630834512</v>
      </c>
      <c r="I31" s="15">
        <v>76007</v>
      </c>
      <c r="J31" s="360">
        <f>I31/'- 3 -'!E31</f>
        <v>0.007431417511089636</v>
      </c>
      <c r="K31" s="15">
        <f>I31/'- 7 -'!G31</f>
        <v>53.75318246110325</v>
      </c>
    </row>
    <row r="32" spans="1:11" ht="12.75">
      <c r="A32" s="16">
        <v>24</v>
      </c>
      <c r="B32" s="17" t="s">
        <v>136</v>
      </c>
      <c r="C32" s="17">
        <v>40224</v>
      </c>
      <c r="D32" s="361">
        <f>C32/'- 3 -'!E32</f>
        <v>0.0017203682248365245</v>
      </c>
      <c r="E32" s="17">
        <f>C32/'- 7 -'!G32</f>
        <v>11.501443971063392</v>
      </c>
      <c r="F32" s="17">
        <v>396417</v>
      </c>
      <c r="G32" s="361">
        <f>F32/'- 3 -'!E32</f>
        <v>0.01695463431247565</v>
      </c>
      <c r="H32" s="17">
        <f>F32/'- 7 -'!G32</f>
        <v>113.3494409973408</v>
      </c>
      <c r="I32" s="17">
        <v>105671</v>
      </c>
      <c r="J32" s="361">
        <f>I32/'- 3 -'!E32</f>
        <v>0.004519516474908025</v>
      </c>
      <c r="K32" s="17">
        <f>I32/'- 7 -'!G32</f>
        <v>30.215023017756554</v>
      </c>
    </row>
    <row r="33" spans="1:11" ht="12.75">
      <c r="A33" s="14">
        <v>25</v>
      </c>
      <c r="B33" s="15" t="s">
        <v>137</v>
      </c>
      <c r="C33" s="15">
        <v>1100</v>
      </c>
      <c r="D33" s="360">
        <f>C33/'- 3 -'!E33</f>
        <v>0.0001034286211817679</v>
      </c>
      <c r="E33" s="15">
        <f>C33/'- 7 -'!G33</f>
        <v>0.7868383404864091</v>
      </c>
      <c r="F33" s="15">
        <v>131031</v>
      </c>
      <c r="G33" s="360">
        <f>F33/'- 3 -'!E33</f>
        <v>0.012320323329152937</v>
      </c>
      <c r="H33" s="15">
        <f>F33/'- 7 -'!G33</f>
        <v>93.7274678111588</v>
      </c>
      <c r="I33" s="15">
        <v>55675</v>
      </c>
      <c r="J33" s="360">
        <f>I33/'- 3 -'!E33</f>
        <v>0.005234898622086298</v>
      </c>
      <c r="K33" s="15">
        <f>I33/'- 7 -'!G33</f>
        <v>39.82474964234621</v>
      </c>
    </row>
    <row r="34" spans="1:11" ht="12.75">
      <c r="A34" s="16">
        <v>26</v>
      </c>
      <c r="B34" s="17" t="s">
        <v>138</v>
      </c>
      <c r="C34" s="17">
        <v>0</v>
      </c>
      <c r="D34" s="361">
        <f>C34/'- 3 -'!E34</f>
        <v>0</v>
      </c>
      <c r="E34" s="17">
        <f>C34/'- 7 -'!G34</f>
        <v>0</v>
      </c>
      <c r="F34" s="17">
        <v>259450</v>
      </c>
      <c r="G34" s="361">
        <f>F34/'- 3 -'!E34</f>
        <v>0.014961004512232041</v>
      </c>
      <c r="H34" s="17">
        <f>F34/'- 7 -'!G34</f>
        <v>87.65202702702703</v>
      </c>
      <c r="I34" s="17">
        <v>95700</v>
      </c>
      <c r="J34" s="361">
        <f>I34/'- 3 -'!E34</f>
        <v>0.00551847420243055</v>
      </c>
      <c r="K34" s="17">
        <f>I34/'- 7 -'!G34</f>
        <v>32.33108108108108</v>
      </c>
    </row>
    <row r="35" spans="1:11" ht="12.75">
      <c r="A35" s="14">
        <v>28</v>
      </c>
      <c r="B35" s="15" t="s">
        <v>139</v>
      </c>
      <c r="C35" s="15">
        <v>0</v>
      </c>
      <c r="D35" s="360">
        <f>C35/'- 3 -'!E35</f>
        <v>0</v>
      </c>
      <c r="E35" s="15">
        <f>C35/'- 7 -'!G35</f>
        <v>0</v>
      </c>
      <c r="F35" s="15">
        <v>66420</v>
      </c>
      <c r="G35" s="360">
        <f>F35/'- 3 -'!E35</f>
        <v>0.01037221283868195</v>
      </c>
      <c r="H35" s="15">
        <f>F35/'- 7 -'!G35</f>
        <v>81.04942037827944</v>
      </c>
      <c r="I35" s="15">
        <v>26419</v>
      </c>
      <c r="J35" s="360">
        <f>I35/'- 3 -'!E35</f>
        <v>0.0041256171482255116</v>
      </c>
      <c r="K35" s="15">
        <f>I35/'- 7 -'!G35</f>
        <v>32.23794996949359</v>
      </c>
    </row>
    <row r="36" spans="1:11" ht="12.75">
      <c r="A36" s="16">
        <v>30</v>
      </c>
      <c r="B36" s="17" t="s">
        <v>140</v>
      </c>
      <c r="C36" s="17">
        <v>0</v>
      </c>
      <c r="D36" s="361">
        <f>C36/'- 3 -'!E36</f>
        <v>0</v>
      </c>
      <c r="E36" s="17">
        <f>C36/'- 7 -'!G36</f>
        <v>0</v>
      </c>
      <c r="F36" s="17">
        <v>205652</v>
      </c>
      <c r="G36" s="361">
        <f>F36/'- 3 -'!E36</f>
        <v>0.020997279926601616</v>
      </c>
      <c r="H36" s="17">
        <f>F36/'- 7 -'!G36</f>
        <v>157.99938537185005</v>
      </c>
      <c r="I36" s="17">
        <v>79677</v>
      </c>
      <c r="J36" s="361">
        <f>I36/'- 3 -'!E36</f>
        <v>0.00813510334308364</v>
      </c>
      <c r="K36" s="17">
        <f>I36/'- 7 -'!G36</f>
        <v>61.21465888137677</v>
      </c>
    </row>
    <row r="37" spans="1:11" ht="12.75">
      <c r="A37" s="14">
        <v>31</v>
      </c>
      <c r="B37" s="15" t="s">
        <v>141</v>
      </c>
      <c r="C37" s="15">
        <v>0</v>
      </c>
      <c r="D37" s="360">
        <f>C37/'- 3 -'!E37</f>
        <v>0</v>
      </c>
      <c r="E37" s="15">
        <f>C37/'- 7 -'!G37</f>
        <v>0</v>
      </c>
      <c r="F37" s="15">
        <v>150741</v>
      </c>
      <c r="G37" s="360">
        <f>F37/'- 3 -'!E37</f>
        <v>0.013764810496324324</v>
      </c>
      <c r="H37" s="15">
        <f>F37/'- 7 -'!G37</f>
        <v>93.05</v>
      </c>
      <c r="I37" s="15">
        <v>63500</v>
      </c>
      <c r="J37" s="360">
        <f>I37/'- 3 -'!E37</f>
        <v>0.005798458724014002</v>
      </c>
      <c r="K37" s="15">
        <f>I37/'- 7 -'!G37</f>
        <v>39.19753086419753</v>
      </c>
    </row>
    <row r="38" spans="1:11" ht="12.75">
      <c r="A38" s="16">
        <v>32</v>
      </c>
      <c r="B38" s="17" t="s">
        <v>142</v>
      </c>
      <c r="C38" s="17">
        <v>0</v>
      </c>
      <c r="D38" s="361">
        <f>C38/'- 3 -'!E38</f>
        <v>0</v>
      </c>
      <c r="E38" s="17">
        <f>C38/'- 7 -'!G38</f>
        <v>0</v>
      </c>
      <c r="F38" s="17">
        <v>86971</v>
      </c>
      <c r="G38" s="361">
        <f>F38/'- 3 -'!E38</f>
        <v>0.012650916115368279</v>
      </c>
      <c r="H38" s="17">
        <f>F38/'- 7 -'!G38</f>
        <v>103.59857057772484</v>
      </c>
      <c r="I38" s="17">
        <v>28016</v>
      </c>
      <c r="J38" s="361">
        <f>I38/'- 3 -'!E38</f>
        <v>0.004075244229549593</v>
      </c>
      <c r="K38" s="17">
        <f>I38/'- 7 -'!G38</f>
        <v>33.37224538415724</v>
      </c>
    </row>
    <row r="39" spans="1:11" ht="12.75">
      <c r="A39" s="14">
        <v>33</v>
      </c>
      <c r="B39" s="15" t="s">
        <v>143</v>
      </c>
      <c r="C39" s="15">
        <v>0</v>
      </c>
      <c r="D39" s="360">
        <f>C39/'- 3 -'!E39</f>
        <v>0</v>
      </c>
      <c r="E39" s="15">
        <f>C39/'- 7 -'!G39</f>
        <v>0</v>
      </c>
      <c r="F39" s="15">
        <v>257524</v>
      </c>
      <c r="G39" s="360">
        <f>F39/'- 3 -'!E39</f>
        <v>0.018805394067367132</v>
      </c>
      <c r="H39" s="15">
        <f>F39/'- 7 -'!G39</f>
        <v>137.70600502646917</v>
      </c>
      <c r="I39" s="15">
        <v>64111</v>
      </c>
      <c r="J39" s="360">
        <f>I39/'- 3 -'!E39</f>
        <v>0.004681632077216003</v>
      </c>
      <c r="K39" s="15">
        <f>I39/'- 7 -'!G39</f>
        <v>34.28212395059088</v>
      </c>
    </row>
    <row r="40" spans="1:11" ht="12.75">
      <c r="A40" s="16">
        <v>34</v>
      </c>
      <c r="B40" s="17" t="s">
        <v>144</v>
      </c>
      <c r="C40" s="17">
        <v>0</v>
      </c>
      <c r="D40" s="361">
        <f>C40/'- 3 -'!E40</f>
        <v>0</v>
      </c>
      <c r="E40" s="17">
        <f>C40/'- 7 -'!G40</f>
        <v>0</v>
      </c>
      <c r="F40" s="17">
        <v>79620</v>
      </c>
      <c r="G40" s="361">
        <f>F40/'- 3 -'!E40</f>
        <v>0.013815680224437998</v>
      </c>
      <c r="H40" s="17">
        <f>F40/'- 7 -'!G40</f>
        <v>108.99383983572895</v>
      </c>
      <c r="I40" s="17">
        <v>29800</v>
      </c>
      <c r="J40" s="361">
        <f>I40/'- 3 -'!E40</f>
        <v>0.00517090267129179</v>
      </c>
      <c r="K40" s="17">
        <f>I40/'- 7 -'!G40</f>
        <v>40.79397672826831</v>
      </c>
    </row>
    <row r="41" spans="1:11" ht="12.75">
      <c r="A41" s="14">
        <v>35</v>
      </c>
      <c r="B41" s="15" t="s">
        <v>145</v>
      </c>
      <c r="C41" s="15">
        <v>49263</v>
      </c>
      <c r="D41" s="360">
        <f>C41/'- 3 -'!E41</f>
        <v>0.003346687565319613</v>
      </c>
      <c r="E41" s="15">
        <f>C41/'- 7 -'!G41</f>
        <v>25.727491121788177</v>
      </c>
      <c r="F41" s="15">
        <v>262366</v>
      </c>
      <c r="G41" s="360">
        <f>F41/'- 3 -'!E41</f>
        <v>0.01782386435585826</v>
      </c>
      <c r="H41" s="15">
        <f>F41/'- 7 -'!G41</f>
        <v>137.02005431376645</v>
      </c>
      <c r="I41" s="15">
        <v>70993</v>
      </c>
      <c r="J41" s="360">
        <f>I41/'- 3 -'!E41</f>
        <v>0.004822917612097016</v>
      </c>
      <c r="K41" s="15">
        <f>I41/'- 7 -'!G41</f>
        <v>37.07593482348026</v>
      </c>
    </row>
    <row r="42" spans="1:11" ht="12.75">
      <c r="A42" s="16">
        <v>36</v>
      </c>
      <c r="B42" s="17" t="s">
        <v>146</v>
      </c>
      <c r="C42" s="17">
        <v>45831</v>
      </c>
      <c r="D42" s="361">
        <f>C42/'- 3 -'!E42</f>
        <v>0.006000392772977219</v>
      </c>
      <c r="E42" s="17">
        <f>C42/'- 7 -'!G42</f>
        <v>49.01711229946524</v>
      </c>
      <c r="F42" s="17">
        <v>105290</v>
      </c>
      <c r="G42" s="361">
        <f>F42/'- 3 -'!E42</f>
        <v>0.013785022257135376</v>
      </c>
      <c r="H42" s="17">
        <f>F42/'- 7 -'!G42</f>
        <v>112.6096256684492</v>
      </c>
      <c r="I42" s="17">
        <v>38190</v>
      </c>
      <c r="J42" s="361">
        <f>I42/'- 3 -'!E42</f>
        <v>0.005</v>
      </c>
      <c r="K42" s="17">
        <f>I42/'- 7 -'!G42</f>
        <v>40.844919786096256</v>
      </c>
    </row>
    <row r="43" spans="1:11" ht="12.75">
      <c r="A43" s="14">
        <v>37</v>
      </c>
      <c r="B43" s="15" t="s">
        <v>147</v>
      </c>
      <c r="C43" s="15">
        <v>0</v>
      </c>
      <c r="D43" s="360">
        <f>C43/'- 3 -'!E43</f>
        <v>0</v>
      </c>
      <c r="E43" s="15">
        <f>C43/'- 7 -'!G43</f>
        <v>0</v>
      </c>
      <c r="F43" s="15">
        <v>100423</v>
      </c>
      <c r="G43" s="360">
        <f>F43/'- 3 -'!E43</f>
        <v>0.01450116026032574</v>
      </c>
      <c r="H43" s="15">
        <f>F43/'- 7 -'!G43</f>
        <v>108.9151112219776</v>
      </c>
      <c r="I43" s="15">
        <v>30862</v>
      </c>
      <c r="J43" s="360">
        <f>I43/'- 3 -'!E43</f>
        <v>0.004456497096822172</v>
      </c>
      <c r="K43" s="15">
        <f>I43/'- 7 -'!G43</f>
        <v>33.471795928548964</v>
      </c>
    </row>
    <row r="44" spans="1:11" ht="12.75">
      <c r="A44" s="16">
        <v>38</v>
      </c>
      <c r="B44" s="17" t="s">
        <v>148</v>
      </c>
      <c r="C44" s="17">
        <v>8200</v>
      </c>
      <c r="D44" s="361">
        <f>C44/'- 3 -'!E44</f>
        <v>0.0009155732080055041</v>
      </c>
      <c r="E44" s="17">
        <f>C44/'- 7 -'!G44</f>
        <v>7.02054794520548</v>
      </c>
      <c r="F44" s="17">
        <v>124281</v>
      </c>
      <c r="G44" s="361">
        <f>F44/'- 3 -'!E44</f>
        <v>0.013876628520016105</v>
      </c>
      <c r="H44" s="17">
        <f>F44/'- 7 -'!G44</f>
        <v>106.40496575342466</v>
      </c>
      <c r="I44" s="17">
        <v>37076</v>
      </c>
      <c r="J44" s="361">
        <f>I44/'- 3 -'!E44</f>
        <v>0.004139730763416107</v>
      </c>
      <c r="K44" s="17">
        <f>I44/'- 7 -'!G44</f>
        <v>31.743150684931507</v>
      </c>
    </row>
    <row r="45" spans="1:11" ht="12.75">
      <c r="A45" s="14">
        <v>39</v>
      </c>
      <c r="B45" s="15" t="s">
        <v>149</v>
      </c>
      <c r="C45" s="15">
        <v>52150</v>
      </c>
      <c r="D45" s="360">
        <f>C45/'- 3 -'!E45</f>
        <v>0.0032746944298797814</v>
      </c>
      <c r="E45" s="15">
        <f>C45/'- 7 -'!G45</f>
        <v>24.833333333333332</v>
      </c>
      <c r="F45" s="15">
        <v>225500</v>
      </c>
      <c r="G45" s="360">
        <f>F45/'- 3 -'!E45</f>
        <v>0.014159992213574127</v>
      </c>
      <c r="H45" s="15">
        <f>F45/'- 7 -'!G45</f>
        <v>107.38095238095238</v>
      </c>
      <c r="I45" s="15">
        <v>65050</v>
      </c>
      <c r="J45" s="360">
        <f>I45/'- 3 -'!E45</f>
        <v>0.004084733895756084</v>
      </c>
      <c r="K45" s="15">
        <f>I45/'- 7 -'!G45</f>
        <v>30.976190476190474</v>
      </c>
    </row>
    <row r="46" spans="1:11" ht="12.75">
      <c r="A46" s="16">
        <v>40</v>
      </c>
      <c r="B46" s="17" t="s">
        <v>150</v>
      </c>
      <c r="C46" s="17">
        <v>132000</v>
      </c>
      <c r="D46" s="361">
        <f>C46/'- 3 -'!E46</f>
        <v>0.002824949439825367</v>
      </c>
      <c r="E46" s="17">
        <f>C46/'- 7 -'!G46</f>
        <v>17.83422279267716</v>
      </c>
      <c r="F46" s="17">
        <v>859900</v>
      </c>
      <c r="G46" s="361">
        <f>F46/'- 3 -'!E46</f>
        <v>0.018402833509892674</v>
      </c>
      <c r="H46" s="17">
        <f>F46/'- 7 -'!G46</f>
        <v>116.17915287441735</v>
      </c>
      <c r="I46" s="17">
        <v>419200</v>
      </c>
      <c r="J46" s="361">
        <f>I46/'- 3 -'!E46</f>
        <v>0.008971354584657528</v>
      </c>
      <c r="K46" s="17">
        <f>I46/'- 7 -'!G46</f>
        <v>56.63716814159292</v>
      </c>
    </row>
    <row r="47" spans="1:11" ht="12.75">
      <c r="A47" s="14">
        <v>41</v>
      </c>
      <c r="B47" s="15" t="s">
        <v>151</v>
      </c>
      <c r="C47" s="15">
        <v>67300</v>
      </c>
      <c r="D47" s="360">
        <f>C47/'- 3 -'!E47</f>
        <v>0.005479382459755849</v>
      </c>
      <c r="E47" s="15">
        <f>C47/'- 7 -'!G47</f>
        <v>42.635413367120684</v>
      </c>
      <c r="F47" s="15">
        <v>168040</v>
      </c>
      <c r="G47" s="360">
        <f>F47/'- 3 -'!E47</f>
        <v>0.013681358522100638</v>
      </c>
      <c r="H47" s="15">
        <f>F47/'- 7 -'!G47</f>
        <v>106.4554957237884</v>
      </c>
      <c r="I47" s="15">
        <v>71800</v>
      </c>
      <c r="J47" s="360">
        <f>I47/'- 3 -'!E47</f>
        <v>0.005845760187376968</v>
      </c>
      <c r="K47" s="15">
        <f>I47/'- 7 -'!G47</f>
        <v>45.48622109597719</v>
      </c>
    </row>
    <row r="48" spans="1:11" ht="12.75">
      <c r="A48" s="16">
        <v>42</v>
      </c>
      <c r="B48" s="17" t="s">
        <v>152</v>
      </c>
      <c r="C48" s="17">
        <v>4900</v>
      </c>
      <c r="D48" s="361">
        <f>C48/'- 3 -'!E48</f>
        <v>0.0006104279024850146</v>
      </c>
      <c r="E48" s="17">
        <f>C48/'- 7 -'!G48</f>
        <v>4.709274387313791</v>
      </c>
      <c r="F48" s="17">
        <v>129380</v>
      </c>
      <c r="G48" s="361">
        <f>F48/'- 3 -'!E48</f>
        <v>0.01611778816806351</v>
      </c>
      <c r="H48" s="17">
        <f>F48/'- 7 -'!G48</f>
        <v>124.34406535319557</v>
      </c>
      <c r="I48" s="17">
        <v>43642</v>
      </c>
      <c r="J48" s="361">
        <f>I48/'- 3 -'!E48</f>
        <v>0.005436794800051226</v>
      </c>
      <c r="K48" s="17">
        <f>I48/'- 7 -'!G48</f>
        <v>41.94329649207112</v>
      </c>
    </row>
    <row r="49" spans="1:11" ht="12.75">
      <c r="A49" s="14">
        <v>43</v>
      </c>
      <c r="B49" s="15" t="s">
        <v>153</v>
      </c>
      <c r="C49" s="15">
        <v>0</v>
      </c>
      <c r="D49" s="360">
        <f>C49/'- 3 -'!E49</f>
        <v>0</v>
      </c>
      <c r="E49" s="15">
        <f>C49/'- 7 -'!G49</f>
        <v>0</v>
      </c>
      <c r="F49" s="15">
        <v>89800</v>
      </c>
      <c r="G49" s="360">
        <f>F49/'- 3 -'!E49</f>
        <v>0.014024675933156334</v>
      </c>
      <c r="H49" s="15">
        <f>F49/'- 7 -'!G49</f>
        <v>115.64713457823568</v>
      </c>
      <c r="I49" s="15">
        <v>30000</v>
      </c>
      <c r="J49" s="360">
        <f>I49/'- 3 -'!E49</f>
        <v>0.00468530376386069</v>
      </c>
      <c r="K49" s="15">
        <f>I49/'- 7 -'!G49</f>
        <v>38.6349001931745</v>
      </c>
    </row>
    <row r="50" spans="1:11" ht="12.75">
      <c r="A50" s="16">
        <v>44</v>
      </c>
      <c r="B50" s="17" t="s">
        <v>154</v>
      </c>
      <c r="C50" s="17">
        <v>8000</v>
      </c>
      <c r="D50" s="361">
        <f>C50/'- 3 -'!E50</f>
        <v>0.0008662904511619013</v>
      </c>
      <c r="E50" s="17">
        <f>C50/'- 7 -'!G50</f>
        <v>6.58165364047717</v>
      </c>
      <c r="F50" s="17">
        <v>123684</v>
      </c>
      <c r="G50" s="361">
        <f>F50/'- 3 -'!E50</f>
        <v>0.013393283520188573</v>
      </c>
      <c r="H50" s="17">
        <f>F50/'- 7 -'!G50</f>
        <v>101.75565610859728</v>
      </c>
      <c r="I50" s="17">
        <v>48180</v>
      </c>
      <c r="J50" s="361">
        <f>I50/'- 3 -'!E50</f>
        <v>0.005217234242122551</v>
      </c>
      <c r="K50" s="17">
        <f>I50/'- 7 -'!G50</f>
        <v>39.63800904977376</v>
      </c>
    </row>
    <row r="51" spans="1:11" ht="12.75">
      <c r="A51" s="14">
        <v>45</v>
      </c>
      <c r="B51" s="15" t="s">
        <v>155</v>
      </c>
      <c r="C51" s="15">
        <v>221930</v>
      </c>
      <c r="D51" s="360">
        <f>C51/'- 3 -'!E51</f>
        <v>0.01841252400086981</v>
      </c>
      <c r="E51" s="15">
        <f>C51/'- 7 -'!G51</f>
        <v>117.4854420328216</v>
      </c>
      <c r="F51" s="15">
        <v>208290</v>
      </c>
      <c r="G51" s="360">
        <f>F51/'- 3 -'!E51</f>
        <v>0.01728087515946998</v>
      </c>
      <c r="H51" s="15">
        <f>F51/'- 7 -'!G51</f>
        <v>110.26469031233457</v>
      </c>
      <c r="I51" s="15">
        <v>90200</v>
      </c>
      <c r="J51" s="360">
        <f>I51/'- 3 -'!E51</f>
        <v>0.007483484273773067</v>
      </c>
      <c r="K51" s="15">
        <f>I51/'- 7 -'!G51</f>
        <v>47.75013234515617</v>
      </c>
    </row>
    <row r="52" spans="1:11" ht="12.75">
      <c r="A52" s="16">
        <v>46</v>
      </c>
      <c r="B52" s="17" t="s">
        <v>156</v>
      </c>
      <c r="C52" s="17">
        <v>44324</v>
      </c>
      <c r="D52" s="361">
        <f>C52/'- 3 -'!E52</f>
        <v>0.004180279800715224</v>
      </c>
      <c r="E52" s="17">
        <f>C52/'- 7 -'!G52</f>
        <v>29.52964690206529</v>
      </c>
      <c r="F52" s="17">
        <v>116938</v>
      </c>
      <c r="G52" s="361">
        <f>F52/'- 3 -'!E52</f>
        <v>0.011028642706796246</v>
      </c>
      <c r="H52" s="17">
        <f>F52/'- 7 -'!G52</f>
        <v>77.90672884743505</v>
      </c>
      <c r="I52" s="17">
        <v>54304</v>
      </c>
      <c r="J52" s="361">
        <f>I52/'- 3 -'!E52</f>
        <v>0.00512151237022921</v>
      </c>
      <c r="K52" s="17">
        <f>I52/'- 7 -'!G52</f>
        <v>36.17854763491006</v>
      </c>
    </row>
    <row r="53" spans="1:11" ht="12.75">
      <c r="A53" s="14">
        <v>47</v>
      </c>
      <c r="B53" s="15" t="s">
        <v>157</v>
      </c>
      <c r="C53" s="15">
        <v>17289</v>
      </c>
      <c r="D53" s="360">
        <f>C53/'- 3 -'!E53</f>
        <v>0.0018053585598315708</v>
      </c>
      <c r="E53" s="15">
        <f>C53/'- 7 -'!G53</f>
        <v>12.183932346723044</v>
      </c>
      <c r="F53" s="15">
        <v>156444</v>
      </c>
      <c r="G53" s="360">
        <f>F53/'- 3 -'!E53</f>
        <v>0.016336255106385</v>
      </c>
      <c r="H53" s="15">
        <f>F53/'- 7 -'!G53</f>
        <v>110.24947145877378</v>
      </c>
      <c r="I53" s="15">
        <v>70540</v>
      </c>
      <c r="J53" s="360">
        <f>I53/'- 3 -'!E53</f>
        <v>0.007365954815808839</v>
      </c>
      <c r="K53" s="15">
        <f>I53/'- 7 -'!G53</f>
        <v>49.71106412966878</v>
      </c>
    </row>
    <row r="54" spans="1:11" ht="12.75">
      <c r="A54" s="16">
        <v>48</v>
      </c>
      <c r="B54" s="17" t="s">
        <v>158</v>
      </c>
      <c r="C54" s="17">
        <v>405657</v>
      </c>
      <c r="D54" s="361">
        <f>C54/'- 3 -'!E54</f>
        <v>0.006535378787014674</v>
      </c>
      <c r="E54" s="17">
        <f>C54/'- 7 -'!G54</f>
        <v>78.16127167630057</v>
      </c>
      <c r="F54" s="17">
        <v>1118722</v>
      </c>
      <c r="G54" s="361">
        <f>F54/'- 3 -'!E54</f>
        <v>0.018023285749701422</v>
      </c>
      <c r="H54" s="17">
        <f>F54/'- 7 -'!G54</f>
        <v>215.55337186897881</v>
      </c>
      <c r="I54" s="17">
        <v>309178</v>
      </c>
      <c r="J54" s="361">
        <f>I54/'- 3 -'!E54</f>
        <v>0.004981043942571243</v>
      </c>
      <c r="K54" s="17">
        <f>I54/'- 7 -'!G54</f>
        <v>59.5718689788054</v>
      </c>
    </row>
    <row r="55" spans="1:11" ht="12.75">
      <c r="A55" s="14">
        <v>49</v>
      </c>
      <c r="B55" s="15" t="s">
        <v>159</v>
      </c>
      <c r="C55" s="15">
        <v>643751</v>
      </c>
      <c r="D55" s="360">
        <f>C55/'- 3 -'!E55</f>
        <v>0.01603276312157899</v>
      </c>
      <c r="E55" s="15">
        <f>C55/'- 7 -'!G55</f>
        <v>148.67228637413396</v>
      </c>
      <c r="F55" s="15">
        <v>1072671</v>
      </c>
      <c r="G55" s="360">
        <f>F55/'- 3 -'!E55</f>
        <v>0.026715111977126643</v>
      </c>
      <c r="H55" s="15">
        <f>F55/'- 7 -'!G55</f>
        <v>247.73002309468822</v>
      </c>
      <c r="I55" s="15">
        <v>235315</v>
      </c>
      <c r="J55" s="360">
        <f>I55/'- 3 -'!E55</f>
        <v>0.005860572882922682</v>
      </c>
      <c r="K55" s="15">
        <f>I55/'- 7 -'!G55</f>
        <v>54.34526558891455</v>
      </c>
    </row>
    <row r="56" spans="1:11" ht="12.75">
      <c r="A56" s="16">
        <v>50</v>
      </c>
      <c r="B56" s="17" t="s">
        <v>340</v>
      </c>
      <c r="C56" s="17">
        <v>48200</v>
      </c>
      <c r="D56" s="361">
        <f>C56/'- 3 -'!E56</f>
        <v>0.003344087140527977</v>
      </c>
      <c r="E56" s="17">
        <f>C56/'- 7 -'!G56</f>
        <v>27.998838222480394</v>
      </c>
      <c r="F56" s="17">
        <v>215400</v>
      </c>
      <c r="G56" s="361">
        <f>F56/'- 3 -'!E56</f>
        <v>0.014944323030492247</v>
      </c>
      <c r="H56" s="17">
        <f>F56/'- 7 -'!G56</f>
        <v>125.12343886145803</v>
      </c>
      <c r="I56" s="17">
        <v>70000</v>
      </c>
      <c r="J56" s="361">
        <f>I56/'- 3 -'!E56</f>
        <v>0.004856558087903701</v>
      </c>
      <c r="K56" s="17">
        <f>I56/'- 7 -'!G56</f>
        <v>40.662213186174846</v>
      </c>
    </row>
    <row r="57" spans="1:11" ht="12.75">
      <c r="A57" s="14">
        <v>2264</v>
      </c>
      <c r="B57" s="15" t="s">
        <v>160</v>
      </c>
      <c r="C57" s="15">
        <v>6000</v>
      </c>
      <c r="D57" s="360">
        <f>C57/'- 3 -'!E57</f>
        <v>0.0029671037210447764</v>
      </c>
      <c r="E57" s="15">
        <f>C57/'- 7 -'!G57</f>
        <v>29.12621359223301</v>
      </c>
      <c r="F57" s="15">
        <v>54418</v>
      </c>
      <c r="G57" s="360">
        <f>F57/'- 3 -'!E57</f>
        <v>0.02691064171530244</v>
      </c>
      <c r="H57" s="15">
        <f>F57/'- 7 -'!G57</f>
        <v>264.1650485436893</v>
      </c>
      <c r="I57" s="15">
        <v>13400</v>
      </c>
      <c r="J57" s="360">
        <f>I57/'- 3 -'!E57</f>
        <v>0.0066265316436666674</v>
      </c>
      <c r="K57" s="15">
        <f>I57/'- 7 -'!G57</f>
        <v>65.04854368932038</v>
      </c>
    </row>
    <row r="58" spans="1:11" ht="12.75">
      <c r="A58" s="16">
        <v>2309</v>
      </c>
      <c r="B58" s="17" t="s">
        <v>161</v>
      </c>
      <c r="C58" s="17">
        <v>0</v>
      </c>
      <c r="D58" s="361">
        <f>C58/'- 3 -'!E58</f>
        <v>0</v>
      </c>
      <c r="E58" s="17">
        <f>C58/'- 7 -'!G58</f>
        <v>0</v>
      </c>
      <c r="F58" s="17">
        <v>22395</v>
      </c>
      <c r="G58" s="361">
        <f>F58/'- 3 -'!E58</f>
        <v>0.010637686432639149</v>
      </c>
      <c r="H58" s="17">
        <f>F58/'- 7 -'!G58</f>
        <v>85.57508597630876</v>
      </c>
      <c r="I58" s="17">
        <v>8898</v>
      </c>
      <c r="J58" s="361">
        <f>I58/'- 3 -'!E58</f>
        <v>0.004226574408467209</v>
      </c>
      <c r="K58" s="17">
        <f>I58/'- 7 -'!G58</f>
        <v>34.00076423385556</v>
      </c>
    </row>
    <row r="59" spans="1:11" ht="12.75">
      <c r="A59" s="14">
        <v>2312</v>
      </c>
      <c r="B59" s="15" t="s">
        <v>162</v>
      </c>
      <c r="C59" s="15">
        <v>0</v>
      </c>
      <c r="D59" s="360">
        <f>C59/'- 3 -'!E59</f>
        <v>0</v>
      </c>
      <c r="E59" s="15">
        <f>C59/'- 7 -'!G59</f>
        <v>0</v>
      </c>
      <c r="F59" s="15">
        <v>33020</v>
      </c>
      <c r="G59" s="360">
        <f>F59/'- 3 -'!E59</f>
        <v>0.021176603380560623</v>
      </c>
      <c r="H59" s="15">
        <f>F59/'- 7 -'!G59</f>
        <v>190.3170028818444</v>
      </c>
      <c r="I59" s="15">
        <v>10000</v>
      </c>
      <c r="J59" s="360">
        <f>I59/'- 3 -'!E59</f>
        <v>0.006413265711859667</v>
      </c>
      <c r="K59" s="15">
        <f>I59/'- 7 -'!G59</f>
        <v>57.636887608069166</v>
      </c>
    </row>
    <row r="60" spans="1:11" ht="12.75">
      <c r="A60" s="16">
        <v>2355</v>
      </c>
      <c r="B60" s="17" t="s">
        <v>163</v>
      </c>
      <c r="C60" s="17">
        <v>148311</v>
      </c>
      <c r="D60" s="361">
        <f>C60/'- 3 -'!E60</f>
        <v>0.005780948622677131</v>
      </c>
      <c r="E60" s="17">
        <f>C60/'- 7 -'!G60</f>
        <v>44.278549037169725</v>
      </c>
      <c r="F60" s="17">
        <v>644300</v>
      </c>
      <c r="G60" s="361">
        <f>F60/'- 3 -'!E60</f>
        <v>0.025113883647139294</v>
      </c>
      <c r="H60" s="17">
        <f>F60/'- 7 -'!G60</f>
        <v>192.35706821913718</v>
      </c>
      <c r="I60" s="17">
        <v>133387</v>
      </c>
      <c r="J60" s="361">
        <f>I60/'- 3 -'!E60</f>
        <v>0.005199232652554662</v>
      </c>
      <c r="K60" s="17">
        <f>I60/'- 7 -'!G60</f>
        <v>39.822958650544855</v>
      </c>
    </row>
    <row r="61" spans="1:11" ht="12.75">
      <c r="A61" s="14">
        <v>2439</v>
      </c>
      <c r="B61" s="15" t="s">
        <v>164</v>
      </c>
      <c r="C61" s="15">
        <v>0</v>
      </c>
      <c r="D61" s="360">
        <f>C61/'- 3 -'!E61</f>
        <v>0</v>
      </c>
      <c r="E61" s="15">
        <f>C61/'- 7 -'!G61</f>
        <v>0</v>
      </c>
      <c r="F61" s="15">
        <v>31043</v>
      </c>
      <c r="G61" s="360">
        <f>F61/'- 3 -'!E61</f>
        <v>0.022850450744886563</v>
      </c>
      <c r="H61" s="15">
        <f>F61/'- 7 -'!G61</f>
        <v>195.85488958990535</v>
      </c>
      <c r="I61" s="15">
        <v>4811</v>
      </c>
      <c r="J61" s="360">
        <f>I61/'- 3 -'!E61</f>
        <v>0.0035413303654173007</v>
      </c>
      <c r="K61" s="15">
        <f>I61/'- 7 -'!G61</f>
        <v>30.353312302839118</v>
      </c>
    </row>
    <row r="62" spans="1:11" ht="12.75">
      <c r="A62" s="16">
        <v>2460</v>
      </c>
      <c r="B62" s="17" t="s">
        <v>165</v>
      </c>
      <c r="C62" s="17">
        <v>0</v>
      </c>
      <c r="D62" s="361">
        <f>C62/'- 3 -'!E62</f>
        <v>0</v>
      </c>
      <c r="E62" s="17">
        <f>C62/'- 7 -'!G62</f>
        <v>0</v>
      </c>
      <c r="F62" s="17">
        <v>16175</v>
      </c>
      <c r="G62" s="361">
        <f>F62/'- 3 -'!E62</f>
        <v>0.00751981418736727</v>
      </c>
      <c r="H62" s="17">
        <f>F62/'- 7 -'!G62</f>
        <v>59.42321822189567</v>
      </c>
      <c r="I62" s="17">
        <v>11100</v>
      </c>
      <c r="J62" s="361">
        <f>I62/'- 3 -'!E62</f>
        <v>0.0051604289013772306</v>
      </c>
      <c r="K62" s="17">
        <f>I62/'- 7 -'!G62</f>
        <v>40.778839088905215</v>
      </c>
    </row>
    <row r="63" spans="1:11" ht="12.75">
      <c r="A63" s="14">
        <v>3000</v>
      </c>
      <c r="B63" s="15" t="s">
        <v>363</v>
      </c>
      <c r="C63" s="15">
        <v>81185</v>
      </c>
      <c r="D63" s="360">
        <f>C63/'- 3 -'!E63</f>
        <v>0.011225691783169718</v>
      </c>
      <c r="E63" s="15">
        <f>C63/'- 7 -'!G63</f>
        <v>101.45588602849287</v>
      </c>
      <c r="F63" s="15">
        <v>50581</v>
      </c>
      <c r="G63" s="360">
        <f>F63/'- 3 -'!E63</f>
        <v>0.006993985540241516</v>
      </c>
      <c r="H63" s="15">
        <f>F63/'- 7 -'!G63</f>
        <v>63.21044738815296</v>
      </c>
      <c r="I63" s="15">
        <v>138730</v>
      </c>
      <c r="J63" s="360">
        <f>I63/'- 3 -'!E63</f>
        <v>0.019182610347713677</v>
      </c>
      <c r="K63" s="15">
        <f>I63/'- 7 -'!G63</f>
        <v>173.36915771057235</v>
      </c>
    </row>
    <row r="64" spans="1:11" ht="4.5" customHeight="1">
      <c r="A64" s="18"/>
      <c r="B64" s="18"/>
      <c r="C64" s="18"/>
      <c r="D64" s="198"/>
      <c r="E64" s="18"/>
      <c r="F64" s="18"/>
      <c r="G64" s="198"/>
      <c r="H64" s="18"/>
      <c r="I64" s="18"/>
      <c r="J64" s="198"/>
      <c r="K64" s="18"/>
    </row>
    <row r="65" spans="1:11" ht="12.75">
      <c r="A65" s="20"/>
      <c r="B65" s="21" t="s">
        <v>166</v>
      </c>
      <c r="C65" s="21">
        <f>SUM(C11:C63)</f>
        <v>6202663</v>
      </c>
      <c r="D65" s="103">
        <f>C65/'- 3 -'!E65</f>
        <v>0.004590023473519234</v>
      </c>
      <c r="E65" s="21">
        <f>C65/'- 7 -'!G65</f>
        <v>34.28883670501258</v>
      </c>
      <c r="F65" s="21">
        <f>SUM(F11:F63)</f>
        <v>24083743.369999997</v>
      </c>
      <c r="G65" s="103">
        <f>F65/'- 3 -'!E65</f>
        <v>0.017822175313814925</v>
      </c>
      <c r="H65" s="21">
        <f>F65/'- 7 -'!G65</f>
        <v>133.13693548389767</v>
      </c>
      <c r="I65" s="21">
        <f>SUM(I11:I63)</f>
        <v>10746945</v>
      </c>
      <c r="J65" s="103">
        <f>I65/'- 3 -'!E65</f>
        <v>0.007952830875806113</v>
      </c>
      <c r="K65" s="21">
        <f>I65/'- 7 -'!G65</f>
        <v>59.410005377166456</v>
      </c>
    </row>
    <row r="66" spans="1:11" ht="4.5" customHeight="1">
      <c r="A66" s="18"/>
      <c r="B66" s="18"/>
      <c r="C66" s="18"/>
      <c r="D66" s="198"/>
      <c r="E66" s="18"/>
      <c r="F66" s="18"/>
      <c r="G66" s="198"/>
      <c r="H66" s="18"/>
      <c r="I66" s="18"/>
      <c r="J66" s="198"/>
      <c r="K66" s="18"/>
    </row>
    <row r="67" spans="1:11" ht="12.75">
      <c r="A67" s="16">
        <v>2155</v>
      </c>
      <c r="B67" s="17" t="s">
        <v>167</v>
      </c>
      <c r="C67" s="17">
        <v>200</v>
      </c>
      <c r="D67" s="361">
        <f>C67/'- 3 -'!E67</f>
        <v>0.00015078589609042329</v>
      </c>
      <c r="E67" s="17">
        <f>C67/'- 7 -'!G67</f>
        <v>1.408450704225352</v>
      </c>
      <c r="F67" s="17">
        <v>11814</v>
      </c>
      <c r="G67" s="361">
        <f>F67/'- 3 -'!E67</f>
        <v>0.008906922882061304</v>
      </c>
      <c r="H67" s="17">
        <f>F67/'- 7 -'!G67</f>
        <v>83.19718309859155</v>
      </c>
      <c r="I67" s="17">
        <v>6000</v>
      </c>
      <c r="J67" s="361">
        <f>I67/'- 3 -'!E67</f>
        <v>0.004523576882712699</v>
      </c>
      <c r="K67" s="17">
        <f>I67/'- 7 -'!G67</f>
        <v>42.25352112676056</v>
      </c>
    </row>
    <row r="68" spans="1:11" ht="12.75">
      <c r="A68" s="14">
        <v>2408</v>
      </c>
      <c r="B68" s="15" t="s">
        <v>169</v>
      </c>
      <c r="C68" s="15">
        <v>5000</v>
      </c>
      <c r="D68" s="360">
        <f>C68/'- 3 -'!E68</f>
        <v>0.0021762169949490003</v>
      </c>
      <c r="E68" s="15">
        <f>C68/'- 7 -'!G68</f>
        <v>20.491803278688526</v>
      </c>
      <c r="F68" s="15">
        <v>21145</v>
      </c>
      <c r="G68" s="360">
        <f>F68/'- 3 -'!E68</f>
        <v>0.009203221671639323</v>
      </c>
      <c r="H68" s="15">
        <f>F68/'- 7 -'!G68</f>
        <v>86.65983606557377</v>
      </c>
      <c r="I68" s="15">
        <v>7200</v>
      </c>
      <c r="J68" s="360">
        <f>I68/'- 3 -'!E68</f>
        <v>0.0031337524727265607</v>
      </c>
      <c r="K68" s="15">
        <f>I68/'- 7 -'!G68</f>
        <v>29.508196721311474</v>
      </c>
    </row>
    <row r="69" ht="6.75" customHeight="1"/>
    <row r="70" spans="1:2" ht="12" customHeight="1">
      <c r="A70" s="396" t="s">
        <v>351</v>
      </c>
      <c r="B70" s="7" t="s">
        <v>471</v>
      </c>
    </row>
    <row r="71" spans="1:2" ht="12" customHeight="1">
      <c r="A71" s="7"/>
      <c r="B71" s="7"/>
    </row>
    <row r="72" spans="1:2" ht="12" customHeight="1">
      <c r="A72" s="7"/>
      <c r="B72" s="7"/>
    </row>
    <row r="73" spans="1:2" ht="12" customHeight="1">
      <c r="A73" s="7"/>
      <c r="B73" s="7"/>
    </row>
    <row r="74" spans="1:2" ht="12" customHeight="1">
      <c r="A74" s="7"/>
      <c r="B74" s="7"/>
    </row>
  </sheetData>
  <printOptions horizontalCentered="1"/>
  <pageMargins left="0.5" right="0.5" top="0.6" bottom="0" header="0.3" footer="0"/>
  <pageSetup fitToHeight="1" fitToWidth="1" horizontalDpi="300" verticalDpi="300" orientation="portrait" scale="81"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8"/>
      <c r="B1" s="80"/>
      <c r="C1" s="142"/>
      <c r="D1" s="142"/>
      <c r="E1" s="142"/>
      <c r="F1" s="142"/>
      <c r="G1" s="142"/>
      <c r="H1" s="142"/>
      <c r="I1" s="142"/>
      <c r="J1" s="142"/>
      <c r="K1" s="142"/>
    </row>
    <row r="2" spans="1:11" ht="12.75">
      <c r="A2" s="9"/>
      <c r="B2" s="83"/>
      <c r="C2" s="200" t="s">
        <v>0</v>
      </c>
      <c r="D2" s="200"/>
      <c r="E2" s="200"/>
      <c r="F2" s="200"/>
      <c r="G2" s="200"/>
      <c r="H2" s="200"/>
      <c r="I2" s="215"/>
      <c r="J2" s="231"/>
      <c r="K2" s="219" t="s">
        <v>435</v>
      </c>
    </row>
    <row r="3" spans="1:11" ht="12.75">
      <c r="A3" s="10"/>
      <c r="B3" s="86"/>
      <c r="C3" s="203" t="str">
        <f>YEAR</f>
        <v>OPERATING FUND BUDGET 2002/2003</v>
      </c>
      <c r="D3" s="203"/>
      <c r="E3" s="203"/>
      <c r="F3" s="203"/>
      <c r="G3" s="203"/>
      <c r="H3" s="203"/>
      <c r="I3" s="216"/>
      <c r="J3" s="216"/>
      <c r="K3" s="220"/>
    </row>
    <row r="4" spans="1:11" ht="12.75">
      <c r="A4" s="11"/>
      <c r="C4" s="142"/>
      <c r="D4" s="142"/>
      <c r="E4" s="142"/>
      <c r="F4" s="142"/>
      <c r="G4" s="142"/>
      <c r="H4" s="142"/>
      <c r="I4" s="142"/>
      <c r="J4" s="142"/>
      <c r="K4" s="142"/>
    </row>
    <row r="5" spans="1:11" ht="16.5">
      <c r="A5" s="11"/>
      <c r="C5" s="340" t="s">
        <v>329</v>
      </c>
      <c r="D5" s="155"/>
      <c r="E5" s="232"/>
      <c r="F5" s="232"/>
      <c r="G5" s="232"/>
      <c r="H5" s="232"/>
      <c r="I5" s="342"/>
      <c r="J5" s="342"/>
      <c r="K5" s="343"/>
    </row>
    <row r="6" spans="1:11" ht="12.75">
      <c r="A6" s="11"/>
      <c r="C6" s="68" t="s">
        <v>24</v>
      </c>
      <c r="D6" s="66"/>
      <c r="E6" s="67"/>
      <c r="F6" s="68" t="s">
        <v>25</v>
      </c>
      <c r="G6" s="66"/>
      <c r="H6" s="67"/>
      <c r="I6" s="68" t="s">
        <v>3</v>
      </c>
      <c r="J6" s="66"/>
      <c r="K6" s="67"/>
    </row>
    <row r="7" spans="3:11" ht="12.75">
      <c r="C7" s="69" t="s">
        <v>54</v>
      </c>
      <c r="D7" s="70"/>
      <c r="E7" s="71"/>
      <c r="F7" s="69" t="s">
        <v>55</v>
      </c>
      <c r="G7" s="70"/>
      <c r="H7" s="71"/>
      <c r="I7" s="69" t="s">
        <v>56</v>
      </c>
      <c r="J7" s="70"/>
      <c r="K7" s="71"/>
    </row>
    <row r="8" spans="1:11" ht="12.75">
      <c r="A8" s="94"/>
      <c r="B8" s="46"/>
      <c r="C8" s="73"/>
      <c r="D8" s="228"/>
      <c r="E8" s="229" t="s">
        <v>75</v>
      </c>
      <c r="F8" s="73"/>
      <c r="G8" s="74"/>
      <c r="H8" s="229" t="s">
        <v>75</v>
      </c>
      <c r="I8" s="73"/>
      <c r="J8" s="74"/>
      <c r="K8" s="229" t="s">
        <v>75</v>
      </c>
    </row>
    <row r="9" spans="1:11" ht="12.75">
      <c r="A9" s="52" t="s">
        <v>100</v>
      </c>
      <c r="B9" s="53" t="s">
        <v>101</v>
      </c>
      <c r="C9" s="75" t="s">
        <v>102</v>
      </c>
      <c r="D9" s="76" t="s">
        <v>103</v>
      </c>
      <c r="E9" s="76" t="s">
        <v>104</v>
      </c>
      <c r="F9" s="76" t="s">
        <v>102</v>
      </c>
      <c r="G9" s="76" t="s">
        <v>103</v>
      </c>
      <c r="H9" s="76" t="s">
        <v>104</v>
      </c>
      <c r="I9" s="76" t="s">
        <v>102</v>
      </c>
      <c r="J9" s="76" t="s">
        <v>103</v>
      </c>
      <c r="K9" s="76" t="s">
        <v>104</v>
      </c>
    </row>
    <row r="10" spans="1:2" ht="4.5" customHeight="1">
      <c r="A10" s="77"/>
      <c r="B10" s="77"/>
    </row>
    <row r="11" spans="1:11" ht="12.75">
      <c r="A11" s="14">
        <v>1</v>
      </c>
      <c r="B11" s="15" t="s">
        <v>115</v>
      </c>
      <c r="C11" s="15">
        <v>4470800</v>
      </c>
      <c r="D11" s="360">
        <f>C11/'- 3 -'!E11</f>
        <v>0.017590667204390977</v>
      </c>
      <c r="E11" s="15">
        <f>C11/'- 7 -'!G11</f>
        <v>144.60185005498414</v>
      </c>
      <c r="F11" s="15">
        <v>134800</v>
      </c>
      <c r="G11" s="360">
        <f>F11/'- 3 -'!E11</f>
        <v>0.000530379784188938</v>
      </c>
      <c r="H11" s="15">
        <f>F11/'- 7 -'!G11</f>
        <v>4.359919787825862</v>
      </c>
      <c r="I11" s="15">
        <v>976600</v>
      </c>
      <c r="J11" s="360">
        <f>I11/'- 3 -'!E11</f>
        <v>0.0038424992376774243</v>
      </c>
      <c r="K11" s="15">
        <f>I11/'- 7 -'!G11</f>
        <v>31.586777928714664</v>
      </c>
    </row>
    <row r="12" spans="1:11" ht="12.75">
      <c r="A12" s="16">
        <v>2</v>
      </c>
      <c r="B12" s="17" t="s">
        <v>116</v>
      </c>
      <c r="C12" s="17">
        <v>715720</v>
      </c>
      <c r="D12" s="361">
        <f>C12/'- 3 -'!E12</f>
        <v>0.01139464086980599</v>
      </c>
      <c r="E12" s="17">
        <f>C12/'- 7 -'!G12</f>
        <v>78.25668612915219</v>
      </c>
      <c r="F12" s="17">
        <v>19000</v>
      </c>
      <c r="G12" s="361">
        <f>F12/'- 3 -'!E12</f>
        <v>0.00030249004712221795</v>
      </c>
      <c r="H12" s="17">
        <f>F12/'- 7 -'!G12</f>
        <v>2.0774563187474033</v>
      </c>
      <c r="I12" s="17">
        <v>22250</v>
      </c>
      <c r="J12" s="361">
        <f>I12/'- 3 -'!E12</f>
        <v>0.00035423176570891315</v>
      </c>
      <c r="K12" s="17">
        <f>I12/'- 7 -'!G12</f>
        <v>2.432810689059459</v>
      </c>
    </row>
    <row r="13" spans="1:11" ht="12.75">
      <c r="A13" s="14">
        <v>3</v>
      </c>
      <c r="B13" s="15" t="s">
        <v>117</v>
      </c>
      <c r="C13" s="15">
        <v>775340</v>
      </c>
      <c r="D13" s="360">
        <f>C13/'- 3 -'!E13</f>
        <v>0.017490991352140214</v>
      </c>
      <c r="E13" s="15">
        <f>C13/'- 7 -'!G13</f>
        <v>134.94735010007832</v>
      </c>
      <c r="F13" s="15">
        <v>0</v>
      </c>
      <c r="G13" s="360">
        <f>F13/'- 3 -'!E13</f>
        <v>0</v>
      </c>
      <c r="H13" s="15">
        <f>F13/'- 7 -'!G13</f>
        <v>0</v>
      </c>
      <c r="I13" s="15">
        <v>0</v>
      </c>
      <c r="J13" s="360">
        <f>I13/'- 3 -'!E13</f>
        <v>0</v>
      </c>
      <c r="K13" s="15">
        <f>I13/'- 7 -'!G13</f>
        <v>0</v>
      </c>
    </row>
    <row r="14" spans="1:11" ht="12.75">
      <c r="A14" s="16">
        <v>4</v>
      </c>
      <c r="B14" s="17" t="s">
        <v>118</v>
      </c>
      <c r="C14" s="17">
        <v>1021013</v>
      </c>
      <c r="D14" s="361">
        <f>C14/'- 3 -'!E14</f>
        <v>0.023445373927252895</v>
      </c>
      <c r="E14" s="17">
        <f>C14/'- 7 -'!G14</f>
        <v>163.9128270990528</v>
      </c>
      <c r="F14" s="17">
        <v>7000</v>
      </c>
      <c r="G14" s="361">
        <f>F14/'- 3 -'!E14</f>
        <v>0.00016073998812039637</v>
      </c>
      <c r="H14" s="17">
        <f>F14/'- 7 -'!G14</f>
        <v>1.1237758869802537</v>
      </c>
      <c r="I14" s="17">
        <v>0</v>
      </c>
      <c r="J14" s="361">
        <f>I14/'- 3 -'!E14</f>
        <v>0</v>
      </c>
      <c r="K14" s="17">
        <f>I14/'- 7 -'!G14</f>
        <v>0</v>
      </c>
    </row>
    <row r="15" spans="1:11" ht="12.75">
      <c r="A15" s="14">
        <v>5</v>
      </c>
      <c r="B15" s="15" t="s">
        <v>119</v>
      </c>
      <c r="C15" s="15">
        <v>1137063</v>
      </c>
      <c r="D15" s="360">
        <f>C15/'- 3 -'!E15</f>
        <v>0.02097658738540145</v>
      </c>
      <c r="E15" s="15">
        <f>C15/'- 7 -'!G15</f>
        <v>157.30275990869475</v>
      </c>
      <c r="F15" s="15">
        <v>0</v>
      </c>
      <c r="G15" s="360">
        <f>F15/'- 3 -'!E15</f>
        <v>0</v>
      </c>
      <c r="H15" s="15">
        <f>F15/'- 7 -'!G15</f>
        <v>0</v>
      </c>
      <c r="I15" s="15">
        <v>0</v>
      </c>
      <c r="J15" s="360">
        <f>I15/'- 3 -'!E15</f>
        <v>0</v>
      </c>
      <c r="K15" s="15">
        <f>I15/'- 7 -'!G15</f>
        <v>0</v>
      </c>
    </row>
    <row r="16" spans="1:11" ht="12.75">
      <c r="A16" s="16">
        <v>6</v>
      </c>
      <c r="B16" s="17" t="s">
        <v>120</v>
      </c>
      <c r="C16" s="17">
        <v>1175046</v>
      </c>
      <c r="D16" s="361">
        <f>C16/'- 3 -'!E16</f>
        <v>0.018856510843738215</v>
      </c>
      <c r="E16" s="17">
        <f>C16/'- 7 -'!G16</f>
        <v>132.21333333333334</v>
      </c>
      <c r="F16" s="17">
        <v>0</v>
      </c>
      <c r="G16" s="361">
        <f>F16/'- 3 -'!E16</f>
        <v>0</v>
      </c>
      <c r="H16" s="17">
        <f>F16/'- 7 -'!G16</f>
        <v>0</v>
      </c>
      <c r="I16" s="17">
        <v>0</v>
      </c>
      <c r="J16" s="361">
        <f>I16/'- 3 -'!E16</f>
        <v>0</v>
      </c>
      <c r="K16" s="17">
        <f>I16/'- 7 -'!G16</f>
        <v>0</v>
      </c>
    </row>
    <row r="17" spans="1:11" ht="12.75">
      <c r="A17" s="14">
        <v>9</v>
      </c>
      <c r="B17" s="15" t="s">
        <v>121</v>
      </c>
      <c r="C17" s="15">
        <v>1183000</v>
      </c>
      <c r="D17" s="360">
        <f>C17/'- 3 -'!E17</f>
        <v>0.014102499805777702</v>
      </c>
      <c r="E17" s="15">
        <f>C17/'- 7 -'!G17</f>
        <v>95.36477226924627</v>
      </c>
      <c r="F17" s="15">
        <v>40450</v>
      </c>
      <c r="G17" s="360">
        <f>F17/'- 3 -'!E17</f>
        <v>0.00048220297307160446</v>
      </c>
      <c r="H17" s="15">
        <f>F17/'- 7 -'!G17</f>
        <v>3.260781942765014</v>
      </c>
      <c r="I17" s="15">
        <v>252000</v>
      </c>
      <c r="J17" s="360">
        <f>I17/'- 3 -'!E17</f>
        <v>0.0030040827988638895</v>
      </c>
      <c r="K17" s="15">
        <f>I17/'- 7 -'!G17</f>
        <v>20.314389359129382</v>
      </c>
    </row>
    <row r="18" spans="1:11" ht="12.75">
      <c r="A18" s="16">
        <v>10</v>
      </c>
      <c r="B18" s="17" t="s">
        <v>122</v>
      </c>
      <c r="C18" s="17">
        <v>1258807</v>
      </c>
      <c r="D18" s="361">
        <f>C18/'- 3 -'!E18</f>
        <v>0.020320914662076674</v>
      </c>
      <c r="E18" s="17">
        <f>C18/'- 7 -'!G18</f>
        <v>145.95709896225867</v>
      </c>
      <c r="F18" s="17">
        <v>0</v>
      </c>
      <c r="G18" s="361">
        <f>F18/'- 3 -'!E18</f>
        <v>0</v>
      </c>
      <c r="H18" s="17">
        <f>F18/'- 7 -'!G18</f>
        <v>0</v>
      </c>
      <c r="I18" s="17">
        <v>0</v>
      </c>
      <c r="J18" s="361">
        <f>I18/'- 3 -'!E18</f>
        <v>0</v>
      </c>
      <c r="K18" s="17">
        <f>I18/'- 7 -'!G18</f>
        <v>0</v>
      </c>
    </row>
    <row r="19" spans="1:11" ht="12.75">
      <c r="A19" s="14">
        <v>11</v>
      </c>
      <c r="B19" s="15" t="s">
        <v>123</v>
      </c>
      <c r="C19" s="15">
        <v>381255</v>
      </c>
      <c r="D19" s="360">
        <f>C19/'- 3 -'!E19</f>
        <v>0.011430689852948539</v>
      </c>
      <c r="E19" s="15">
        <f>C19/'- 7 -'!G19</f>
        <v>81.1698956780924</v>
      </c>
      <c r="F19" s="15">
        <v>0</v>
      </c>
      <c r="G19" s="360">
        <f>F19/'- 3 -'!E19</f>
        <v>0</v>
      </c>
      <c r="H19" s="15">
        <f>F19/'- 7 -'!G19</f>
        <v>0</v>
      </c>
      <c r="I19" s="15">
        <v>0</v>
      </c>
      <c r="J19" s="360">
        <f>I19/'- 3 -'!E19</f>
        <v>0</v>
      </c>
      <c r="K19" s="15">
        <f>I19/'- 7 -'!G19</f>
        <v>0</v>
      </c>
    </row>
    <row r="20" spans="1:11" ht="12.75">
      <c r="A20" s="16">
        <v>12</v>
      </c>
      <c r="B20" s="17" t="s">
        <v>124</v>
      </c>
      <c r="C20" s="17">
        <v>867678</v>
      </c>
      <c r="D20" s="361">
        <f>C20/'- 3 -'!E20</f>
        <v>0.016574757240603727</v>
      </c>
      <c r="E20" s="17">
        <f>C20/'- 7 -'!G20</f>
        <v>113.65968037725963</v>
      </c>
      <c r="F20" s="17">
        <v>0</v>
      </c>
      <c r="G20" s="361">
        <f>F20/'- 3 -'!E20</f>
        <v>0</v>
      </c>
      <c r="H20" s="17">
        <f>F20/'- 7 -'!G20</f>
        <v>0</v>
      </c>
      <c r="I20" s="17">
        <v>0</v>
      </c>
      <c r="J20" s="361">
        <f>I20/'- 3 -'!E20</f>
        <v>0</v>
      </c>
      <c r="K20" s="17">
        <f>I20/'- 7 -'!G20</f>
        <v>0</v>
      </c>
    </row>
    <row r="21" spans="1:11" ht="12.75">
      <c r="A21" s="14">
        <v>13</v>
      </c>
      <c r="B21" s="15" t="s">
        <v>125</v>
      </c>
      <c r="C21" s="15">
        <v>349997</v>
      </c>
      <c r="D21" s="360">
        <f>C21/'- 3 -'!E21</f>
        <v>0.01665532984164833</v>
      </c>
      <c r="E21" s="15">
        <f>C21/'- 7 -'!G21</f>
        <v>133.58664122137404</v>
      </c>
      <c r="F21" s="15">
        <v>0</v>
      </c>
      <c r="G21" s="360">
        <f>F21/'- 3 -'!E21</f>
        <v>0</v>
      </c>
      <c r="H21" s="15">
        <f>F21/'- 7 -'!G21</f>
        <v>0</v>
      </c>
      <c r="I21" s="15">
        <v>0</v>
      </c>
      <c r="J21" s="360">
        <f>I21/'- 3 -'!E21</f>
        <v>0</v>
      </c>
      <c r="K21" s="15">
        <f>I21/'- 7 -'!G21</f>
        <v>0</v>
      </c>
    </row>
    <row r="22" spans="1:11" ht="12.75">
      <c r="A22" s="16">
        <v>14</v>
      </c>
      <c r="B22" s="17" t="s">
        <v>126</v>
      </c>
      <c r="C22" s="17">
        <v>305381</v>
      </c>
      <c r="D22" s="361">
        <f>C22/'- 3 -'!E22</f>
        <v>0.012828198521119978</v>
      </c>
      <c r="E22" s="17">
        <f>C22/'- 7 -'!G22</f>
        <v>89.1883761682243</v>
      </c>
      <c r="F22" s="17">
        <v>0</v>
      </c>
      <c r="G22" s="361">
        <f>F22/'- 3 -'!E22</f>
        <v>0</v>
      </c>
      <c r="H22" s="17">
        <f>F22/'- 7 -'!G22</f>
        <v>0</v>
      </c>
      <c r="I22" s="17">
        <v>0</v>
      </c>
      <c r="J22" s="361">
        <f>I22/'- 3 -'!E22</f>
        <v>0</v>
      </c>
      <c r="K22" s="17">
        <f>I22/'- 7 -'!G22</f>
        <v>0</v>
      </c>
    </row>
    <row r="23" spans="1:11" ht="12.75">
      <c r="A23" s="14">
        <v>15</v>
      </c>
      <c r="B23" s="15" t="s">
        <v>127</v>
      </c>
      <c r="C23" s="15">
        <v>393845</v>
      </c>
      <c r="D23" s="360">
        <f>C23/'- 3 -'!E23</f>
        <v>0.011587236137689947</v>
      </c>
      <c r="E23" s="15">
        <f>C23/'- 7 -'!G23</f>
        <v>64.8624835309618</v>
      </c>
      <c r="F23" s="15">
        <v>33182</v>
      </c>
      <c r="G23" s="360">
        <f>F23/'- 3 -'!E23</f>
        <v>0.0009762410834740261</v>
      </c>
      <c r="H23" s="15">
        <f>F23/'- 7 -'!G23</f>
        <v>5.4647562582345195</v>
      </c>
      <c r="I23" s="15">
        <v>115500</v>
      </c>
      <c r="J23" s="360">
        <f>I23/'- 3 -'!E23</f>
        <v>0.0033981027406801883</v>
      </c>
      <c r="K23" s="15">
        <f>I23/'- 7 -'!G23</f>
        <v>19.02173913043478</v>
      </c>
    </row>
    <row r="24" spans="1:11" ht="12.75">
      <c r="A24" s="16">
        <v>16</v>
      </c>
      <c r="B24" s="17" t="s">
        <v>128</v>
      </c>
      <c r="C24" s="17">
        <v>49591</v>
      </c>
      <c r="D24" s="361">
        <f>C24/'- 3 -'!E24</f>
        <v>0.00794646698613202</v>
      </c>
      <c r="E24" s="17">
        <f>C24/'- 7 -'!G24</f>
        <v>59.60456730769231</v>
      </c>
      <c r="F24" s="17">
        <v>0</v>
      </c>
      <c r="G24" s="361">
        <f>F24/'- 3 -'!E24</f>
        <v>0</v>
      </c>
      <c r="H24" s="17">
        <f>F24/'- 7 -'!G24</f>
        <v>0</v>
      </c>
      <c r="I24" s="17">
        <v>33719</v>
      </c>
      <c r="J24" s="361">
        <f>I24/'- 3 -'!E24</f>
        <v>0.005403136059070912</v>
      </c>
      <c r="K24" s="17">
        <f>I24/'- 7 -'!G24</f>
        <v>40.52764423076923</v>
      </c>
    </row>
    <row r="25" spans="1:11" ht="12.75">
      <c r="A25" s="14">
        <v>17</v>
      </c>
      <c r="B25" s="15" t="s">
        <v>129</v>
      </c>
      <c r="C25" s="15">
        <v>100850</v>
      </c>
      <c r="D25" s="360">
        <f>C25/'- 3 -'!E25</f>
        <v>0.022650761198089384</v>
      </c>
      <c r="E25" s="15">
        <f>C25/'- 7 -'!G25</f>
        <v>205.8583384364156</v>
      </c>
      <c r="F25" s="15">
        <v>0</v>
      </c>
      <c r="G25" s="360">
        <f>F25/'- 3 -'!E25</f>
        <v>0</v>
      </c>
      <c r="H25" s="15">
        <f>F25/'- 7 -'!G25</f>
        <v>0</v>
      </c>
      <c r="I25" s="15">
        <v>0</v>
      </c>
      <c r="J25" s="360">
        <f>I25/'- 3 -'!E25</f>
        <v>0</v>
      </c>
      <c r="K25" s="15">
        <f>I25/'- 7 -'!G25</f>
        <v>0</v>
      </c>
    </row>
    <row r="26" spans="1:11" ht="12.75">
      <c r="A26" s="16">
        <v>18</v>
      </c>
      <c r="B26" s="17" t="s">
        <v>130</v>
      </c>
      <c r="C26" s="17">
        <v>104127.39</v>
      </c>
      <c r="D26" s="361">
        <f>C26/'- 3 -'!E26</f>
        <v>0.010622654640710537</v>
      </c>
      <c r="E26" s="17">
        <f>C26/'- 7 -'!G26</f>
        <v>74.37670714285714</v>
      </c>
      <c r="F26" s="17">
        <v>0</v>
      </c>
      <c r="G26" s="361">
        <f>F26/'- 3 -'!E26</f>
        <v>0</v>
      </c>
      <c r="H26" s="17">
        <f>F26/'- 7 -'!G26</f>
        <v>0</v>
      </c>
      <c r="I26" s="17">
        <v>0</v>
      </c>
      <c r="J26" s="361">
        <f>I26/'- 3 -'!E26</f>
        <v>0</v>
      </c>
      <c r="K26" s="17">
        <f>I26/'- 7 -'!G26</f>
        <v>0</v>
      </c>
    </row>
    <row r="27" spans="1:11" ht="12.75">
      <c r="A27" s="14">
        <v>19</v>
      </c>
      <c r="B27" s="15" t="s">
        <v>131</v>
      </c>
      <c r="C27" s="15">
        <v>160000</v>
      </c>
      <c r="D27" s="360">
        <f>C27/'- 3 -'!E27</f>
        <v>0.012884641788839243</v>
      </c>
      <c r="E27" s="15">
        <f>C27/'- 7 -'!G27</f>
        <v>88.22718500137854</v>
      </c>
      <c r="F27" s="15">
        <v>0</v>
      </c>
      <c r="G27" s="360">
        <f>F27/'- 3 -'!E27</f>
        <v>0</v>
      </c>
      <c r="H27" s="15">
        <f>F27/'- 7 -'!G27</f>
        <v>0</v>
      </c>
      <c r="I27" s="15">
        <v>0</v>
      </c>
      <c r="J27" s="360">
        <f>I27/'- 3 -'!E27</f>
        <v>0</v>
      </c>
      <c r="K27" s="15">
        <f>I27/'- 7 -'!G27</f>
        <v>0</v>
      </c>
    </row>
    <row r="28" spans="1:11" ht="12.75">
      <c r="A28" s="16">
        <v>20</v>
      </c>
      <c r="B28" s="17" t="s">
        <v>132</v>
      </c>
      <c r="C28" s="17">
        <v>56000</v>
      </c>
      <c r="D28" s="361">
        <f>C28/'- 3 -'!E28</f>
        <v>0.00708587280681165</v>
      </c>
      <c r="E28" s="17">
        <f>C28/'- 7 -'!G28</f>
        <v>58.76797145555672</v>
      </c>
      <c r="F28" s="17">
        <v>0</v>
      </c>
      <c r="G28" s="361">
        <f>F28/'- 3 -'!E28</f>
        <v>0</v>
      </c>
      <c r="H28" s="17">
        <f>F28/'- 7 -'!G28</f>
        <v>0</v>
      </c>
      <c r="I28" s="17">
        <v>0</v>
      </c>
      <c r="J28" s="361">
        <f>I28/'- 3 -'!E28</f>
        <v>0</v>
      </c>
      <c r="K28" s="17">
        <f>I28/'- 7 -'!G28</f>
        <v>0</v>
      </c>
    </row>
    <row r="29" spans="1:11" ht="12.75">
      <c r="A29" s="14">
        <v>21</v>
      </c>
      <c r="B29" s="15" t="s">
        <v>133</v>
      </c>
      <c r="C29" s="15">
        <v>374150</v>
      </c>
      <c r="D29" s="360">
        <f>C29/'- 3 -'!E29</f>
        <v>0.015923987061627513</v>
      </c>
      <c r="E29" s="15">
        <f>C29/'- 7 -'!G29</f>
        <v>111.65323783945091</v>
      </c>
      <c r="F29" s="15">
        <v>0</v>
      </c>
      <c r="G29" s="360">
        <f>F29/'- 3 -'!E29</f>
        <v>0</v>
      </c>
      <c r="H29" s="15">
        <f>F29/'- 7 -'!G29</f>
        <v>0</v>
      </c>
      <c r="I29" s="15">
        <v>0</v>
      </c>
      <c r="J29" s="360">
        <f>I29/'- 3 -'!E29</f>
        <v>0</v>
      </c>
      <c r="K29" s="15">
        <f>I29/'- 7 -'!G29</f>
        <v>0</v>
      </c>
    </row>
    <row r="30" spans="1:11" ht="12.75">
      <c r="A30" s="16">
        <v>22</v>
      </c>
      <c r="B30" s="17" t="s">
        <v>134</v>
      </c>
      <c r="C30" s="17">
        <v>185200</v>
      </c>
      <c r="D30" s="361">
        <f>C30/'- 3 -'!E30</f>
        <v>0.014871059801493836</v>
      </c>
      <c r="E30" s="17">
        <f>C30/'- 7 -'!G30</f>
        <v>112.27644740830554</v>
      </c>
      <c r="F30" s="17">
        <v>0</v>
      </c>
      <c r="G30" s="361">
        <f>F30/'- 3 -'!E30</f>
        <v>0</v>
      </c>
      <c r="H30" s="17">
        <f>F30/'- 7 -'!G30</f>
        <v>0</v>
      </c>
      <c r="I30" s="17">
        <v>0</v>
      </c>
      <c r="J30" s="361">
        <f>I30/'- 3 -'!E30</f>
        <v>0</v>
      </c>
      <c r="K30" s="17">
        <f>I30/'- 7 -'!G30</f>
        <v>0</v>
      </c>
    </row>
    <row r="31" spans="1:11" ht="12.75">
      <c r="A31" s="14">
        <v>23</v>
      </c>
      <c r="B31" s="15" t="s">
        <v>135</v>
      </c>
      <c r="C31" s="15">
        <v>189825</v>
      </c>
      <c r="D31" s="360">
        <f>C31/'- 3 -'!E31</f>
        <v>0.01855972251296052</v>
      </c>
      <c r="E31" s="15">
        <f>C31/'- 7 -'!G31</f>
        <v>134.24681753889675</v>
      </c>
      <c r="F31" s="15">
        <v>0</v>
      </c>
      <c r="G31" s="360">
        <f>F31/'- 3 -'!E31</f>
        <v>0</v>
      </c>
      <c r="H31" s="15">
        <f>F31/'- 7 -'!G31</f>
        <v>0</v>
      </c>
      <c r="I31" s="15">
        <v>0</v>
      </c>
      <c r="J31" s="360">
        <f>I31/'- 3 -'!E31</f>
        <v>0</v>
      </c>
      <c r="K31" s="15">
        <f>I31/'- 7 -'!G31</f>
        <v>0</v>
      </c>
    </row>
    <row r="32" spans="1:11" ht="12.75">
      <c r="A32" s="16">
        <v>24</v>
      </c>
      <c r="B32" s="17" t="s">
        <v>136</v>
      </c>
      <c r="C32" s="17">
        <v>383591</v>
      </c>
      <c r="D32" s="361">
        <f>C32/'- 3 -'!E32</f>
        <v>0.016406070200210503</v>
      </c>
      <c r="E32" s="17">
        <f>C32/'- 7 -'!G32</f>
        <v>109.68204043118978</v>
      </c>
      <c r="F32" s="17">
        <v>48278</v>
      </c>
      <c r="G32" s="361">
        <f>F32/'- 3 -'!E32</f>
        <v>0.0020648353510008387</v>
      </c>
      <c r="H32" s="17">
        <f>F32/'- 7 -'!G32</f>
        <v>13.80436336602522</v>
      </c>
      <c r="I32" s="17">
        <v>0</v>
      </c>
      <c r="J32" s="361">
        <f>I32/'- 3 -'!E32</f>
        <v>0</v>
      </c>
      <c r="K32" s="17">
        <f>I32/'- 7 -'!G32</f>
        <v>0</v>
      </c>
    </row>
    <row r="33" spans="1:11" ht="12.75">
      <c r="A33" s="14">
        <v>25</v>
      </c>
      <c r="B33" s="15" t="s">
        <v>137</v>
      </c>
      <c r="C33" s="15">
        <v>90959</v>
      </c>
      <c r="D33" s="360">
        <f>C33/'- 3 -'!E33</f>
        <v>0.008552512685520389</v>
      </c>
      <c r="E33" s="15">
        <f>C33/'- 7 -'!G33</f>
        <v>65.06366237482118</v>
      </c>
      <c r="F33" s="15">
        <v>2200</v>
      </c>
      <c r="G33" s="360">
        <f>F33/'- 3 -'!E33</f>
        <v>0.0002068572423635358</v>
      </c>
      <c r="H33" s="15">
        <f>F33/'- 7 -'!G33</f>
        <v>1.5736766809728182</v>
      </c>
      <c r="I33" s="15">
        <v>0</v>
      </c>
      <c r="J33" s="360">
        <f>I33/'- 3 -'!E33</f>
        <v>0</v>
      </c>
      <c r="K33" s="15">
        <f>I33/'- 7 -'!G33</f>
        <v>0</v>
      </c>
    </row>
    <row r="34" spans="1:11" ht="12.75">
      <c r="A34" s="16">
        <v>26</v>
      </c>
      <c r="B34" s="17" t="s">
        <v>138</v>
      </c>
      <c r="C34" s="17">
        <v>247400</v>
      </c>
      <c r="D34" s="361">
        <f>C34/'- 3 -'!E34</f>
        <v>0.014266149610045123</v>
      </c>
      <c r="E34" s="17">
        <f>C34/'- 7 -'!G34</f>
        <v>83.58108108108108</v>
      </c>
      <c r="F34" s="17">
        <v>0</v>
      </c>
      <c r="G34" s="361">
        <f>F34/'- 3 -'!E34</f>
        <v>0</v>
      </c>
      <c r="H34" s="17">
        <f>F34/'- 7 -'!G34</f>
        <v>0</v>
      </c>
      <c r="I34" s="17">
        <v>0</v>
      </c>
      <c r="J34" s="361">
        <f>I34/'- 3 -'!E34</f>
        <v>0</v>
      </c>
      <c r="K34" s="17">
        <f>I34/'- 7 -'!G34</f>
        <v>0</v>
      </c>
    </row>
    <row r="35" spans="1:11" ht="12.75">
      <c r="A35" s="14">
        <v>28</v>
      </c>
      <c r="B35" s="15" t="s">
        <v>139</v>
      </c>
      <c r="C35" s="15">
        <v>63387</v>
      </c>
      <c r="D35" s="360">
        <f>C35/'- 3 -'!E35</f>
        <v>0.009898576561360025</v>
      </c>
      <c r="E35" s="15">
        <f>C35/'- 7 -'!G35</f>
        <v>77.3483831604637</v>
      </c>
      <c r="F35" s="15">
        <v>0</v>
      </c>
      <c r="G35" s="360">
        <f>F35/'- 3 -'!E35</f>
        <v>0</v>
      </c>
      <c r="H35" s="15">
        <f>F35/'- 7 -'!G35</f>
        <v>0</v>
      </c>
      <c r="I35" s="15">
        <v>0</v>
      </c>
      <c r="J35" s="360">
        <f>I35/'- 3 -'!E35</f>
        <v>0</v>
      </c>
      <c r="K35" s="15">
        <f>I35/'- 7 -'!G35</f>
        <v>0</v>
      </c>
    </row>
    <row r="36" spans="1:11" ht="12.75">
      <c r="A36" s="16">
        <v>30</v>
      </c>
      <c r="B36" s="17" t="s">
        <v>140</v>
      </c>
      <c r="C36" s="17">
        <v>84561</v>
      </c>
      <c r="D36" s="361">
        <f>C36/'- 3 -'!E36</f>
        <v>0.00863376474759963</v>
      </c>
      <c r="E36" s="17">
        <f>C36/'- 7 -'!G36</f>
        <v>64.96696373693915</v>
      </c>
      <c r="F36" s="17">
        <v>500</v>
      </c>
      <c r="G36" s="361">
        <f>F36/'- 3 -'!E36</f>
        <v>5.105051233783677E-05</v>
      </c>
      <c r="H36" s="17">
        <f>F36/'- 7 -'!G36</f>
        <v>0.3841425937307929</v>
      </c>
      <c r="I36" s="17">
        <v>0</v>
      </c>
      <c r="J36" s="361">
        <f>I36/'- 3 -'!E36</f>
        <v>0</v>
      </c>
      <c r="K36" s="17">
        <f>I36/'- 7 -'!G36</f>
        <v>0</v>
      </c>
    </row>
    <row r="37" spans="1:11" ht="12.75">
      <c r="A37" s="14">
        <v>31</v>
      </c>
      <c r="B37" s="15" t="s">
        <v>141</v>
      </c>
      <c r="C37" s="15">
        <v>160818</v>
      </c>
      <c r="D37" s="360">
        <f>C37/'- 3 -'!E37</f>
        <v>0.01468498480438557</v>
      </c>
      <c r="E37" s="15">
        <f>C37/'- 7 -'!G37</f>
        <v>99.27037037037037</v>
      </c>
      <c r="F37" s="15">
        <v>0</v>
      </c>
      <c r="G37" s="360">
        <f>F37/'- 3 -'!E37</f>
        <v>0</v>
      </c>
      <c r="H37" s="15">
        <f>F37/'- 7 -'!G37</f>
        <v>0</v>
      </c>
      <c r="I37" s="15">
        <v>0</v>
      </c>
      <c r="J37" s="360">
        <f>I37/'- 3 -'!E37</f>
        <v>0</v>
      </c>
      <c r="K37" s="15">
        <f>I37/'- 7 -'!G37</f>
        <v>0</v>
      </c>
    </row>
    <row r="38" spans="1:11" ht="12.75">
      <c r="A38" s="16">
        <v>32</v>
      </c>
      <c r="B38" s="17" t="s">
        <v>142</v>
      </c>
      <c r="C38" s="17">
        <v>32603</v>
      </c>
      <c r="D38" s="361">
        <f>C38/'- 3 -'!E38</f>
        <v>0.004742475286122408</v>
      </c>
      <c r="E38" s="17">
        <f>C38/'- 7 -'!G38</f>
        <v>38.83621203097081</v>
      </c>
      <c r="F38" s="17">
        <v>0</v>
      </c>
      <c r="G38" s="361">
        <f>F38/'- 3 -'!E38</f>
        <v>0</v>
      </c>
      <c r="H38" s="17">
        <f>F38/'- 7 -'!G38</f>
        <v>0</v>
      </c>
      <c r="I38" s="17">
        <v>0</v>
      </c>
      <c r="J38" s="361">
        <f>I38/'- 3 -'!E38</f>
        <v>0</v>
      </c>
      <c r="K38" s="17">
        <f>I38/'- 7 -'!G38</f>
        <v>0</v>
      </c>
    </row>
    <row r="39" spans="1:11" ht="12.75">
      <c r="A39" s="14">
        <v>33</v>
      </c>
      <c r="B39" s="15" t="s">
        <v>143</v>
      </c>
      <c r="C39" s="15">
        <v>349778</v>
      </c>
      <c r="D39" s="360">
        <f>C39/'- 3 -'!E39</f>
        <v>0.025542136368243505</v>
      </c>
      <c r="E39" s="15">
        <f>C39/'- 7 -'!G39</f>
        <v>187.03705684188012</v>
      </c>
      <c r="F39" s="15">
        <v>23622</v>
      </c>
      <c r="G39" s="360">
        <f>F39/'- 3 -'!E39</f>
        <v>0.0017249693957042697</v>
      </c>
      <c r="H39" s="15">
        <f>F39/'- 7 -'!G39</f>
        <v>12.631410085022193</v>
      </c>
      <c r="I39" s="15">
        <v>126155</v>
      </c>
      <c r="J39" s="360">
        <f>I39/'- 3 -'!E39</f>
        <v>0.009212323855519098</v>
      </c>
      <c r="K39" s="15">
        <f>I39/'- 7 -'!G39</f>
        <v>67.45895941393509</v>
      </c>
    </row>
    <row r="40" spans="1:11" ht="12.75">
      <c r="A40" s="16">
        <v>34</v>
      </c>
      <c r="B40" s="17" t="s">
        <v>144</v>
      </c>
      <c r="C40" s="17">
        <v>54000</v>
      </c>
      <c r="D40" s="361">
        <f>C40/'- 3 -'!E40</f>
        <v>0.00937009208891801</v>
      </c>
      <c r="E40" s="17">
        <f>C40/'- 7 -'!G40</f>
        <v>73.92197125256673</v>
      </c>
      <c r="F40" s="17">
        <v>0</v>
      </c>
      <c r="G40" s="361">
        <f>F40/'- 3 -'!E40</f>
        <v>0</v>
      </c>
      <c r="H40" s="17">
        <f>F40/'- 7 -'!G40</f>
        <v>0</v>
      </c>
      <c r="I40" s="17">
        <v>0</v>
      </c>
      <c r="J40" s="361">
        <f>I40/'- 3 -'!E40</f>
        <v>0</v>
      </c>
      <c r="K40" s="17">
        <f>I40/'- 7 -'!G40</f>
        <v>0</v>
      </c>
    </row>
    <row r="41" spans="1:11" ht="12.75">
      <c r="A41" s="14">
        <v>35</v>
      </c>
      <c r="B41" s="15" t="s">
        <v>145</v>
      </c>
      <c r="C41" s="15">
        <v>160447</v>
      </c>
      <c r="D41" s="360">
        <f>C41/'- 3 -'!E41</f>
        <v>0.010899985380363273</v>
      </c>
      <c r="E41" s="15">
        <f>C41/'- 7 -'!G41</f>
        <v>83.79308543973261</v>
      </c>
      <c r="F41" s="15">
        <v>0</v>
      </c>
      <c r="G41" s="360">
        <f>F41/'- 3 -'!E41</f>
        <v>0</v>
      </c>
      <c r="H41" s="15">
        <f>F41/'- 7 -'!G41</f>
        <v>0</v>
      </c>
      <c r="I41" s="15">
        <v>0</v>
      </c>
      <c r="J41" s="360">
        <f>I41/'- 3 -'!E41</f>
        <v>0</v>
      </c>
      <c r="K41" s="15">
        <f>I41/'- 7 -'!G41</f>
        <v>0</v>
      </c>
    </row>
    <row r="42" spans="1:11" ht="12.75">
      <c r="A42" s="16">
        <v>36</v>
      </c>
      <c r="B42" s="17" t="s">
        <v>146</v>
      </c>
      <c r="C42" s="17">
        <v>200340</v>
      </c>
      <c r="D42" s="361">
        <f>C42/'- 3 -'!E42</f>
        <v>0.026229379418695995</v>
      </c>
      <c r="E42" s="17">
        <f>C42/'- 7 -'!G42</f>
        <v>214.2673796791444</v>
      </c>
      <c r="F42" s="17">
        <v>0</v>
      </c>
      <c r="G42" s="361">
        <f>F42/'- 3 -'!E42</f>
        <v>0</v>
      </c>
      <c r="H42" s="17">
        <f>F42/'- 7 -'!G42</f>
        <v>0</v>
      </c>
      <c r="I42" s="17">
        <v>0</v>
      </c>
      <c r="J42" s="361">
        <f>I42/'- 3 -'!E42</f>
        <v>0</v>
      </c>
      <c r="K42" s="17">
        <f>I42/'- 7 -'!G42</f>
        <v>0</v>
      </c>
    </row>
    <row r="43" spans="1:11" ht="12.75">
      <c r="A43" s="14">
        <v>37</v>
      </c>
      <c r="B43" s="15" t="s">
        <v>147</v>
      </c>
      <c r="C43" s="15">
        <v>101712</v>
      </c>
      <c r="D43" s="360">
        <f>C43/'- 3 -'!E43</f>
        <v>0.014687292875120755</v>
      </c>
      <c r="E43" s="15">
        <f>C43/'- 7 -'!G43</f>
        <v>110.31311345617821</v>
      </c>
      <c r="F43" s="15">
        <v>0</v>
      </c>
      <c r="G43" s="360">
        <f>F43/'- 3 -'!E43</f>
        <v>0</v>
      </c>
      <c r="H43" s="15">
        <f>F43/'- 7 -'!G43</f>
        <v>0</v>
      </c>
      <c r="I43" s="15">
        <v>0</v>
      </c>
      <c r="J43" s="360">
        <f>I43/'- 3 -'!E43</f>
        <v>0</v>
      </c>
      <c r="K43" s="15">
        <f>I43/'- 7 -'!G43</f>
        <v>0</v>
      </c>
    </row>
    <row r="44" spans="1:11" ht="12.75">
      <c r="A44" s="16">
        <v>38</v>
      </c>
      <c r="B44" s="17" t="s">
        <v>148</v>
      </c>
      <c r="C44" s="17">
        <v>132754</v>
      </c>
      <c r="D44" s="361">
        <f>C44/'- 3 -'!E44</f>
        <v>0.014822683616532037</v>
      </c>
      <c r="E44" s="17">
        <f>C44/'- 7 -'!G44</f>
        <v>113.65924657534246</v>
      </c>
      <c r="F44" s="17">
        <v>0</v>
      </c>
      <c r="G44" s="361">
        <f>F44/'- 3 -'!E44</f>
        <v>0</v>
      </c>
      <c r="H44" s="17">
        <f>F44/'- 7 -'!G44</f>
        <v>0</v>
      </c>
      <c r="I44" s="17">
        <v>0</v>
      </c>
      <c r="J44" s="361">
        <f>I44/'- 3 -'!E44</f>
        <v>0</v>
      </c>
      <c r="K44" s="17">
        <f>I44/'- 7 -'!G44</f>
        <v>0</v>
      </c>
    </row>
    <row r="45" spans="1:11" ht="12.75">
      <c r="A45" s="14">
        <v>39</v>
      </c>
      <c r="B45" s="15" t="s">
        <v>149</v>
      </c>
      <c r="C45" s="15">
        <v>237800</v>
      </c>
      <c r="D45" s="360">
        <f>C45/'- 3 -'!E45</f>
        <v>0.014932355425223625</v>
      </c>
      <c r="E45" s="15">
        <f>C45/'- 7 -'!G45</f>
        <v>113.23809523809524</v>
      </c>
      <c r="F45" s="15">
        <v>1500</v>
      </c>
      <c r="G45" s="360">
        <f>F45/'- 3 -'!E45</f>
        <v>9.419063556701193E-05</v>
      </c>
      <c r="H45" s="15">
        <f>F45/'- 7 -'!G45</f>
        <v>0.7142857142857143</v>
      </c>
      <c r="I45" s="15">
        <v>0</v>
      </c>
      <c r="J45" s="360">
        <f>I45/'- 3 -'!E45</f>
        <v>0</v>
      </c>
      <c r="K45" s="15">
        <f>I45/'- 7 -'!G45</f>
        <v>0</v>
      </c>
    </row>
    <row r="46" spans="1:11" ht="12.75">
      <c r="A46" s="16">
        <v>40</v>
      </c>
      <c r="B46" s="17" t="s">
        <v>150</v>
      </c>
      <c r="C46" s="17">
        <v>1139300</v>
      </c>
      <c r="D46" s="361">
        <f>C46/'- 3 -'!E46</f>
        <v>0.0243823098241897</v>
      </c>
      <c r="E46" s="17">
        <f>C46/'- 7 -'!G46</f>
        <v>153.928257785584</v>
      </c>
      <c r="F46" s="17">
        <v>15300</v>
      </c>
      <c r="G46" s="361">
        <f>F46/'- 3 -'!E46</f>
        <v>0.0003274373214343039</v>
      </c>
      <c r="H46" s="17">
        <f>F46/'- 7 -'!G46</f>
        <v>2.067148550969398</v>
      </c>
      <c r="I46" s="17">
        <v>11000</v>
      </c>
      <c r="J46" s="361">
        <f>I46/'- 3 -'!E46</f>
        <v>0.00023541245331878057</v>
      </c>
      <c r="K46" s="17">
        <f>I46/'- 7 -'!G46</f>
        <v>1.4861852327230967</v>
      </c>
    </row>
    <row r="47" spans="1:11" ht="12.75">
      <c r="A47" s="14">
        <v>41</v>
      </c>
      <c r="B47" s="15" t="s">
        <v>151</v>
      </c>
      <c r="C47" s="15">
        <v>118200</v>
      </c>
      <c r="D47" s="360">
        <f>C47/'- 3 -'!E47</f>
        <v>0.009623521645514731</v>
      </c>
      <c r="E47" s="15">
        <f>C47/'- 7 -'!G47</f>
        <v>74.88121634463099</v>
      </c>
      <c r="F47" s="15">
        <v>0</v>
      </c>
      <c r="G47" s="360">
        <f>F47/'- 3 -'!E47</f>
        <v>0</v>
      </c>
      <c r="H47" s="15">
        <f>F47/'- 7 -'!G47</f>
        <v>0</v>
      </c>
      <c r="I47" s="15">
        <v>0</v>
      </c>
      <c r="J47" s="360">
        <f>I47/'- 3 -'!E47</f>
        <v>0</v>
      </c>
      <c r="K47" s="15">
        <f>I47/'- 7 -'!G47</f>
        <v>0</v>
      </c>
    </row>
    <row r="48" spans="1:11" ht="12.75">
      <c r="A48" s="16">
        <v>42</v>
      </c>
      <c r="B48" s="17" t="s">
        <v>152</v>
      </c>
      <c r="C48" s="17">
        <v>115706</v>
      </c>
      <c r="D48" s="361">
        <f>C48/'- 3 -'!E48</f>
        <v>0.014414320588761449</v>
      </c>
      <c r="E48" s="17">
        <f>C48/'- 7 -'!G48</f>
        <v>111.20230658337339</v>
      </c>
      <c r="F48" s="17">
        <v>0</v>
      </c>
      <c r="G48" s="361">
        <f>F48/'- 3 -'!E48</f>
        <v>0</v>
      </c>
      <c r="H48" s="17">
        <f>F48/'- 7 -'!G48</f>
        <v>0</v>
      </c>
      <c r="I48" s="17">
        <v>0</v>
      </c>
      <c r="J48" s="361">
        <f>I48/'- 3 -'!E48</f>
        <v>0</v>
      </c>
      <c r="K48" s="17">
        <f>I48/'- 7 -'!G48</f>
        <v>0</v>
      </c>
    </row>
    <row r="49" spans="1:11" ht="12.75">
      <c r="A49" s="14">
        <v>43</v>
      </c>
      <c r="B49" s="15" t="s">
        <v>153</v>
      </c>
      <c r="C49" s="15">
        <v>61000</v>
      </c>
      <c r="D49" s="360">
        <f>C49/'- 3 -'!E49</f>
        <v>0.00952678431985007</v>
      </c>
      <c r="E49" s="15">
        <f>C49/'- 7 -'!G49</f>
        <v>78.55763039278816</v>
      </c>
      <c r="F49" s="15">
        <v>0</v>
      </c>
      <c r="G49" s="360">
        <f>F49/'- 3 -'!E49</f>
        <v>0</v>
      </c>
      <c r="H49" s="15">
        <f>F49/'- 7 -'!G49</f>
        <v>0</v>
      </c>
      <c r="I49" s="15">
        <v>0</v>
      </c>
      <c r="J49" s="360">
        <f>I49/'- 3 -'!E49</f>
        <v>0</v>
      </c>
      <c r="K49" s="15">
        <f>I49/'- 7 -'!G49</f>
        <v>0</v>
      </c>
    </row>
    <row r="50" spans="1:11" ht="12.75">
      <c r="A50" s="16">
        <v>44</v>
      </c>
      <c r="B50" s="17" t="s">
        <v>154</v>
      </c>
      <c r="C50" s="17">
        <v>128997</v>
      </c>
      <c r="D50" s="361">
        <f>C50/'- 3 -'!E50</f>
        <v>0.013968608666066471</v>
      </c>
      <c r="E50" s="17">
        <f>C50/'- 7 -'!G50</f>
        <v>106.12669683257919</v>
      </c>
      <c r="F50" s="17">
        <v>0</v>
      </c>
      <c r="G50" s="361">
        <f>F50/'- 3 -'!E50</f>
        <v>0</v>
      </c>
      <c r="H50" s="17">
        <f>F50/'- 7 -'!G50</f>
        <v>0</v>
      </c>
      <c r="I50" s="17">
        <v>0</v>
      </c>
      <c r="J50" s="361">
        <f>I50/'- 3 -'!E50</f>
        <v>0</v>
      </c>
      <c r="K50" s="17">
        <f>I50/'- 7 -'!G50</f>
        <v>0</v>
      </c>
    </row>
    <row r="51" spans="1:11" ht="12.75">
      <c r="A51" s="14">
        <v>45</v>
      </c>
      <c r="B51" s="15" t="s">
        <v>155</v>
      </c>
      <c r="C51" s="15">
        <v>245400</v>
      </c>
      <c r="D51" s="360">
        <f>C51/'- 3 -'!E51</f>
        <v>0.02035972329028726</v>
      </c>
      <c r="E51" s="15">
        <f>C51/'- 7 -'!G51</f>
        <v>129.91000529380625</v>
      </c>
      <c r="F51" s="15">
        <v>10795</v>
      </c>
      <c r="G51" s="360">
        <f>F51/'- 3 -'!E51</f>
        <v>0.0008956121145829298</v>
      </c>
      <c r="H51" s="15">
        <f>F51/'- 7 -'!G51</f>
        <v>5.714663843303335</v>
      </c>
      <c r="I51" s="15">
        <v>0</v>
      </c>
      <c r="J51" s="360">
        <f>I51/'- 3 -'!E51</f>
        <v>0</v>
      </c>
      <c r="K51" s="15">
        <f>I51/'- 7 -'!G51</f>
        <v>0</v>
      </c>
    </row>
    <row r="52" spans="1:11" ht="12.75">
      <c r="A52" s="16">
        <v>46</v>
      </c>
      <c r="B52" s="17" t="s">
        <v>156</v>
      </c>
      <c r="C52" s="17">
        <v>262663</v>
      </c>
      <c r="D52" s="361">
        <f>C52/'- 3 -'!E52</f>
        <v>0.024772241523672564</v>
      </c>
      <c r="E52" s="17">
        <f>C52/'- 7 -'!G52</f>
        <v>174.99200532978014</v>
      </c>
      <c r="F52" s="17">
        <v>0</v>
      </c>
      <c r="G52" s="361">
        <f>F52/'- 3 -'!E52</f>
        <v>0</v>
      </c>
      <c r="H52" s="17">
        <f>F52/'- 7 -'!G52</f>
        <v>0</v>
      </c>
      <c r="I52" s="17">
        <v>25394</v>
      </c>
      <c r="J52" s="361">
        <f>I52/'- 3 -'!E52</f>
        <v>0.00239495589882146</v>
      </c>
      <c r="K52" s="17">
        <f>I52/'- 7 -'!G52</f>
        <v>16.918054630246502</v>
      </c>
    </row>
    <row r="53" spans="1:11" ht="12.75">
      <c r="A53" s="14">
        <v>47</v>
      </c>
      <c r="B53" s="15" t="s">
        <v>157</v>
      </c>
      <c r="C53" s="15">
        <v>194065</v>
      </c>
      <c r="D53" s="360">
        <f>C53/'- 3 -'!E53</f>
        <v>0.02026472953402243</v>
      </c>
      <c r="E53" s="15">
        <f>C53/'- 7 -'!G53</f>
        <v>136.76180408738549</v>
      </c>
      <c r="F53" s="15">
        <v>0</v>
      </c>
      <c r="G53" s="360">
        <f>F53/'- 3 -'!E53</f>
        <v>0</v>
      </c>
      <c r="H53" s="15">
        <f>F53/'- 7 -'!G53</f>
        <v>0</v>
      </c>
      <c r="I53" s="15">
        <v>97736</v>
      </c>
      <c r="J53" s="360">
        <f>I53/'- 3 -'!E53</f>
        <v>0.010205825912643785</v>
      </c>
      <c r="K53" s="15">
        <f>I53/'- 7 -'!G53</f>
        <v>68.87667371388302</v>
      </c>
    </row>
    <row r="54" spans="1:11" ht="12.75">
      <c r="A54" s="16">
        <v>48</v>
      </c>
      <c r="B54" s="17" t="s">
        <v>158</v>
      </c>
      <c r="C54" s="17">
        <v>519112</v>
      </c>
      <c r="D54" s="361">
        <f>C54/'- 3 -'!E54</f>
        <v>0.008363207224045835</v>
      </c>
      <c r="E54" s="17">
        <f>C54/'- 7 -'!G54</f>
        <v>100.02157996146435</v>
      </c>
      <c r="F54" s="17">
        <v>101808</v>
      </c>
      <c r="G54" s="361">
        <f>F54/'- 3 -'!E54</f>
        <v>0.0016401882465935259</v>
      </c>
      <c r="H54" s="17">
        <f>F54/'- 7 -'!G54</f>
        <v>19.616184971098267</v>
      </c>
      <c r="I54" s="17">
        <v>538392</v>
      </c>
      <c r="J54" s="361">
        <f>I54/'- 3 -'!E54</f>
        <v>0.008673819645410788</v>
      </c>
      <c r="K54" s="17">
        <f>I54/'- 7 -'!G54</f>
        <v>103.7364161849711</v>
      </c>
    </row>
    <row r="55" spans="1:11" ht="12.75">
      <c r="A55" s="14">
        <v>49</v>
      </c>
      <c r="B55" s="15" t="s">
        <v>159</v>
      </c>
      <c r="C55" s="15">
        <v>691331</v>
      </c>
      <c r="D55" s="360">
        <f>C55/'- 3 -'!E55</f>
        <v>0.017217753699185434</v>
      </c>
      <c r="E55" s="15">
        <f>C55/'- 7 -'!G55</f>
        <v>159.6607390300231</v>
      </c>
      <c r="F55" s="15">
        <v>0</v>
      </c>
      <c r="G55" s="360">
        <f>F55/'- 3 -'!E55</f>
        <v>0</v>
      </c>
      <c r="H55" s="15">
        <f>F55/'- 7 -'!G55</f>
        <v>0</v>
      </c>
      <c r="I55" s="15">
        <v>0</v>
      </c>
      <c r="J55" s="360">
        <f>I55/'- 3 -'!E55</f>
        <v>0</v>
      </c>
      <c r="K55" s="15">
        <f>I55/'- 7 -'!G55</f>
        <v>0</v>
      </c>
    </row>
    <row r="56" spans="1:11" ht="12.75">
      <c r="A56" s="16">
        <v>50</v>
      </c>
      <c r="B56" s="17" t="s">
        <v>340</v>
      </c>
      <c r="C56" s="17">
        <v>137100</v>
      </c>
      <c r="D56" s="361">
        <f>C56/'- 3 -'!E56</f>
        <v>0.009511915912165677</v>
      </c>
      <c r="E56" s="17">
        <f>C56/'- 7 -'!G56</f>
        <v>79.63984896892245</v>
      </c>
      <c r="F56" s="17">
        <v>0</v>
      </c>
      <c r="G56" s="361">
        <f>F56/'- 3 -'!E56</f>
        <v>0</v>
      </c>
      <c r="H56" s="17">
        <f>F56/'- 7 -'!G56</f>
        <v>0</v>
      </c>
      <c r="I56" s="17">
        <v>0</v>
      </c>
      <c r="J56" s="361">
        <f>I56/'- 3 -'!E56</f>
        <v>0</v>
      </c>
      <c r="K56" s="17">
        <f>I56/'- 7 -'!G56</f>
        <v>0</v>
      </c>
    </row>
    <row r="57" spans="1:11" ht="12.75">
      <c r="A57" s="14">
        <v>2264</v>
      </c>
      <c r="B57" s="15" t="s">
        <v>160</v>
      </c>
      <c r="C57" s="15">
        <v>26714</v>
      </c>
      <c r="D57" s="360">
        <f>C57/'- 3 -'!E57</f>
        <v>0.013210534800665027</v>
      </c>
      <c r="E57" s="15">
        <f>C57/'- 7 -'!G57</f>
        <v>129.67961165048544</v>
      </c>
      <c r="F57" s="15">
        <v>0</v>
      </c>
      <c r="G57" s="360">
        <f>F57/'- 3 -'!E57</f>
        <v>0</v>
      </c>
      <c r="H57" s="15">
        <f>F57/'- 7 -'!G57</f>
        <v>0</v>
      </c>
      <c r="I57" s="15">
        <v>0</v>
      </c>
      <c r="J57" s="360">
        <f>I57/'- 3 -'!E57</f>
        <v>0</v>
      </c>
      <c r="K57" s="15">
        <f>I57/'- 7 -'!G57</f>
        <v>0</v>
      </c>
    </row>
    <row r="58" spans="1:11" ht="12.75">
      <c r="A58" s="16">
        <v>2309</v>
      </c>
      <c r="B58" s="17" t="s">
        <v>161</v>
      </c>
      <c r="C58" s="17">
        <v>13956</v>
      </c>
      <c r="D58" s="361">
        <f>C58/'- 3 -'!E58</f>
        <v>0.006629138283273586</v>
      </c>
      <c r="E58" s="17">
        <f>C58/'- 7 -'!G58</f>
        <v>53.328238440962934</v>
      </c>
      <c r="F58" s="17">
        <v>0</v>
      </c>
      <c r="G58" s="361">
        <f>F58/'- 3 -'!E58</f>
        <v>0</v>
      </c>
      <c r="H58" s="17">
        <f>F58/'- 7 -'!G58</f>
        <v>0</v>
      </c>
      <c r="I58" s="17">
        <v>0</v>
      </c>
      <c r="J58" s="361">
        <f>I58/'- 3 -'!E58</f>
        <v>0</v>
      </c>
      <c r="K58" s="17">
        <f>I58/'- 7 -'!G58</f>
        <v>0</v>
      </c>
    </row>
    <row r="59" spans="1:11" ht="12.75">
      <c r="A59" s="14">
        <v>2312</v>
      </c>
      <c r="B59" s="15" t="s">
        <v>162</v>
      </c>
      <c r="C59" s="15">
        <v>0</v>
      </c>
      <c r="D59" s="360">
        <f>C59/'- 3 -'!E59</f>
        <v>0</v>
      </c>
      <c r="E59" s="15">
        <f>C59/'- 7 -'!G59</f>
        <v>0</v>
      </c>
      <c r="F59" s="15">
        <v>0</v>
      </c>
      <c r="G59" s="360">
        <f>F59/'- 3 -'!E59</f>
        <v>0</v>
      </c>
      <c r="H59" s="15">
        <f>F59/'- 7 -'!G59</f>
        <v>0</v>
      </c>
      <c r="I59" s="15">
        <v>0</v>
      </c>
      <c r="J59" s="360">
        <f>I59/'- 3 -'!E59</f>
        <v>0</v>
      </c>
      <c r="K59" s="15">
        <f>I59/'- 7 -'!G59</f>
        <v>0</v>
      </c>
    </row>
    <row r="60" spans="1:11" ht="12.75">
      <c r="A60" s="16">
        <v>2355</v>
      </c>
      <c r="B60" s="17" t="s">
        <v>163</v>
      </c>
      <c r="C60" s="17">
        <v>499493</v>
      </c>
      <c r="D60" s="361">
        <f>C60/'- 3 -'!E60</f>
        <v>0.019469515884775024</v>
      </c>
      <c r="E60" s="17">
        <f>C60/'- 7 -'!G60</f>
        <v>149.12464546947305</v>
      </c>
      <c r="F60" s="17">
        <v>1900</v>
      </c>
      <c r="G60" s="361">
        <f>F60/'- 3 -'!E60</f>
        <v>7.405925644818355E-05</v>
      </c>
      <c r="H60" s="17">
        <f>F60/'- 7 -'!G60</f>
        <v>0.5672488431109121</v>
      </c>
      <c r="I60" s="17">
        <v>0</v>
      </c>
      <c r="J60" s="361">
        <f>I60/'- 3 -'!E60</f>
        <v>0</v>
      </c>
      <c r="K60" s="17">
        <f>I60/'- 7 -'!G60</f>
        <v>0</v>
      </c>
    </row>
    <row r="61" spans="1:11" ht="12.75">
      <c r="A61" s="14">
        <v>2439</v>
      </c>
      <c r="B61" s="15" t="s">
        <v>164</v>
      </c>
      <c r="C61" s="15">
        <v>8404</v>
      </c>
      <c r="D61" s="360">
        <f>C61/'- 3 -'!E61</f>
        <v>0.006186102762620452</v>
      </c>
      <c r="E61" s="15">
        <f>C61/'- 7 -'!G61</f>
        <v>53.02208201892744</v>
      </c>
      <c r="F61" s="15">
        <v>0</v>
      </c>
      <c r="G61" s="360">
        <f>F61/'- 3 -'!E61</f>
        <v>0</v>
      </c>
      <c r="H61" s="15">
        <f>F61/'- 7 -'!G61</f>
        <v>0</v>
      </c>
      <c r="I61" s="15">
        <v>0</v>
      </c>
      <c r="J61" s="360">
        <f>I61/'- 3 -'!E61</f>
        <v>0</v>
      </c>
      <c r="K61" s="15">
        <f>I61/'- 7 -'!G61</f>
        <v>0</v>
      </c>
    </row>
    <row r="62" spans="1:11" ht="12.75">
      <c r="A62" s="16">
        <v>2460</v>
      </c>
      <c r="B62" s="17" t="s">
        <v>165</v>
      </c>
      <c r="C62" s="17">
        <v>37920</v>
      </c>
      <c r="D62" s="361">
        <f>C62/'- 3 -'!E62</f>
        <v>0.017629140895515726</v>
      </c>
      <c r="E62" s="17">
        <f>C62/'- 7 -'!G62</f>
        <v>139.30933137398972</v>
      </c>
      <c r="F62" s="17">
        <v>0</v>
      </c>
      <c r="G62" s="361">
        <f>F62/'- 3 -'!E62</f>
        <v>0</v>
      </c>
      <c r="H62" s="17">
        <f>F62/'- 7 -'!G62</f>
        <v>0</v>
      </c>
      <c r="I62" s="17">
        <v>0</v>
      </c>
      <c r="J62" s="361">
        <f>I62/'- 3 -'!E62</f>
        <v>0</v>
      </c>
      <c r="K62" s="17">
        <f>I62/'- 7 -'!G62</f>
        <v>0</v>
      </c>
    </row>
    <row r="63" spans="1:11" ht="12.75">
      <c r="A63" s="14">
        <v>3000</v>
      </c>
      <c r="B63" s="15" t="s">
        <v>363</v>
      </c>
      <c r="C63" s="15">
        <v>452939</v>
      </c>
      <c r="D63" s="360">
        <f>C63/'- 3 -'!E63</f>
        <v>0.06262922474074162</v>
      </c>
      <c r="E63" s="15">
        <f>C63/'- 7 -'!G63</f>
        <v>566.0322419395151</v>
      </c>
      <c r="F63" s="15">
        <v>0</v>
      </c>
      <c r="G63" s="360">
        <f>F63/'- 3 -'!E63</f>
        <v>0</v>
      </c>
      <c r="H63" s="15">
        <f>F63/'- 7 -'!G63</f>
        <v>0</v>
      </c>
      <c r="I63" s="15">
        <v>0</v>
      </c>
      <c r="J63" s="360">
        <f>I63/'- 3 -'!E63</f>
        <v>0</v>
      </c>
      <c r="K63" s="15">
        <f>I63/'- 7 -'!G63</f>
        <v>0</v>
      </c>
    </row>
    <row r="64" spans="1:11" ht="4.5" customHeight="1">
      <c r="A64" s="18"/>
      <c r="B64" s="18"/>
      <c r="C64" s="18"/>
      <c r="D64" s="198"/>
      <c r="E64" s="18"/>
      <c r="F64" s="18"/>
      <c r="G64" s="198"/>
      <c r="H64" s="18"/>
      <c r="I64" s="18"/>
      <c r="J64" s="198"/>
      <c r="K64" s="18"/>
    </row>
    <row r="65" spans="1:11" ht="12.75">
      <c r="A65" s="20"/>
      <c r="B65" s="21" t="s">
        <v>166</v>
      </c>
      <c r="C65" s="21">
        <f>SUM(C11:C63)</f>
        <v>22207138.39</v>
      </c>
      <c r="D65" s="103">
        <f>C65/'- 3 -'!E65</f>
        <v>0.016433471637873946</v>
      </c>
      <c r="E65" s="21">
        <f>C65/'- 7 -'!G65</f>
        <v>122.76290714815974</v>
      </c>
      <c r="F65" s="21">
        <f>SUM(F11:F63)</f>
        <v>440335</v>
      </c>
      <c r="G65" s="103">
        <f>F65/'- 3 -'!E65</f>
        <v>0.0003258516521391041</v>
      </c>
      <c r="H65" s="21">
        <f>F65/'- 7 -'!G65</f>
        <v>2.4342084860166855</v>
      </c>
      <c r="I65" s="21">
        <f>SUM(I11:I63)</f>
        <v>2198746</v>
      </c>
      <c r="J65" s="103">
        <f>I65/'- 3 -'!E65</f>
        <v>0.001627090775737215</v>
      </c>
      <c r="K65" s="21">
        <f>I65/'- 7 -'!G65</f>
        <v>12.154850674589218</v>
      </c>
    </row>
    <row r="66" spans="1:11" ht="4.5" customHeight="1">
      <c r="A66" s="18"/>
      <c r="B66" s="18"/>
      <c r="C66" s="18"/>
      <c r="D66" s="198"/>
      <c r="E66" s="18"/>
      <c r="F66" s="18"/>
      <c r="G66" s="198"/>
      <c r="H66" s="18"/>
      <c r="I66" s="18"/>
      <c r="J66" s="198"/>
      <c r="K66" s="18"/>
    </row>
    <row r="67" spans="1:11" ht="12.75">
      <c r="A67" s="16">
        <v>2155</v>
      </c>
      <c r="B67" s="17" t="s">
        <v>167</v>
      </c>
      <c r="C67" s="17">
        <v>13828</v>
      </c>
      <c r="D67" s="361">
        <f>C67/'- 3 -'!E67</f>
        <v>0.010425336855691867</v>
      </c>
      <c r="E67" s="17">
        <f>C67/'- 7 -'!G67</f>
        <v>97.38028169014085</v>
      </c>
      <c r="F67" s="17">
        <v>0</v>
      </c>
      <c r="G67" s="361">
        <f>F67/'- 3 -'!E67</f>
        <v>0</v>
      </c>
      <c r="H67" s="17">
        <f>F67/'- 7 -'!G67</f>
        <v>0</v>
      </c>
      <c r="I67" s="17">
        <v>0</v>
      </c>
      <c r="J67" s="361">
        <f>I67/'- 3 -'!E67</f>
        <v>0</v>
      </c>
      <c r="K67" s="17">
        <f>I67/'- 7 -'!G67</f>
        <v>0</v>
      </c>
    </row>
    <row r="68" spans="1:11" ht="12.75">
      <c r="A68" s="14">
        <v>2408</v>
      </c>
      <c r="B68" s="15" t="s">
        <v>169</v>
      </c>
      <c r="C68" s="15">
        <v>89445</v>
      </c>
      <c r="D68" s="360">
        <f>C68/'- 3 -'!E68</f>
        <v>0.03893034582264267</v>
      </c>
      <c r="E68" s="15">
        <f>C68/'- 7 -'!G68</f>
        <v>366.577868852459</v>
      </c>
      <c r="F68" s="15">
        <v>0</v>
      </c>
      <c r="G68" s="360">
        <f>F68/'- 3 -'!E68</f>
        <v>0</v>
      </c>
      <c r="H68" s="15">
        <f>F68/'- 7 -'!G68</f>
        <v>0</v>
      </c>
      <c r="I68" s="15">
        <v>0</v>
      </c>
      <c r="J68" s="360">
        <f>I68/'- 3 -'!E68</f>
        <v>0</v>
      </c>
      <c r="K68" s="15">
        <f>I68/'- 7 -'!G68</f>
        <v>0</v>
      </c>
    </row>
    <row r="69" ht="6.75" customHeight="1"/>
    <row r="70" spans="1:2" ht="12" customHeight="1">
      <c r="A70" s="7"/>
      <c r="B70" s="7"/>
    </row>
    <row r="71" spans="1:2" ht="12" customHeight="1">
      <c r="A71" s="7"/>
      <c r="B71" s="7"/>
    </row>
    <row r="72" spans="1:2" ht="12" customHeight="1">
      <c r="A72" s="7"/>
      <c r="B72" s="7"/>
    </row>
    <row r="73" spans="1:2" ht="12" customHeight="1">
      <c r="A73" s="7"/>
      <c r="B73" s="7"/>
    </row>
    <row r="74" spans="1:2" ht="12" customHeight="1">
      <c r="A74" s="7"/>
      <c r="B74" s="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6">
    <pageSetUpPr fitToPage="1"/>
  </sheetPr>
  <dimension ref="A1:F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20.83203125" style="82" customWidth="1"/>
    <col min="4" max="5" width="15.83203125" style="82" customWidth="1"/>
    <col min="6" max="6" width="45.83203125" style="82" customWidth="1"/>
    <col min="7" max="16384" width="15.83203125" style="82" customWidth="1"/>
  </cols>
  <sheetData>
    <row r="1" spans="1:6" ht="6.75" customHeight="1">
      <c r="A1" s="18"/>
      <c r="B1" s="80"/>
      <c r="C1" s="142"/>
      <c r="D1" s="142"/>
      <c r="E1" s="142"/>
      <c r="F1" s="142"/>
    </row>
    <row r="2" spans="1:6" ht="12.75">
      <c r="A2" s="9"/>
      <c r="B2" s="83"/>
      <c r="C2" s="200" t="s">
        <v>0</v>
      </c>
      <c r="D2" s="200"/>
      <c r="E2" s="200"/>
      <c r="F2" s="219" t="s">
        <v>434</v>
      </c>
    </row>
    <row r="3" spans="1:6" ht="12.75">
      <c r="A3" s="10"/>
      <c r="B3" s="86"/>
      <c r="C3" s="203" t="str">
        <f>YEAR</f>
        <v>OPERATING FUND BUDGET 2002/2003</v>
      </c>
      <c r="D3" s="203"/>
      <c r="E3" s="203"/>
      <c r="F3" s="220"/>
    </row>
    <row r="4" spans="1:6" ht="12.75">
      <c r="A4" s="11"/>
      <c r="C4" s="142"/>
      <c r="D4" s="142"/>
      <c r="E4" s="142"/>
      <c r="F4" s="142"/>
    </row>
    <row r="5" spans="1:6" ht="16.5">
      <c r="A5" s="11"/>
      <c r="C5" s="340" t="s">
        <v>328</v>
      </c>
      <c r="D5" s="155"/>
      <c r="E5" s="128"/>
      <c r="F5" s="142"/>
    </row>
    <row r="6" spans="1:6" ht="12.75">
      <c r="A6" s="11"/>
      <c r="C6" s="68"/>
      <c r="D6" s="66"/>
      <c r="E6" s="67"/>
      <c r="F6" s="142"/>
    </row>
    <row r="7" spans="3:6" ht="12.75">
      <c r="C7" s="69" t="s">
        <v>57</v>
      </c>
      <c r="D7" s="70"/>
      <c r="E7" s="71"/>
      <c r="F7" s="142"/>
    </row>
    <row r="8" spans="1:6" ht="12.75">
      <c r="A8" s="94"/>
      <c r="B8" s="46"/>
      <c r="C8" s="73"/>
      <c r="D8" s="228"/>
      <c r="E8" s="229" t="s">
        <v>75</v>
      </c>
      <c r="F8" s="142"/>
    </row>
    <row r="9" spans="1:5" ht="12.75">
      <c r="A9" s="52" t="s">
        <v>100</v>
      </c>
      <c r="B9" s="53" t="s">
        <v>101</v>
      </c>
      <c r="C9" s="75" t="s">
        <v>102</v>
      </c>
      <c r="D9" s="76" t="s">
        <v>103</v>
      </c>
      <c r="E9" s="76" t="s">
        <v>104</v>
      </c>
    </row>
    <row r="10" spans="1:2" ht="4.5" customHeight="1">
      <c r="A10" s="77"/>
      <c r="B10" s="77"/>
    </row>
    <row r="11" spans="1:5" ht="12.75">
      <c r="A11" s="14">
        <v>1</v>
      </c>
      <c r="B11" s="15" t="s">
        <v>115</v>
      </c>
      <c r="C11" s="15">
        <v>850400</v>
      </c>
      <c r="D11" s="360">
        <f>C11/'- 3 -'!E11</f>
        <v>0.003345956739423389</v>
      </c>
      <c r="E11" s="15">
        <f>C11/'- 7 -'!G11</f>
        <v>27.50501326088363</v>
      </c>
    </row>
    <row r="12" spans="1:5" ht="12.75">
      <c r="A12" s="16">
        <v>2</v>
      </c>
      <c r="B12" s="17" t="s">
        <v>116</v>
      </c>
      <c r="C12" s="17">
        <v>112055</v>
      </c>
      <c r="D12" s="361">
        <f>C12/'- 3 -'!E12</f>
        <v>0.0017839748542252702</v>
      </c>
      <c r="E12" s="17">
        <f>C12/'- 7 -'!G12</f>
        <v>12.252071989328435</v>
      </c>
    </row>
    <row r="13" spans="1:5" ht="12.75">
      <c r="A13" s="14">
        <v>3</v>
      </c>
      <c r="B13" s="15" t="s">
        <v>117</v>
      </c>
      <c r="C13" s="15">
        <v>123000</v>
      </c>
      <c r="D13" s="360">
        <f>C13/'- 3 -'!E13</f>
        <v>0.002774772275792873</v>
      </c>
      <c r="E13" s="15">
        <f>C13/'- 7 -'!G13</f>
        <v>21.408058480549997</v>
      </c>
    </row>
    <row r="14" spans="1:5" ht="12.75">
      <c r="A14" s="16">
        <v>4</v>
      </c>
      <c r="B14" s="17" t="s">
        <v>118</v>
      </c>
      <c r="C14" s="17">
        <v>82023</v>
      </c>
      <c r="D14" s="361">
        <f>C14/'- 3 -'!E14</f>
        <v>0.0018834822922284672</v>
      </c>
      <c r="E14" s="17">
        <f>C14/'- 7 -'!G14</f>
        <v>13.167924225397336</v>
      </c>
    </row>
    <row r="15" spans="1:5" ht="12.75">
      <c r="A15" s="14">
        <v>5</v>
      </c>
      <c r="B15" s="15" t="s">
        <v>119</v>
      </c>
      <c r="C15" s="15">
        <v>75380</v>
      </c>
      <c r="D15" s="360">
        <f>C15/'- 3 -'!E15</f>
        <v>0.0013906134990862961</v>
      </c>
      <c r="E15" s="15">
        <f>C15/'- 7 -'!G15</f>
        <v>10.428166286228125</v>
      </c>
    </row>
    <row r="16" spans="1:5" ht="12.75">
      <c r="A16" s="16">
        <v>6</v>
      </c>
      <c r="B16" s="17" t="s">
        <v>120</v>
      </c>
      <c r="C16" s="17">
        <v>51550</v>
      </c>
      <c r="D16" s="361">
        <f>C16/'- 3 -'!E16</f>
        <v>0.0008272468771390269</v>
      </c>
      <c r="E16" s="17">
        <f>C16/'- 7 -'!G16</f>
        <v>5.80028129395218</v>
      </c>
    </row>
    <row r="17" spans="1:5" ht="12.75">
      <c r="A17" s="14">
        <v>9</v>
      </c>
      <c r="B17" s="15" t="s">
        <v>121</v>
      </c>
      <c r="C17" s="15">
        <v>11000</v>
      </c>
      <c r="D17" s="360">
        <f>C17/'- 3 -'!E17</f>
        <v>0.00013113059836310627</v>
      </c>
      <c r="E17" s="15">
        <f>C17/'- 7 -'!G17</f>
        <v>0.886739218057235</v>
      </c>
    </row>
    <row r="18" spans="1:5" ht="12.75">
      <c r="A18" s="16">
        <v>10</v>
      </c>
      <c r="B18" s="17" t="s">
        <v>122</v>
      </c>
      <c r="C18" s="17">
        <v>169125</v>
      </c>
      <c r="D18" s="361">
        <f>C18/'- 3 -'!E18</f>
        <v>0.002730183969602741</v>
      </c>
      <c r="E18" s="17">
        <f>C18/'- 7 -'!G18</f>
        <v>19.609832454055308</v>
      </c>
    </row>
    <row r="19" spans="1:5" ht="12.75">
      <c r="A19" s="14">
        <v>11</v>
      </c>
      <c r="B19" s="15" t="s">
        <v>123</v>
      </c>
      <c r="C19" s="15">
        <v>52170</v>
      </c>
      <c r="D19" s="360">
        <f>C19/'- 3 -'!E19</f>
        <v>0.001564147590532125</v>
      </c>
      <c r="E19" s="15">
        <f>C19/'- 7 -'!G19</f>
        <v>11.107089631679795</v>
      </c>
    </row>
    <row r="20" spans="1:5" ht="12.75">
      <c r="A20" s="16">
        <v>12</v>
      </c>
      <c r="B20" s="17" t="s">
        <v>124</v>
      </c>
      <c r="C20" s="17">
        <v>75591</v>
      </c>
      <c r="D20" s="361">
        <f>C20/'- 3 -'!E20</f>
        <v>0.0014439716975358096</v>
      </c>
      <c r="E20" s="17">
        <f>C20/'- 7 -'!G20</f>
        <v>9.9018862981399</v>
      </c>
    </row>
    <row r="21" spans="1:5" ht="12.75">
      <c r="A21" s="14">
        <v>13</v>
      </c>
      <c r="B21" s="15" t="s">
        <v>125</v>
      </c>
      <c r="C21" s="15">
        <v>19000</v>
      </c>
      <c r="D21" s="360">
        <f>C21/'- 3 -'!E21</f>
        <v>0.0009041542270114267</v>
      </c>
      <c r="E21" s="15">
        <f>C21/'- 7 -'!G21</f>
        <v>7.251908396946565</v>
      </c>
    </row>
    <row r="22" spans="1:5" ht="12.75">
      <c r="A22" s="16">
        <v>14</v>
      </c>
      <c r="B22" s="17" t="s">
        <v>126</v>
      </c>
      <c r="C22" s="17">
        <v>24675</v>
      </c>
      <c r="D22" s="361">
        <f>C22/'- 3 -'!E22</f>
        <v>0.0010365274804543683</v>
      </c>
      <c r="E22" s="17">
        <f>C22/'- 7 -'!G22</f>
        <v>7.206483644859813</v>
      </c>
    </row>
    <row r="23" spans="1:5" ht="12.75">
      <c r="A23" s="14">
        <v>15</v>
      </c>
      <c r="B23" s="15" t="s">
        <v>127</v>
      </c>
      <c r="C23" s="15">
        <v>44700</v>
      </c>
      <c r="D23" s="360">
        <f>C23/'- 3 -'!E23</f>
        <v>0.0013151098918476572</v>
      </c>
      <c r="E23" s="15">
        <f>C23/'- 7 -'!G23</f>
        <v>7.361660079051384</v>
      </c>
    </row>
    <row r="24" spans="1:5" ht="12.75">
      <c r="A24" s="16">
        <v>16</v>
      </c>
      <c r="B24" s="17" t="s">
        <v>128</v>
      </c>
      <c r="C24" s="17">
        <v>7300</v>
      </c>
      <c r="D24" s="361">
        <f>C24/'- 3 -'!E24</f>
        <v>0.0011697527575318858</v>
      </c>
      <c r="E24" s="17">
        <f>C24/'- 7 -'!G24</f>
        <v>8.774038461538462</v>
      </c>
    </row>
    <row r="25" spans="1:5" ht="12.75">
      <c r="A25" s="14">
        <v>17</v>
      </c>
      <c r="B25" s="15" t="s">
        <v>129</v>
      </c>
      <c r="C25" s="15">
        <v>7000</v>
      </c>
      <c r="D25" s="360">
        <f>C25/'- 3 -'!E25</f>
        <v>0.001572189671657171</v>
      </c>
      <c r="E25" s="15">
        <f>C25/'- 7 -'!G25</f>
        <v>14.288630332720965</v>
      </c>
    </row>
    <row r="26" spans="1:5" ht="12.75">
      <c r="A26" s="16">
        <v>18</v>
      </c>
      <c r="B26" s="17" t="s">
        <v>130</v>
      </c>
      <c r="C26" s="17">
        <v>14000</v>
      </c>
      <c r="D26" s="361">
        <f>C26/'- 3 -'!E26</f>
        <v>0.001428223303877563</v>
      </c>
      <c r="E26" s="17">
        <f>C26/'- 7 -'!G26</f>
        <v>10</v>
      </c>
    </row>
    <row r="27" spans="1:5" ht="12.75">
      <c r="A27" s="14">
        <v>19</v>
      </c>
      <c r="B27" s="15" t="s">
        <v>131</v>
      </c>
      <c r="C27" s="15">
        <v>14000</v>
      </c>
      <c r="D27" s="360">
        <f>C27/'- 3 -'!E27</f>
        <v>0.0011274061565234338</v>
      </c>
      <c r="E27" s="15">
        <f>C27/'- 7 -'!G27</f>
        <v>7.719878687620623</v>
      </c>
    </row>
    <row r="28" spans="1:5" ht="12.75">
      <c r="A28" s="16">
        <v>20</v>
      </c>
      <c r="B28" s="17" t="s">
        <v>132</v>
      </c>
      <c r="C28" s="17">
        <v>0</v>
      </c>
      <c r="D28" s="361">
        <f>C28/'- 3 -'!E28</f>
        <v>0</v>
      </c>
      <c r="E28" s="17">
        <f>C28/'- 7 -'!G28</f>
        <v>0</v>
      </c>
    </row>
    <row r="29" spans="1:5" ht="12.75">
      <c r="A29" s="14">
        <v>21</v>
      </c>
      <c r="B29" s="15" t="s">
        <v>133</v>
      </c>
      <c r="C29" s="15">
        <v>31053</v>
      </c>
      <c r="D29" s="360">
        <f>C29/'- 3 -'!E29</f>
        <v>0.001321629213483146</v>
      </c>
      <c r="E29" s="15">
        <f>C29/'- 7 -'!G29</f>
        <v>9.266786034019695</v>
      </c>
    </row>
    <row r="30" spans="1:5" ht="12.75">
      <c r="A30" s="16">
        <v>22</v>
      </c>
      <c r="B30" s="17" t="s">
        <v>134</v>
      </c>
      <c r="C30" s="17">
        <v>7000</v>
      </c>
      <c r="D30" s="361">
        <f>C30/'- 3 -'!E30</f>
        <v>0.0005620810940089462</v>
      </c>
      <c r="E30" s="17">
        <f>C30/'- 7 -'!G30</f>
        <v>4.2437102152167325</v>
      </c>
    </row>
    <row r="31" spans="1:5" ht="12.75">
      <c r="A31" s="14">
        <v>23</v>
      </c>
      <c r="B31" s="15" t="s">
        <v>135</v>
      </c>
      <c r="C31" s="15">
        <v>2100</v>
      </c>
      <c r="D31" s="360">
        <f>C31/'- 3 -'!E31</f>
        <v>0.00020532288832986745</v>
      </c>
      <c r="E31" s="15">
        <f>C31/'- 7 -'!G31</f>
        <v>1.4851485148514851</v>
      </c>
    </row>
    <row r="32" spans="1:5" ht="12.75">
      <c r="A32" s="16">
        <v>24</v>
      </c>
      <c r="B32" s="17" t="s">
        <v>136</v>
      </c>
      <c r="C32" s="17">
        <v>57292</v>
      </c>
      <c r="D32" s="361">
        <f>C32/'- 3 -'!E32</f>
        <v>0.002450361384679151</v>
      </c>
      <c r="E32" s="17">
        <f>C32/'- 7 -'!G32</f>
        <v>16.381780230463498</v>
      </c>
    </row>
    <row r="33" spans="1:5" ht="12.75">
      <c r="A33" s="14">
        <v>25</v>
      </c>
      <c r="B33" s="15" t="s">
        <v>137</v>
      </c>
      <c r="C33" s="15">
        <v>13875</v>
      </c>
      <c r="D33" s="360">
        <f>C33/'- 3 -'!E33</f>
        <v>0.001304611017179118</v>
      </c>
      <c r="E33" s="15">
        <f>C33/'- 7 -'!G33</f>
        <v>9.92489270386266</v>
      </c>
    </row>
    <row r="34" spans="1:5" ht="12.75">
      <c r="A34" s="16">
        <v>26</v>
      </c>
      <c r="B34" s="17" t="s">
        <v>138</v>
      </c>
      <c r="C34" s="17">
        <v>26800</v>
      </c>
      <c r="D34" s="361">
        <f>C34/'- 3 -'!E34</f>
        <v>0.0015454034339094959</v>
      </c>
      <c r="E34" s="17">
        <f>C34/'- 7 -'!G34</f>
        <v>9.054054054054054</v>
      </c>
    </row>
    <row r="35" spans="1:5" ht="12.75">
      <c r="A35" s="14">
        <v>28</v>
      </c>
      <c r="B35" s="15" t="s">
        <v>139</v>
      </c>
      <c r="C35" s="15">
        <v>5000</v>
      </c>
      <c r="D35" s="360">
        <f>C35/'- 3 -'!E35</f>
        <v>0.0007808049411835254</v>
      </c>
      <c r="E35" s="15">
        <f>C35/'- 7 -'!G35</f>
        <v>6.101281269066504</v>
      </c>
    </row>
    <row r="36" spans="1:5" ht="12.75">
      <c r="A36" s="16">
        <v>30</v>
      </c>
      <c r="B36" s="17" t="s">
        <v>140</v>
      </c>
      <c r="C36" s="17">
        <v>4250</v>
      </c>
      <c r="D36" s="361">
        <f>C36/'- 3 -'!E36</f>
        <v>0.00043392935487161256</v>
      </c>
      <c r="E36" s="17">
        <f>C36/'- 7 -'!G36</f>
        <v>3.26521204671174</v>
      </c>
    </row>
    <row r="37" spans="1:5" ht="12.75">
      <c r="A37" s="14">
        <v>31</v>
      </c>
      <c r="B37" s="15" t="s">
        <v>141</v>
      </c>
      <c r="C37" s="15">
        <v>14426</v>
      </c>
      <c r="D37" s="360">
        <f>C37/'- 3 -'!E37</f>
        <v>0.001317300244923244</v>
      </c>
      <c r="E37" s="15">
        <f>C37/'- 7 -'!G37</f>
        <v>8.904938271604939</v>
      </c>
    </row>
    <row r="38" spans="1:5" ht="12.75">
      <c r="A38" s="16">
        <v>32</v>
      </c>
      <c r="B38" s="17" t="s">
        <v>142</v>
      </c>
      <c r="C38" s="17">
        <v>5500</v>
      </c>
      <c r="D38" s="361">
        <f>C38/'- 3 -'!E38</f>
        <v>0.0008000372380969006</v>
      </c>
      <c r="E38" s="17">
        <f>C38/'- 7 -'!G38</f>
        <v>6.551518761167362</v>
      </c>
    </row>
    <row r="39" spans="1:5" ht="12.75">
      <c r="A39" s="14">
        <v>33</v>
      </c>
      <c r="B39" s="15" t="s">
        <v>143</v>
      </c>
      <c r="C39" s="15">
        <v>14750</v>
      </c>
      <c r="D39" s="360">
        <f>C39/'- 3 -'!E39</f>
        <v>0.0010771017943712632</v>
      </c>
      <c r="E39" s="15">
        <f>C39/'- 7 -'!G39</f>
        <v>7.887278755146784</v>
      </c>
    </row>
    <row r="40" spans="1:5" ht="12.75">
      <c r="A40" s="16">
        <v>34</v>
      </c>
      <c r="B40" s="17" t="s">
        <v>144</v>
      </c>
      <c r="C40" s="17">
        <v>31000</v>
      </c>
      <c r="D40" s="361">
        <f>C40/'- 3 -'!E40</f>
        <v>0.005379126939934413</v>
      </c>
      <c r="E40" s="17">
        <f>C40/'- 7 -'!G40</f>
        <v>42.43668720054757</v>
      </c>
    </row>
    <row r="41" spans="1:5" ht="12.75">
      <c r="A41" s="14">
        <v>35</v>
      </c>
      <c r="B41" s="15" t="s">
        <v>145</v>
      </c>
      <c r="C41" s="15">
        <v>4300</v>
      </c>
      <c r="D41" s="360">
        <f>C41/'- 3 -'!E41</f>
        <v>0.0002921209940700797</v>
      </c>
      <c r="E41" s="15">
        <f>C41/'- 7 -'!G41</f>
        <v>2.2456653436390224</v>
      </c>
    </row>
    <row r="42" spans="1:5" ht="12.75">
      <c r="A42" s="16">
        <v>36</v>
      </c>
      <c r="B42" s="17" t="s">
        <v>146</v>
      </c>
      <c r="C42" s="17">
        <v>26250</v>
      </c>
      <c r="D42" s="361">
        <f>C42/'- 3 -'!E42</f>
        <v>0.003436763550667714</v>
      </c>
      <c r="E42" s="17">
        <f>C42/'- 7 -'!G42</f>
        <v>28.074866310160427</v>
      </c>
    </row>
    <row r="43" spans="1:5" ht="12.75">
      <c r="A43" s="14">
        <v>37</v>
      </c>
      <c r="B43" s="15" t="s">
        <v>147</v>
      </c>
      <c r="C43" s="15">
        <v>6500</v>
      </c>
      <c r="D43" s="360">
        <f>C43/'- 3 -'!E43</f>
        <v>0.0009386051172750994</v>
      </c>
      <c r="E43" s="15">
        <f>C43/'- 7 -'!G43</f>
        <v>7.049662158498097</v>
      </c>
    </row>
    <row r="44" spans="1:5" ht="12.75">
      <c r="A44" s="16">
        <v>38</v>
      </c>
      <c r="B44" s="17" t="s">
        <v>148</v>
      </c>
      <c r="C44" s="17">
        <v>6400</v>
      </c>
      <c r="D44" s="361">
        <f>C44/'- 3 -'!E44</f>
        <v>0.0007145937233213691</v>
      </c>
      <c r="E44" s="17">
        <f>C44/'- 7 -'!G44</f>
        <v>5.47945205479452</v>
      </c>
    </row>
    <row r="45" spans="1:5" ht="12.75">
      <c r="A45" s="14">
        <v>39</v>
      </c>
      <c r="B45" s="15" t="s">
        <v>149</v>
      </c>
      <c r="C45" s="15">
        <v>11500</v>
      </c>
      <c r="D45" s="360">
        <f>C45/'- 3 -'!E45</f>
        <v>0.0007221282060137581</v>
      </c>
      <c r="E45" s="15">
        <f>C45/'- 7 -'!G45</f>
        <v>5.476190476190476</v>
      </c>
    </row>
    <row r="46" spans="1:5" ht="12.75">
      <c r="A46" s="16">
        <v>40</v>
      </c>
      <c r="B46" s="17" t="s">
        <v>150</v>
      </c>
      <c r="C46" s="17">
        <v>27700</v>
      </c>
      <c r="D46" s="361">
        <f>C46/'- 3 -'!E46</f>
        <v>0.0005928113597209292</v>
      </c>
      <c r="E46" s="17">
        <f>C46/'- 7 -'!G46</f>
        <v>3.742484631493616</v>
      </c>
    </row>
    <row r="47" spans="1:5" ht="12.75">
      <c r="A47" s="14">
        <v>41</v>
      </c>
      <c r="B47" s="15" t="s">
        <v>151</v>
      </c>
      <c r="C47" s="15">
        <v>3900</v>
      </c>
      <c r="D47" s="360">
        <f>C47/'- 3 -'!E47</f>
        <v>0.0003175273639383033</v>
      </c>
      <c r="E47" s="15">
        <f>C47/'- 7 -'!G47</f>
        <v>2.4707000316756416</v>
      </c>
    </row>
    <row r="48" spans="1:5" ht="12.75">
      <c r="A48" s="16">
        <v>42</v>
      </c>
      <c r="B48" s="17" t="s">
        <v>152</v>
      </c>
      <c r="C48" s="17">
        <v>5333</v>
      </c>
      <c r="D48" s="361">
        <f>C48/'- 3 -'!E48</f>
        <v>0.000664369796725017</v>
      </c>
      <c r="E48" s="17">
        <f>C48/'- 7 -'!G48</f>
        <v>5.1254204709274385</v>
      </c>
    </row>
    <row r="49" spans="1:5" ht="12.75">
      <c r="A49" s="14">
        <v>43</v>
      </c>
      <c r="B49" s="15" t="s">
        <v>153</v>
      </c>
      <c r="C49" s="15">
        <v>11500</v>
      </c>
      <c r="D49" s="360">
        <f>C49/'- 3 -'!E49</f>
        <v>0.0017960331094799312</v>
      </c>
      <c r="E49" s="15">
        <f>C49/'- 7 -'!G49</f>
        <v>14.810045074050226</v>
      </c>
    </row>
    <row r="50" spans="1:5" ht="12.75">
      <c r="A50" s="16">
        <v>44</v>
      </c>
      <c r="B50" s="17" t="s">
        <v>154</v>
      </c>
      <c r="C50" s="17">
        <v>8800</v>
      </c>
      <c r="D50" s="361">
        <f>C50/'- 3 -'!E50</f>
        <v>0.0009529194962780913</v>
      </c>
      <c r="E50" s="17">
        <f>C50/'- 7 -'!G50</f>
        <v>7.239819004524887</v>
      </c>
    </row>
    <row r="51" spans="1:5" ht="12.75">
      <c r="A51" s="14">
        <v>45</v>
      </c>
      <c r="B51" s="15" t="s">
        <v>155</v>
      </c>
      <c r="C51" s="15">
        <v>2350</v>
      </c>
      <c r="D51" s="360">
        <f>C51/'- 3 -'!E51</f>
        <v>0.0001949688253144868</v>
      </c>
      <c r="E51" s="15">
        <f>C51/'- 7 -'!G51</f>
        <v>1.2440444679724723</v>
      </c>
    </row>
    <row r="52" spans="1:5" ht="12.75">
      <c r="A52" s="16">
        <v>46</v>
      </c>
      <c r="B52" s="17" t="s">
        <v>156</v>
      </c>
      <c r="C52" s="17">
        <v>66081</v>
      </c>
      <c r="D52" s="361">
        <f>C52/'- 3 -'!E52</f>
        <v>0.0062322233893841415</v>
      </c>
      <c r="E52" s="17">
        <f>C52/'- 7 -'!G52</f>
        <v>44.02465023317788</v>
      </c>
    </row>
    <row r="53" spans="1:5" ht="12.75">
      <c r="A53" s="14">
        <v>47</v>
      </c>
      <c r="B53" s="15" t="s">
        <v>157</v>
      </c>
      <c r="C53" s="15">
        <v>23330</v>
      </c>
      <c r="D53" s="360">
        <f>C53/'- 3 -'!E53</f>
        <v>0.002436174168596827</v>
      </c>
      <c r="E53" s="15">
        <f>C53/'- 7 -'!G53</f>
        <v>16.441155743481325</v>
      </c>
    </row>
    <row r="54" spans="1:5" ht="12.75">
      <c r="A54" s="16">
        <v>48</v>
      </c>
      <c r="B54" s="17" t="s">
        <v>158</v>
      </c>
      <c r="C54" s="17">
        <v>35500</v>
      </c>
      <c r="D54" s="361">
        <f>C54/'- 3 -'!E54</f>
        <v>0.000571926398260158</v>
      </c>
      <c r="E54" s="17">
        <f>C54/'- 7 -'!G54</f>
        <v>6.840077071290944</v>
      </c>
    </row>
    <row r="55" spans="1:5" ht="12.75">
      <c r="A55" s="14">
        <v>49</v>
      </c>
      <c r="B55" s="15" t="s">
        <v>159</v>
      </c>
      <c r="C55" s="15">
        <v>40500</v>
      </c>
      <c r="D55" s="360">
        <f>C55/'- 3 -'!E55</f>
        <v>0.0010086615887570645</v>
      </c>
      <c r="E55" s="15">
        <f>C55/'- 7 -'!G55</f>
        <v>9.353348729792147</v>
      </c>
    </row>
    <row r="56" spans="1:5" ht="12.75">
      <c r="A56" s="16">
        <v>50</v>
      </c>
      <c r="B56" s="17" t="s">
        <v>340</v>
      </c>
      <c r="C56" s="17">
        <v>15000</v>
      </c>
      <c r="D56" s="361">
        <f>C56/'- 3 -'!E56</f>
        <v>0.0010406910188365075</v>
      </c>
      <c r="E56" s="17">
        <f>C56/'- 7 -'!G56</f>
        <v>8.713331397037468</v>
      </c>
    </row>
    <row r="57" spans="1:5" ht="12.75">
      <c r="A57" s="14">
        <v>2264</v>
      </c>
      <c r="B57" s="15" t="s">
        <v>160</v>
      </c>
      <c r="C57" s="15">
        <v>0</v>
      </c>
      <c r="D57" s="360">
        <f>C57/'- 3 -'!E57</f>
        <v>0</v>
      </c>
      <c r="E57" s="15">
        <f>C57/'- 7 -'!G57</f>
        <v>0</v>
      </c>
    </row>
    <row r="58" spans="1:5" ht="12.75">
      <c r="A58" s="16">
        <v>2309</v>
      </c>
      <c r="B58" s="17" t="s">
        <v>161</v>
      </c>
      <c r="C58" s="17">
        <v>10700</v>
      </c>
      <c r="D58" s="361">
        <f>C58/'- 3 -'!E58</f>
        <v>0.005082529351607005</v>
      </c>
      <c r="E58" s="17">
        <f>C58/'- 7 -'!G58</f>
        <v>40.88651127244937</v>
      </c>
    </row>
    <row r="59" spans="1:5" ht="12.75">
      <c r="A59" s="14">
        <v>2312</v>
      </c>
      <c r="B59" s="15" t="s">
        <v>162</v>
      </c>
      <c r="C59" s="15">
        <v>2800</v>
      </c>
      <c r="D59" s="360">
        <f>C59/'- 3 -'!E59</f>
        <v>0.0017957143993207068</v>
      </c>
      <c r="E59" s="15">
        <f>C59/'- 7 -'!G59</f>
        <v>16.138328530259365</v>
      </c>
    </row>
    <row r="60" spans="1:5" ht="12.75">
      <c r="A60" s="16">
        <v>2355</v>
      </c>
      <c r="B60" s="17" t="s">
        <v>163</v>
      </c>
      <c r="C60" s="17">
        <v>16785</v>
      </c>
      <c r="D60" s="361">
        <f>C60/'- 3 -'!E60</f>
        <v>0.0006542550628856635</v>
      </c>
      <c r="E60" s="17">
        <f>C60/'- 7 -'!G60</f>
        <v>5.011195700850873</v>
      </c>
    </row>
    <row r="61" spans="1:5" ht="12.75">
      <c r="A61" s="14">
        <v>2439</v>
      </c>
      <c r="B61" s="15" t="s">
        <v>164</v>
      </c>
      <c r="C61" s="15">
        <v>0</v>
      </c>
      <c r="D61" s="360">
        <f>C61/'- 3 -'!E61</f>
        <v>0</v>
      </c>
      <c r="E61" s="15">
        <f>C61/'- 7 -'!G61</f>
        <v>0</v>
      </c>
    </row>
    <row r="62" spans="1:5" ht="12.75">
      <c r="A62" s="16">
        <v>2460</v>
      </c>
      <c r="B62" s="17" t="s">
        <v>165</v>
      </c>
      <c r="C62" s="17">
        <v>4500</v>
      </c>
      <c r="D62" s="361">
        <f>C62/'- 3 -'!E62</f>
        <v>0.002092065770828607</v>
      </c>
      <c r="E62" s="17">
        <f>C62/'- 7 -'!G62</f>
        <v>16.531961792799414</v>
      </c>
    </row>
    <row r="63" spans="1:5" ht="12.75">
      <c r="A63" s="14">
        <v>3000</v>
      </c>
      <c r="B63" s="15" t="s">
        <v>363</v>
      </c>
      <c r="C63" s="15">
        <v>7000</v>
      </c>
      <c r="D63" s="360">
        <f>C63/'- 3 -'!E63</f>
        <v>0.0009679108515389299</v>
      </c>
      <c r="E63" s="15">
        <f>C63/'- 7 -'!G63</f>
        <v>8.747813046738315</v>
      </c>
    </row>
    <row r="64" spans="1:5" ht="4.5" customHeight="1">
      <c r="A64" s="18"/>
      <c r="B64" s="18"/>
      <c r="C64" s="18"/>
      <c r="D64" s="198"/>
      <c r="E64" s="18"/>
    </row>
    <row r="65" spans="1:6" ht="12.75">
      <c r="A65" s="20"/>
      <c r="B65" s="21" t="s">
        <v>166</v>
      </c>
      <c r="C65" s="21">
        <f>SUM(C11:C63)</f>
        <v>2282744</v>
      </c>
      <c r="D65" s="103">
        <f>C65/'- 3 -'!E65</f>
        <v>0.001689250011492675</v>
      </c>
      <c r="E65" s="21">
        <f>C65/'- 7 -'!G65</f>
        <v>12.61919860152764</v>
      </c>
      <c r="F65" s="151"/>
    </row>
    <row r="66" spans="1:5" ht="4.5" customHeight="1">
      <c r="A66" s="18"/>
      <c r="B66" s="18"/>
      <c r="C66" s="18"/>
      <c r="D66" s="198"/>
      <c r="E66" s="18"/>
    </row>
    <row r="67" spans="1:5" ht="12.75">
      <c r="A67" s="16">
        <v>2155</v>
      </c>
      <c r="B67" s="17" t="s">
        <v>167</v>
      </c>
      <c r="C67" s="17">
        <v>200</v>
      </c>
      <c r="D67" s="361">
        <f>C67/'- 3 -'!E67</f>
        <v>0.00015078589609042329</v>
      </c>
      <c r="E67" s="17">
        <f>C67/'- 7 -'!G67</f>
        <v>1.408450704225352</v>
      </c>
    </row>
    <row r="68" spans="1:5" ht="12.75">
      <c r="A68" s="14">
        <v>2408</v>
      </c>
      <c r="B68" s="15" t="s">
        <v>169</v>
      </c>
      <c r="C68" s="15">
        <v>13200</v>
      </c>
      <c r="D68" s="360">
        <f>C68/'- 3 -'!E68</f>
        <v>0.0057452128666653605</v>
      </c>
      <c r="E68" s="15">
        <f>C68/'- 7 -'!G68</f>
        <v>54.09836065573771</v>
      </c>
    </row>
    <row r="69" ht="6.75" customHeight="1"/>
    <row r="70" spans="1:2" ht="12" customHeight="1">
      <c r="A70" s="7"/>
      <c r="B70" s="7"/>
    </row>
    <row r="71" spans="1:2" ht="12" customHeight="1">
      <c r="A71" s="7"/>
      <c r="B71" s="7"/>
    </row>
    <row r="72" spans="1:2" ht="12" customHeight="1">
      <c r="A72" s="7"/>
      <c r="B72" s="7"/>
    </row>
    <row r="73" spans="1:2" ht="12" customHeight="1">
      <c r="A73" s="7"/>
      <c r="B73" s="7"/>
    </row>
    <row r="74" spans="1:2" ht="12" customHeight="1">
      <c r="A74" s="7"/>
      <c r="B74" s="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8"/>
      <c r="B1" s="80"/>
      <c r="C1" s="142"/>
      <c r="D1" s="142"/>
      <c r="E1" s="142"/>
      <c r="F1" s="142"/>
      <c r="G1" s="142"/>
      <c r="H1" s="142"/>
    </row>
    <row r="2" spans="1:8" ht="12.75">
      <c r="A2" s="9"/>
      <c r="B2" s="83"/>
      <c r="C2" s="200" t="s">
        <v>0</v>
      </c>
      <c r="D2" s="200"/>
      <c r="E2" s="200"/>
      <c r="F2" s="200"/>
      <c r="G2" s="215"/>
      <c r="H2" s="219" t="s">
        <v>433</v>
      </c>
    </row>
    <row r="3" spans="1:8" ht="12.75">
      <c r="A3" s="10"/>
      <c r="B3" s="86"/>
      <c r="C3" s="203" t="str">
        <f>YEAR</f>
        <v>OPERATING FUND BUDGET 2002/2003</v>
      </c>
      <c r="D3" s="203"/>
      <c r="E3" s="203"/>
      <c r="F3" s="203"/>
      <c r="G3" s="216"/>
      <c r="H3" s="220"/>
    </row>
    <row r="4" spans="1:8" ht="12.75">
      <c r="A4" s="11"/>
      <c r="C4" s="142"/>
      <c r="D4" s="142"/>
      <c r="E4" s="142"/>
      <c r="F4" s="142"/>
      <c r="G4" s="142"/>
      <c r="H4" s="142"/>
    </row>
    <row r="5" spans="1:8" ht="12.75">
      <c r="A5" s="11"/>
      <c r="C5" s="57"/>
      <c r="D5" s="142"/>
      <c r="E5" s="142"/>
      <c r="F5" s="142"/>
      <c r="G5" s="142"/>
      <c r="H5" s="142"/>
    </row>
    <row r="6" spans="1:8" ht="16.5">
      <c r="A6" s="11"/>
      <c r="C6" s="341" t="s">
        <v>26</v>
      </c>
      <c r="D6" s="221"/>
      <c r="E6" s="222"/>
      <c r="F6" s="222"/>
      <c r="G6" s="222"/>
      <c r="H6" s="223"/>
    </row>
    <row r="7" spans="3:8" ht="12.75">
      <c r="C7" s="205"/>
      <c r="D7" s="67"/>
      <c r="E7" s="68"/>
      <c r="F7" s="67"/>
      <c r="G7" s="68" t="s">
        <v>58</v>
      </c>
      <c r="H7" s="67"/>
    </row>
    <row r="8" spans="1:8" ht="12.75">
      <c r="A8" s="94"/>
      <c r="B8" s="46"/>
      <c r="C8" s="69" t="s">
        <v>38</v>
      </c>
      <c r="D8" s="71"/>
      <c r="E8" s="69" t="s">
        <v>78</v>
      </c>
      <c r="F8" s="71"/>
      <c r="G8" s="69" t="s">
        <v>79</v>
      </c>
      <c r="H8" s="71"/>
    </row>
    <row r="9" spans="1:8" ht="12.75">
      <c r="A9" s="52" t="s">
        <v>100</v>
      </c>
      <c r="B9" s="53" t="s">
        <v>101</v>
      </c>
      <c r="C9" s="224" t="s">
        <v>102</v>
      </c>
      <c r="D9" s="133" t="s">
        <v>103</v>
      </c>
      <c r="E9" s="133" t="s">
        <v>102</v>
      </c>
      <c r="F9" s="133" t="s">
        <v>103</v>
      </c>
      <c r="G9" s="133" t="s">
        <v>102</v>
      </c>
      <c r="H9" s="133" t="s">
        <v>103</v>
      </c>
    </row>
    <row r="10" spans="1:2" ht="4.5" customHeight="1">
      <c r="A10" s="77"/>
      <c r="B10" s="77"/>
    </row>
    <row r="11" spans="1:8" ht="12.75">
      <c r="A11" s="14">
        <v>1</v>
      </c>
      <c r="B11" s="15" t="s">
        <v>115</v>
      </c>
      <c r="C11" s="15">
        <v>169400</v>
      </c>
      <c r="D11" s="360">
        <f>C11/'- 3 -'!E11</f>
        <v>0.0006665158415549413</v>
      </c>
      <c r="E11" s="15">
        <v>2552400</v>
      </c>
      <c r="F11" s="360">
        <f>E11/'- 3 -'!E11</f>
        <v>0.010042591700028526</v>
      </c>
      <c r="G11" s="15">
        <v>0</v>
      </c>
      <c r="H11" s="360">
        <f>G11/'- 3 -'!E11</f>
        <v>0</v>
      </c>
    </row>
    <row r="12" spans="1:8" ht="12.75">
      <c r="A12" s="16">
        <v>2</v>
      </c>
      <c r="B12" s="17" t="s">
        <v>116</v>
      </c>
      <c r="C12" s="17">
        <v>54555</v>
      </c>
      <c r="D12" s="361">
        <f>C12/'- 3 -'!E12</f>
        <v>0.0008685444484606632</v>
      </c>
      <c r="E12" s="17">
        <v>969719</v>
      </c>
      <c r="F12" s="361">
        <f>E12/'- 3 -'!E12</f>
        <v>0.015438439263437373</v>
      </c>
      <c r="G12" s="17">
        <v>18500</v>
      </c>
      <c r="H12" s="361">
        <f>G12/'- 3 -'!E12</f>
        <v>0.0002945297827242648</v>
      </c>
    </row>
    <row r="13" spans="1:8" ht="12.75">
      <c r="A13" s="14">
        <v>3</v>
      </c>
      <c r="B13" s="15" t="s">
        <v>117</v>
      </c>
      <c r="C13" s="15">
        <v>58040</v>
      </c>
      <c r="D13" s="360">
        <f>C13/'- 3 -'!E13</f>
        <v>0.0013093315681871412</v>
      </c>
      <c r="E13" s="15">
        <v>567000</v>
      </c>
      <c r="F13" s="360">
        <f>E13/'- 3 -'!E13</f>
        <v>0.012791023417679343</v>
      </c>
      <c r="G13" s="15">
        <v>2500</v>
      </c>
      <c r="H13" s="360">
        <f>G13/'- 3 -'!E13</f>
        <v>5.639781048359498E-05</v>
      </c>
    </row>
    <row r="14" spans="1:8" ht="12.75">
      <c r="A14" s="16">
        <v>4</v>
      </c>
      <c r="B14" s="17" t="s">
        <v>118</v>
      </c>
      <c r="C14" s="17">
        <v>102239</v>
      </c>
      <c r="D14" s="361">
        <f>C14/'- 3 -'!E14</f>
        <v>0.002347699377920172</v>
      </c>
      <c r="E14" s="17">
        <v>420045</v>
      </c>
      <c r="F14" s="361">
        <f>E14/'- 3 -'!E14</f>
        <v>0.009645432615718841</v>
      </c>
      <c r="G14" s="17">
        <v>0</v>
      </c>
      <c r="H14" s="361">
        <f>G14/'- 3 -'!E14</f>
        <v>0</v>
      </c>
    </row>
    <row r="15" spans="1:8" ht="12.75">
      <c r="A15" s="14">
        <v>5</v>
      </c>
      <c r="B15" s="15" t="s">
        <v>119</v>
      </c>
      <c r="C15" s="15">
        <v>81804</v>
      </c>
      <c r="D15" s="360">
        <f>C15/'- 3 -'!E15</f>
        <v>0.001509123728830663</v>
      </c>
      <c r="E15" s="15">
        <v>657426</v>
      </c>
      <c r="F15" s="360">
        <f>E15/'- 3 -'!E15</f>
        <v>0.012128223272092164</v>
      </c>
      <c r="G15" s="15">
        <v>15000</v>
      </c>
      <c r="H15" s="360">
        <f>G15/'- 3 -'!E15</f>
        <v>0.00027672064853136695</v>
      </c>
    </row>
    <row r="16" spans="1:8" ht="12.75">
      <c r="A16" s="16">
        <v>6</v>
      </c>
      <c r="B16" s="17" t="s">
        <v>120</v>
      </c>
      <c r="C16" s="17">
        <v>46611</v>
      </c>
      <c r="D16" s="361">
        <f>C16/'- 3 -'!E16</f>
        <v>0.0007479884421014003</v>
      </c>
      <c r="E16" s="17">
        <v>780862</v>
      </c>
      <c r="F16" s="361">
        <f>E16/'- 3 -'!E16</f>
        <v>0.012530856468991946</v>
      </c>
      <c r="G16" s="17">
        <v>6000</v>
      </c>
      <c r="H16" s="361">
        <f>G16/'- 3 -'!E16</f>
        <v>9.628479656322332E-05</v>
      </c>
    </row>
    <row r="17" spans="1:8" ht="12.75">
      <c r="A17" s="14">
        <v>9</v>
      </c>
      <c r="B17" s="15" t="s">
        <v>121</v>
      </c>
      <c r="C17" s="15">
        <v>235400</v>
      </c>
      <c r="D17" s="360">
        <f>C17/'- 3 -'!E17</f>
        <v>0.0028061948049704745</v>
      </c>
      <c r="E17" s="15">
        <v>1657350</v>
      </c>
      <c r="F17" s="360">
        <f>E17/'- 3 -'!E17</f>
        <v>0.019757208836099473</v>
      </c>
      <c r="G17" s="15">
        <v>26700</v>
      </c>
      <c r="H17" s="360">
        <f>G17/'- 3 -'!E17</f>
        <v>0.0003182897251177216</v>
      </c>
    </row>
    <row r="18" spans="1:8" ht="12.75">
      <c r="A18" s="16">
        <v>10</v>
      </c>
      <c r="B18" s="17" t="s">
        <v>122</v>
      </c>
      <c r="C18" s="17">
        <v>141656</v>
      </c>
      <c r="D18" s="361">
        <f>C18/'- 3 -'!E18</f>
        <v>0.0022867520496558514</v>
      </c>
      <c r="E18" s="17">
        <v>1382040</v>
      </c>
      <c r="F18" s="361">
        <f>E18/'- 3 -'!E18</f>
        <v>0.022310264321358596</v>
      </c>
      <c r="G18" s="17">
        <v>0</v>
      </c>
      <c r="H18" s="361">
        <f>G18/'- 3 -'!E18</f>
        <v>0</v>
      </c>
    </row>
    <row r="19" spans="1:8" ht="12.75">
      <c r="A19" s="14">
        <v>11</v>
      </c>
      <c r="B19" s="15" t="s">
        <v>123</v>
      </c>
      <c r="C19" s="15">
        <v>116235</v>
      </c>
      <c r="D19" s="360">
        <f>C19/'- 3 -'!E19</f>
        <v>0.0034849280273241624</v>
      </c>
      <c r="E19" s="15">
        <v>1556420</v>
      </c>
      <c r="F19" s="360">
        <f>E19/'- 3 -'!E19</f>
        <v>0.046664186177036805</v>
      </c>
      <c r="G19" s="15">
        <v>6600</v>
      </c>
      <c r="H19" s="360">
        <f>G19/'- 3 -'!E19</f>
        <v>0.00019787951116565124</v>
      </c>
    </row>
    <row r="20" spans="1:8" ht="12.75">
      <c r="A20" s="16">
        <v>12</v>
      </c>
      <c r="B20" s="17" t="s">
        <v>124</v>
      </c>
      <c r="C20" s="17">
        <v>227403</v>
      </c>
      <c r="D20" s="361">
        <f>C20/'- 3 -'!E20</f>
        <v>0.004343949622769056</v>
      </c>
      <c r="E20" s="17">
        <v>1868005</v>
      </c>
      <c r="F20" s="361">
        <f>E20/'- 3 -'!E20</f>
        <v>0.035683432562810126</v>
      </c>
      <c r="G20" s="17">
        <v>24285</v>
      </c>
      <c r="H20" s="361">
        <f>G20/'- 3 -'!E20</f>
        <v>0.0004639024840874858</v>
      </c>
    </row>
    <row r="21" spans="1:8" ht="12.75">
      <c r="A21" s="14">
        <v>13</v>
      </c>
      <c r="B21" s="15" t="s">
        <v>125</v>
      </c>
      <c r="C21" s="15">
        <v>58305</v>
      </c>
      <c r="D21" s="360">
        <f>C21/'- 3 -'!E21</f>
        <v>0.002774563800310591</v>
      </c>
      <c r="E21" s="15">
        <v>1389503</v>
      </c>
      <c r="F21" s="360">
        <f>E21/'- 3 -'!E21</f>
        <v>0.06612236899447677</v>
      </c>
      <c r="G21" s="15">
        <v>15000</v>
      </c>
      <c r="H21" s="360">
        <f>G21/'- 3 -'!E21</f>
        <v>0.0007138059686932316</v>
      </c>
    </row>
    <row r="22" spans="1:8" ht="12.75">
      <c r="A22" s="16">
        <v>14</v>
      </c>
      <c r="B22" s="17" t="s">
        <v>126</v>
      </c>
      <c r="C22" s="17">
        <v>84115</v>
      </c>
      <c r="D22" s="361">
        <f>C22/'- 3 -'!E22</f>
        <v>0.00353343501594404</v>
      </c>
      <c r="E22" s="17">
        <v>1611735</v>
      </c>
      <c r="F22" s="361">
        <f>E22/'- 3 -'!E22</f>
        <v>0.06770446276434129</v>
      </c>
      <c r="G22" s="17">
        <v>5000</v>
      </c>
      <c r="H22" s="361">
        <f>G22/'- 3 -'!E22</f>
        <v>0.00021003596361790643</v>
      </c>
    </row>
    <row r="23" spans="1:8" ht="12.75">
      <c r="A23" s="14">
        <v>15</v>
      </c>
      <c r="B23" s="15" t="s">
        <v>127</v>
      </c>
      <c r="C23" s="15">
        <v>90930</v>
      </c>
      <c r="D23" s="360">
        <f>C23/'- 3 -'!E23</f>
        <v>0.002675233612208221</v>
      </c>
      <c r="E23" s="15">
        <v>1772288</v>
      </c>
      <c r="F23" s="360">
        <f>E23/'- 3 -'!E23</f>
        <v>0.05214213601796199</v>
      </c>
      <c r="G23" s="15">
        <v>5000</v>
      </c>
      <c r="H23" s="360">
        <f>G23/'- 3 -'!E23</f>
        <v>0.0001471040147480601</v>
      </c>
    </row>
    <row r="24" spans="1:8" ht="12.75">
      <c r="A24" s="16">
        <v>16</v>
      </c>
      <c r="B24" s="17" t="s">
        <v>128</v>
      </c>
      <c r="C24" s="17">
        <v>33184</v>
      </c>
      <c r="D24" s="361">
        <f>C24/'- 3 -'!E24</f>
        <v>0.005317407603553164</v>
      </c>
      <c r="E24" s="17">
        <v>584628</v>
      </c>
      <c r="F24" s="361">
        <f>E24/'- 3 -'!E24</f>
        <v>0.09368085138771935</v>
      </c>
      <c r="G24" s="17">
        <v>10830</v>
      </c>
      <c r="H24" s="361">
        <f>G24/'- 3 -'!E24</f>
        <v>0.0017354003238452497</v>
      </c>
    </row>
    <row r="25" spans="1:8" ht="12.75">
      <c r="A25" s="14">
        <v>17</v>
      </c>
      <c r="B25" s="15" t="s">
        <v>129</v>
      </c>
      <c r="C25" s="15">
        <v>21655</v>
      </c>
      <c r="D25" s="360">
        <f>C25/'- 3 -'!E25</f>
        <v>0.0048636810485337195</v>
      </c>
      <c r="E25" s="15">
        <v>391750</v>
      </c>
      <c r="F25" s="360">
        <f>E25/'- 3 -'!E25</f>
        <v>0.08798647198167096</v>
      </c>
      <c r="G25" s="15">
        <v>3000</v>
      </c>
      <c r="H25" s="360">
        <f>G25/'- 3 -'!E25</f>
        <v>0.000673795573567359</v>
      </c>
    </row>
    <row r="26" spans="1:8" ht="12.75">
      <c r="A26" s="16">
        <v>18</v>
      </c>
      <c r="B26" s="17" t="s">
        <v>130</v>
      </c>
      <c r="C26" s="17">
        <v>40084.85</v>
      </c>
      <c r="D26" s="361">
        <f>C26/'- 3 -'!E26</f>
        <v>0.004089294064459752</v>
      </c>
      <c r="E26" s="17">
        <v>613264.34</v>
      </c>
      <c r="F26" s="361">
        <f>E26/'- 3 -'!E26</f>
        <v>0.06256274441607808</v>
      </c>
      <c r="G26" s="17">
        <v>4000</v>
      </c>
      <c r="H26" s="361">
        <f>G26/'- 3 -'!E26</f>
        <v>0.00040806380110787515</v>
      </c>
    </row>
    <row r="27" spans="1:8" ht="12.75">
      <c r="A27" s="14">
        <v>19</v>
      </c>
      <c r="B27" s="15" t="s">
        <v>131</v>
      </c>
      <c r="C27" s="15">
        <v>46000</v>
      </c>
      <c r="D27" s="360">
        <f>C27/'- 3 -'!E27</f>
        <v>0.0037043345142912824</v>
      </c>
      <c r="E27" s="15">
        <v>1069000</v>
      </c>
      <c r="F27" s="360">
        <f>E27/'- 3 -'!E27</f>
        <v>0.0860855129516822</v>
      </c>
      <c r="G27" s="15">
        <v>7000</v>
      </c>
      <c r="H27" s="360">
        <f>G27/'- 3 -'!E27</f>
        <v>0.0005637030782617169</v>
      </c>
    </row>
    <row r="28" spans="1:8" ht="12.75">
      <c r="A28" s="16">
        <v>20</v>
      </c>
      <c r="B28" s="17" t="s">
        <v>132</v>
      </c>
      <c r="C28" s="17">
        <v>44925</v>
      </c>
      <c r="D28" s="361">
        <f>C28/'- 3 -'!E28</f>
        <v>0.0056845149258216675</v>
      </c>
      <c r="E28" s="17">
        <v>579150</v>
      </c>
      <c r="F28" s="361">
        <f>E28/'- 3 -'!E28</f>
        <v>0.07328184350116013</v>
      </c>
      <c r="G28" s="17">
        <v>2000</v>
      </c>
      <c r="H28" s="361">
        <f>G28/'- 3 -'!E28</f>
        <v>0.0002530668859575589</v>
      </c>
    </row>
    <row r="29" spans="1:8" ht="12.75">
      <c r="A29" s="14">
        <v>21</v>
      </c>
      <c r="B29" s="15" t="s">
        <v>133</v>
      </c>
      <c r="C29" s="15">
        <v>101000</v>
      </c>
      <c r="D29" s="360">
        <f>C29/'- 3 -'!E29</f>
        <v>0.004298604017705141</v>
      </c>
      <c r="E29" s="15">
        <v>1514000</v>
      </c>
      <c r="F29" s="360">
        <f>E29/'- 3 -'!E29</f>
        <v>0.06443649982975826</v>
      </c>
      <c r="G29" s="15">
        <v>9000</v>
      </c>
      <c r="H29" s="360">
        <f>G29/'- 3 -'!E29</f>
        <v>0.00038304392236976505</v>
      </c>
    </row>
    <row r="30" spans="1:8" ht="12.75">
      <c r="A30" s="16">
        <v>22</v>
      </c>
      <c r="B30" s="17" t="s">
        <v>134</v>
      </c>
      <c r="C30" s="17">
        <v>58950</v>
      </c>
      <c r="D30" s="361">
        <f>C30/'- 3 -'!E30</f>
        <v>0.004733525784546768</v>
      </c>
      <c r="E30" s="17">
        <v>877400</v>
      </c>
      <c r="F30" s="361">
        <f>E30/'- 3 -'!E30</f>
        <v>0.0704528502690642</v>
      </c>
      <c r="G30" s="17">
        <v>1000</v>
      </c>
      <c r="H30" s="361">
        <f>G30/'- 3 -'!E30</f>
        <v>8.029729914413518E-05</v>
      </c>
    </row>
    <row r="31" spans="1:8" ht="12.75">
      <c r="A31" s="14">
        <v>23</v>
      </c>
      <c r="B31" s="15" t="s">
        <v>135</v>
      </c>
      <c r="C31" s="15">
        <v>51500</v>
      </c>
      <c r="D31" s="360">
        <f>C31/'- 3 -'!E31</f>
        <v>0.0050352994042800825</v>
      </c>
      <c r="E31" s="15">
        <v>1146700</v>
      </c>
      <c r="F31" s="360">
        <f>E31/'- 3 -'!E31</f>
        <v>0.11211607430850429</v>
      </c>
      <c r="G31" s="15">
        <v>2000</v>
      </c>
      <c r="H31" s="360">
        <f>G31/'- 3 -'!E31</f>
        <v>0.0001955456079332071</v>
      </c>
    </row>
    <row r="32" spans="1:8" ht="12.75">
      <c r="A32" s="16">
        <v>24</v>
      </c>
      <c r="B32" s="17" t="s">
        <v>136</v>
      </c>
      <c r="C32" s="17">
        <v>48732</v>
      </c>
      <c r="D32" s="361">
        <f>C32/'- 3 -'!E32</f>
        <v>0.0020842527926793336</v>
      </c>
      <c r="E32" s="17">
        <v>734155</v>
      </c>
      <c r="F32" s="361">
        <f>E32/'- 3 -'!E32</f>
        <v>0.03139958567285349</v>
      </c>
      <c r="G32" s="17">
        <v>0</v>
      </c>
      <c r="H32" s="361">
        <f>G32/'- 3 -'!E32</f>
        <v>0</v>
      </c>
    </row>
    <row r="33" spans="1:8" ht="12.75">
      <c r="A33" s="14">
        <v>25</v>
      </c>
      <c r="B33" s="15" t="s">
        <v>137</v>
      </c>
      <c r="C33" s="15">
        <v>28940</v>
      </c>
      <c r="D33" s="360">
        <f>C33/'- 3 -'!E33</f>
        <v>0.0027211129972730575</v>
      </c>
      <c r="E33" s="15">
        <v>881200</v>
      </c>
      <c r="F33" s="360">
        <f>E33/'- 3 -'!E33</f>
        <v>0.0828557281685217</v>
      </c>
      <c r="G33" s="15">
        <v>0</v>
      </c>
      <c r="H33" s="360">
        <f>G33/'- 3 -'!E33</f>
        <v>0</v>
      </c>
    </row>
    <row r="34" spans="1:8" ht="12.75">
      <c r="A34" s="16">
        <v>26</v>
      </c>
      <c r="B34" s="17" t="s">
        <v>138</v>
      </c>
      <c r="C34" s="17">
        <v>52100</v>
      </c>
      <c r="D34" s="361">
        <f>C34/'- 3 -'!E34</f>
        <v>0.0030043104069658482</v>
      </c>
      <c r="E34" s="17">
        <v>636900</v>
      </c>
      <c r="F34" s="361">
        <f>E34/'- 3 -'!E34</f>
        <v>0.0367263972782447</v>
      </c>
      <c r="G34" s="17">
        <v>18000</v>
      </c>
      <c r="H34" s="361">
        <f>G34/'- 3 -'!E34</f>
        <v>0.001037957530237721</v>
      </c>
    </row>
    <row r="35" spans="1:8" ht="12.75">
      <c r="A35" s="14">
        <v>28</v>
      </c>
      <c r="B35" s="15" t="s">
        <v>139</v>
      </c>
      <c r="C35" s="15">
        <v>49757</v>
      </c>
      <c r="D35" s="360">
        <f>C35/'- 3 -'!E35</f>
        <v>0.007770102291693734</v>
      </c>
      <c r="E35" s="15">
        <v>462127</v>
      </c>
      <c r="F35" s="360">
        <f>E35/'- 3 -'!E35</f>
        <v>0.0721662090108638</v>
      </c>
      <c r="G35" s="15">
        <v>0</v>
      </c>
      <c r="H35" s="360">
        <f>G35/'- 3 -'!E35</f>
        <v>0</v>
      </c>
    </row>
    <row r="36" spans="1:8" ht="12.75">
      <c r="A36" s="16">
        <v>30</v>
      </c>
      <c r="B36" s="17" t="s">
        <v>140</v>
      </c>
      <c r="C36" s="17">
        <v>33371</v>
      </c>
      <c r="D36" s="361">
        <f>C36/'- 3 -'!E36</f>
        <v>0.0034072132944519017</v>
      </c>
      <c r="E36" s="17">
        <v>874178</v>
      </c>
      <c r="F36" s="361">
        <f>E36/'- 3 -'!E36</f>
        <v>0.08925446954893095</v>
      </c>
      <c r="G36" s="17">
        <v>0</v>
      </c>
      <c r="H36" s="361">
        <f>G36/'- 3 -'!E36</f>
        <v>0</v>
      </c>
    </row>
    <row r="37" spans="1:8" ht="12.75">
      <c r="A37" s="14">
        <v>31</v>
      </c>
      <c r="B37" s="15" t="s">
        <v>141</v>
      </c>
      <c r="C37" s="15">
        <v>63368</v>
      </c>
      <c r="D37" s="360">
        <f>C37/'- 3 -'!E37</f>
        <v>0.005786405235012902</v>
      </c>
      <c r="E37" s="15">
        <v>684523</v>
      </c>
      <c r="F37" s="360">
        <f>E37/'- 3 -'!E37</f>
        <v>0.06250674584469663</v>
      </c>
      <c r="G37" s="15">
        <v>2000</v>
      </c>
      <c r="H37" s="360">
        <f>G37/'- 3 -'!E37</f>
        <v>0.00018262862122878746</v>
      </c>
    </row>
    <row r="38" spans="1:8" ht="12.75">
      <c r="A38" s="16">
        <v>32</v>
      </c>
      <c r="B38" s="17" t="s">
        <v>142</v>
      </c>
      <c r="C38" s="17">
        <v>41539</v>
      </c>
      <c r="D38" s="361">
        <f>C38/'- 3 -'!E38</f>
        <v>0.0060423176060558454</v>
      </c>
      <c r="E38" s="17">
        <v>655543</v>
      </c>
      <c r="F38" s="361">
        <f>E38/'- 3 -'!E38</f>
        <v>0.09535614748613754</v>
      </c>
      <c r="G38" s="17">
        <v>4000</v>
      </c>
      <c r="H38" s="361">
        <f>G38/'- 3 -'!E38</f>
        <v>0.0005818452640704731</v>
      </c>
    </row>
    <row r="39" spans="1:8" ht="12.75">
      <c r="A39" s="14">
        <v>33</v>
      </c>
      <c r="B39" s="15" t="s">
        <v>143</v>
      </c>
      <c r="C39" s="15">
        <v>64796</v>
      </c>
      <c r="D39" s="360">
        <f>C39/'- 3 -'!E39</f>
        <v>0.00473165341478511</v>
      </c>
      <c r="E39" s="15">
        <v>558927</v>
      </c>
      <c r="F39" s="360">
        <f>E39/'- 3 -'!E39</f>
        <v>0.040815001669325224</v>
      </c>
      <c r="G39" s="15">
        <v>0</v>
      </c>
      <c r="H39" s="360">
        <f>G39/'- 3 -'!E39</f>
        <v>0</v>
      </c>
    </row>
    <row r="40" spans="1:8" ht="12.75">
      <c r="A40" s="16">
        <v>34</v>
      </c>
      <c r="B40" s="17" t="s">
        <v>144</v>
      </c>
      <c r="C40" s="17">
        <v>32400</v>
      </c>
      <c r="D40" s="361">
        <f>C40/'- 3 -'!E40</f>
        <v>0.0056220552533508055</v>
      </c>
      <c r="E40" s="17">
        <v>552250</v>
      </c>
      <c r="F40" s="361">
        <f>E40/'- 3 -'!E40</f>
        <v>0.09582654363157353</v>
      </c>
      <c r="G40" s="17">
        <v>0</v>
      </c>
      <c r="H40" s="361">
        <f>G40/'- 3 -'!E40</f>
        <v>0</v>
      </c>
    </row>
    <row r="41" spans="1:8" ht="12.75">
      <c r="A41" s="14">
        <v>35</v>
      </c>
      <c r="B41" s="15" t="s">
        <v>145</v>
      </c>
      <c r="C41" s="15">
        <v>95785</v>
      </c>
      <c r="D41" s="360">
        <f>C41/'- 3 -'!E41</f>
        <v>0.006507164980698275</v>
      </c>
      <c r="E41" s="15">
        <v>1055437</v>
      </c>
      <c r="F41" s="360">
        <f>E41/'- 3 -'!E41</f>
        <v>0.07170123386473086</v>
      </c>
      <c r="G41" s="15">
        <v>0</v>
      </c>
      <c r="H41" s="360">
        <f>G41/'- 3 -'!E41</f>
        <v>0</v>
      </c>
    </row>
    <row r="42" spans="1:8" ht="12.75">
      <c r="A42" s="16">
        <v>36</v>
      </c>
      <c r="B42" s="17" t="s">
        <v>146</v>
      </c>
      <c r="C42" s="17">
        <v>54873</v>
      </c>
      <c r="D42" s="361">
        <f>C42/'- 3 -'!E42</f>
        <v>0.0071842105263157895</v>
      </c>
      <c r="E42" s="17">
        <v>749497</v>
      </c>
      <c r="F42" s="361">
        <f>E42/'- 3 -'!E42</f>
        <v>0.09812738936894475</v>
      </c>
      <c r="G42" s="17">
        <v>1710</v>
      </c>
      <c r="H42" s="361">
        <f>G42/'- 3 -'!E42</f>
        <v>0.00022388059701492538</v>
      </c>
    </row>
    <row r="43" spans="1:8" ht="12.75">
      <c r="A43" s="14">
        <v>37</v>
      </c>
      <c r="B43" s="15" t="s">
        <v>147</v>
      </c>
      <c r="C43" s="15">
        <v>31764</v>
      </c>
      <c r="D43" s="360">
        <f>C43/'- 3 -'!E43</f>
        <v>0.004586746606942501</v>
      </c>
      <c r="E43" s="15">
        <v>775498</v>
      </c>
      <c r="F43" s="360">
        <f>E43/'- 3 -'!E43</f>
        <v>0.11198252172870847</v>
      </c>
      <c r="G43" s="15">
        <v>0</v>
      </c>
      <c r="H43" s="360">
        <f>G43/'- 3 -'!E43</f>
        <v>0</v>
      </c>
    </row>
    <row r="44" spans="1:8" ht="12.75">
      <c r="A44" s="16">
        <v>38</v>
      </c>
      <c r="B44" s="17" t="s">
        <v>148</v>
      </c>
      <c r="C44" s="17">
        <v>31884</v>
      </c>
      <c r="D44" s="361">
        <f>C44/'- 3 -'!E44</f>
        <v>0.0035600166053716457</v>
      </c>
      <c r="E44" s="17">
        <v>903215</v>
      </c>
      <c r="F44" s="361">
        <f>E44/'- 3 -'!E44</f>
        <v>0.10084871403276725</v>
      </c>
      <c r="G44" s="17">
        <v>750</v>
      </c>
      <c r="H44" s="361">
        <f>G44/'- 3 -'!E44</f>
        <v>8.374145195172294E-05</v>
      </c>
    </row>
    <row r="45" spans="1:8" ht="12.75">
      <c r="A45" s="14">
        <v>39</v>
      </c>
      <c r="B45" s="15" t="s">
        <v>149</v>
      </c>
      <c r="C45" s="15">
        <v>68350</v>
      </c>
      <c r="D45" s="360">
        <f>C45/'- 3 -'!E45</f>
        <v>0.00429195329400351</v>
      </c>
      <c r="E45" s="15">
        <v>1048650</v>
      </c>
      <c r="F45" s="360">
        <f>E45/'- 3 -'!E45</f>
        <v>0.06584867332489804</v>
      </c>
      <c r="G45" s="15">
        <v>9000</v>
      </c>
      <c r="H45" s="360">
        <f>G45/'- 3 -'!E45</f>
        <v>0.0005651438134020715</v>
      </c>
    </row>
    <row r="46" spans="1:8" ht="12.75">
      <c r="A46" s="16">
        <v>40</v>
      </c>
      <c r="B46" s="17" t="s">
        <v>150</v>
      </c>
      <c r="C46" s="17">
        <v>82700</v>
      </c>
      <c r="D46" s="361">
        <f>C46/'- 3 -'!E46</f>
        <v>0.001769873626314832</v>
      </c>
      <c r="E46" s="17">
        <v>1148800</v>
      </c>
      <c r="F46" s="361">
        <f>E46/'- 3 -'!E46</f>
        <v>0.024585620579328647</v>
      </c>
      <c r="G46" s="17">
        <v>0</v>
      </c>
      <c r="H46" s="361">
        <f>G46/'- 3 -'!E46</f>
        <v>0</v>
      </c>
    </row>
    <row r="47" spans="1:8" ht="12.75">
      <c r="A47" s="14">
        <v>41</v>
      </c>
      <c r="B47" s="15" t="s">
        <v>151</v>
      </c>
      <c r="C47" s="15">
        <v>50850</v>
      </c>
      <c r="D47" s="360">
        <f>C47/'- 3 -'!E47</f>
        <v>0.004140068322118647</v>
      </c>
      <c r="E47" s="15">
        <v>983310</v>
      </c>
      <c r="F47" s="360">
        <f>E47/'- 3 -'!E47</f>
        <v>0.08005841852158282</v>
      </c>
      <c r="G47" s="15">
        <v>700</v>
      </c>
      <c r="H47" s="360">
        <f>G47/'- 3 -'!E47</f>
        <v>5.699209096328521E-05</v>
      </c>
    </row>
    <row r="48" spans="1:8" ht="12.75">
      <c r="A48" s="16">
        <v>42</v>
      </c>
      <c r="B48" s="17" t="s">
        <v>152</v>
      </c>
      <c r="C48" s="17">
        <v>24219</v>
      </c>
      <c r="D48" s="361">
        <f>C48/'- 3 -'!E48</f>
        <v>0.003017133340874402</v>
      </c>
      <c r="E48" s="17">
        <v>677132</v>
      </c>
      <c r="F48" s="361">
        <f>E48/'- 3 -'!E48</f>
        <v>0.08435515642152712</v>
      </c>
      <c r="G48" s="17">
        <v>2815</v>
      </c>
      <c r="H48" s="361">
        <f>G48/'- 3 -'!E48</f>
        <v>0.0003506846011214931</v>
      </c>
    </row>
    <row r="49" spans="1:8" ht="12.75">
      <c r="A49" s="14">
        <v>43</v>
      </c>
      <c r="B49" s="15" t="s">
        <v>153</v>
      </c>
      <c r="C49" s="15">
        <v>32600</v>
      </c>
      <c r="D49" s="360">
        <f>C49/'- 3 -'!E49</f>
        <v>0.005091363423395283</v>
      </c>
      <c r="E49" s="15">
        <v>574900</v>
      </c>
      <c r="F49" s="360">
        <f>E49/'- 3 -'!E49</f>
        <v>0.0897860377947837</v>
      </c>
      <c r="G49" s="15">
        <v>1500</v>
      </c>
      <c r="H49" s="360">
        <f>G49/'- 3 -'!E49</f>
        <v>0.00023426518819303453</v>
      </c>
    </row>
    <row r="50" spans="1:8" ht="12.75">
      <c r="A50" s="16">
        <v>44</v>
      </c>
      <c r="B50" s="17" t="s">
        <v>154</v>
      </c>
      <c r="C50" s="17">
        <v>15207</v>
      </c>
      <c r="D50" s="361">
        <f>C50/'- 3 -'!E50</f>
        <v>0.001646709861352379</v>
      </c>
      <c r="E50" s="17">
        <v>718779</v>
      </c>
      <c r="F50" s="361">
        <f>E50/'- 3 -'!E50</f>
        <v>0.07783392302446253</v>
      </c>
      <c r="G50" s="17">
        <v>0</v>
      </c>
      <c r="H50" s="361">
        <f>G50/'- 3 -'!E50</f>
        <v>0</v>
      </c>
    </row>
    <row r="51" spans="1:8" ht="12.75">
      <c r="A51" s="14">
        <v>45</v>
      </c>
      <c r="B51" s="15" t="s">
        <v>155</v>
      </c>
      <c r="C51" s="15">
        <v>51345</v>
      </c>
      <c r="D51" s="360">
        <f>C51/'- 3 -'!E51</f>
        <v>0.004259861419477585</v>
      </c>
      <c r="E51" s="15">
        <v>371360</v>
      </c>
      <c r="F51" s="360">
        <f>E51/'- 3 -'!E51</f>
        <v>0.03081005232714375</v>
      </c>
      <c r="G51" s="15">
        <v>6500</v>
      </c>
      <c r="H51" s="360">
        <f>G51/'- 3 -'!E51</f>
        <v>0.0005392754742741124</v>
      </c>
    </row>
    <row r="52" spans="1:8" ht="12.75">
      <c r="A52" s="16">
        <v>46</v>
      </c>
      <c r="B52" s="17" t="s">
        <v>156</v>
      </c>
      <c r="C52" s="17">
        <v>0</v>
      </c>
      <c r="D52" s="361">
        <f>C52/'- 3 -'!E52</f>
        <v>0</v>
      </c>
      <c r="E52" s="17">
        <v>134076</v>
      </c>
      <c r="F52" s="361">
        <f>E52/'- 3 -'!E52</f>
        <v>0.012644959718452628</v>
      </c>
      <c r="G52" s="17">
        <v>510</v>
      </c>
      <c r="H52" s="361">
        <f>G52/'- 3 -'!E52</f>
        <v>4.809905916354039E-05</v>
      </c>
    </row>
    <row r="53" spans="1:8" ht="12.75">
      <c r="A53" s="14">
        <v>47</v>
      </c>
      <c r="B53" s="15" t="s">
        <v>157</v>
      </c>
      <c r="C53" s="15">
        <v>5917</v>
      </c>
      <c r="D53" s="360">
        <f>C53/'- 3 -'!E53</f>
        <v>0.0006178672334156635</v>
      </c>
      <c r="E53" s="15">
        <v>339667</v>
      </c>
      <c r="F53" s="360">
        <f>E53/'- 3 -'!E53</f>
        <v>0.03546883717637285</v>
      </c>
      <c r="G53" s="15">
        <v>8900</v>
      </c>
      <c r="H53" s="360">
        <f>G53/'- 3 -'!E53</f>
        <v>0.0009293591984788583</v>
      </c>
    </row>
    <row r="54" spans="1:8" ht="12.75">
      <c r="A54" s="16">
        <v>48</v>
      </c>
      <c r="B54" s="17" t="s">
        <v>158</v>
      </c>
      <c r="C54" s="17">
        <v>90986</v>
      </c>
      <c r="D54" s="361">
        <f>C54/'- 3 -'!E54</f>
        <v>0.001465839303439401</v>
      </c>
      <c r="E54" s="17">
        <v>2568417</v>
      </c>
      <c r="F54" s="361">
        <f>E54/'- 3 -'!E54</f>
        <v>0.041378746029300285</v>
      </c>
      <c r="G54" s="17">
        <v>52550</v>
      </c>
      <c r="H54" s="361">
        <f>G54/'- 3 -'!E54</f>
        <v>0.0008466121754527127</v>
      </c>
    </row>
    <row r="55" spans="1:8" ht="12.75">
      <c r="A55" s="14">
        <v>49</v>
      </c>
      <c r="B55" s="15" t="s">
        <v>159</v>
      </c>
      <c r="C55" s="15">
        <v>113363</v>
      </c>
      <c r="D55" s="360">
        <f>C55/'- 3 -'!E55</f>
        <v>0.0028233309552164717</v>
      </c>
      <c r="E55" s="15">
        <v>2809371</v>
      </c>
      <c r="F55" s="360">
        <f>E55/'- 3 -'!E55</f>
        <v>0.06996801521649439</v>
      </c>
      <c r="G55" s="15">
        <v>209198</v>
      </c>
      <c r="H55" s="360">
        <f>G55/'- 3 -'!E55</f>
        <v>0.005210123136908651</v>
      </c>
    </row>
    <row r="56" spans="1:8" ht="12.75">
      <c r="A56" s="16">
        <v>50</v>
      </c>
      <c r="B56" s="17" t="s">
        <v>340</v>
      </c>
      <c r="C56" s="17">
        <v>54500</v>
      </c>
      <c r="D56" s="361">
        <f>C56/'- 3 -'!E56</f>
        <v>0.0037811773684393105</v>
      </c>
      <c r="E56" s="17">
        <v>1215500</v>
      </c>
      <c r="F56" s="361">
        <f>E56/'- 3 -'!E56</f>
        <v>0.08433066222638498</v>
      </c>
      <c r="G56" s="17">
        <v>0</v>
      </c>
      <c r="H56" s="361">
        <f>G56/'- 3 -'!E56</f>
        <v>0</v>
      </c>
    </row>
    <row r="57" spans="1:8" ht="12.75">
      <c r="A57" s="14">
        <v>2264</v>
      </c>
      <c r="B57" s="15" t="s">
        <v>160</v>
      </c>
      <c r="C57" s="15">
        <v>10585</v>
      </c>
      <c r="D57" s="360">
        <f>C57/'- 3 -'!E57</f>
        <v>0.005234465481209827</v>
      </c>
      <c r="E57" s="15">
        <v>45000</v>
      </c>
      <c r="F57" s="360">
        <f>E57/'- 3 -'!E57</f>
        <v>0.022253277907835826</v>
      </c>
      <c r="G57" s="15">
        <v>0</v>
      </c>
      <c r="H57" s="360">
        <f>G57/'- 3 -'!E57</f>
        <v>0</v>
      </c>
    </row>
    <row r="58" spans="1:8" ht="12.75">
      <c r="A58" s="16">
        <v>2309</v>
      </c>
      <c r="B58" s="17" t="s">
        <v>161</v>
      </c>
      <c r="C58" s="17">
        <v>0</v>
      </c>
      <c r="D58" s="361">
        <f>C58/'- 3 -'!E58</f>
        <v>0</v>
      </c>
      <c r="E58" s="17">
        <v>39980</v>
      </c>
      <c r="F58" s="361">
        <f>E58/'- 3 -'!E58</f>
        <v>0.018990609670770847</v>
      </c>
      <c r="G58" s="17">
        <v>1500</v>
      </c>
      <c r="H58" s="361">
        <f>G58/'- 3 -'!E58</f>
        <v>0.0007125041147112625</v>
      </c>
    </row>
    <row r="59" spans="1:8" ht="12.75">
      <c r="A59" s="14">
        <v>2312</v>
      </c>
      <c r="B59" s="15" t="s">
        <v>162</v>
      </c>
      <c r="C59" s="15">
        <v>0</v>
      </c>
      <c r="D59" s="360">
        <f>C59/'- 3 -'!E59</f>
        <v>0</v>
      </c>
      <c r="E59" s="15">
        <v>0</v>
      </c>
      <c r="F59" s="360">
        <f>E59/'- 3 -'!E59</f>
        <v>0</v>
      </c>
      <c r="G59" s="15">
        <v>0</v>
      </c>
      <c r="H59" s="360">
        <f>G59/'- 3 -'!E59</f>
        <v>0</v>
      </c>
    </row>
    <row r="60" spans="1:8" ht="12.75">
      <c r="A60" s="16">
        <v>2355</v>
      </c>
      <c r="B60" s="17" t="s">
        <v>163</v>
      </c>
      <c r="C60" s="17">
        <v>0</v>
      </c>
      <c r="D60" s="361">
        <f>C60/'- 3 -'!E60</f>
        <v>0</v>
      </c>
      <c r="E60" s="17">
        <v>36735</v>
      </c>
      <c r="F60" s="361">
        <f>E60/'- 3 -'!E60</f>
        <v>0.0014318772555915909</v>
      </c>
      <c r="G60" s="17">
        <v>9500</v>
      </c>
      <c r="H60" s="361">
        <f>G60/'- 3 -'!E60</f>
        <v>0.00037029628224091775</v>
      </c>
    </row>
    <row r="61" spans="1:8" ht="12.75">
      <c r="A61" s="14">
        <v>2439</v>
      </c>
      <c r="B61" s="15" t="s">
        <v>164</v>
      </c>
      <c r="C61" s="15">
        <v>6540</v>
      </c>
      <c r="D61" s="360">
        <f>C61/'- 3 -'!E61</f>
        <v>0.004814030469721294</v>
      </c>
      <c r="E61" s="15">
        <v>136059</v>
      </c>
      <c r="F61" s="360">
        <f>E61/'- 3 -'!E61</f>
        <v>0.10015170820792195</v>
      </c>
      <c r="G61" s="15">
        <v>0</v>
      </c>
      <c r="H61" s="360">
        <f>G61/'- 3 -'!E61</f>
        <v>0</v>
      </c>
    </row>
    <row r="62" spans="1:8" ht="12.75">
      <c r="A62" s="16">
        <v>2460</v>
      </c>
      <c r="B62" s="17" t="s">
        <v>165</v>
      </c>
      <c r="C62" s="17">
        <v>0</v>
      </c>
      <c r="D62" s="361">
        <f>C62/'- 3 -'!E62</f>
        <v>0</v>
      </c>
      <c r="E62" s="17">
        <v>0</v>
      </c>
      <c r="F62" s="361">
        <f>E62/'- 3 -'!E62</f>
        <v>0</v>
      </c>
      <c r="G62" s="17">
        <v>0</v>
      </c>
      <c r="H62" s="361">
        <f>G62/'- 3 -'!E62</f>
        <v>0</v>
      </c>
    </row>
    <row r="63" spans="1:8" ht="12.75">
      <c r="A63" s="14">
        <v>3000</v>
      </c>
      <c r="B63" s="15" t="s">
        <v>363</v>
      </c>
      <c r="C63" s="15">
        <v>0</v>
      </c>
      <c r="D63" s="360">
        <f>C63/'- 3 -'!E63</f>
        <v>0</v>
      </c>
      <c r="E63" s="15">
        <v>0</v>
      </c>
      <c r="F63" s="360">
        <f>E63/'- 3 -'!E63</f>
        <v>0</v>
      </c>
      <c r="G63" s="15">
        <v>0</v>
      </c>
      <c r="H63" s="360">
        <f>G63/'- 3 -'!E63</f>
        <v>0</v>
      </c>
    </row>
    <row r="64" spans="1:8" ht="4.5" customHeight="1">
      <c r="A64" s="18"/>
      <c r="B64" s="18"/>
      <c r="C64" s="18"/>
      <c r="D64" s="198"/>
      <c r="E64" s="18"/>
      <c r="F64" s="198"/>
      <c r="G64" s="18"/>
      <c r="H64" s="198"/>
    </row>
    <row r="65" spans="1:8" ht="12.75">
      <c r="A65" s="20"/>
      <c r="B65" s="21" t="s">
        <v>166</v>
      </c>
      <c r="C65" s="21">
        <f>SUM(C11:C63)</f>
        <v>3100462.85</v>
      </c>
      <c r="D65" s="103">
        <f>C65/'- 3 -'!E65</f>
        <v>0.0022943689283577624</v>
      </c>
      <c r="E65" s="21">
        <f>SUM(E11:E63)</f>
        <v>46331871.34</v>
      </c>
      <c r="F65" s="103">
        <f>E65/'- 3 -'!E65</f>
        <v>0.03428597959016524</v>
      </c>
      <c r="G65" s="21">
        <f>SUM(G11:G63)</f>
        <v>492548</v>
      </c>
      <c r="H65" s="103">
        <f>G65/'- 3 -'!E65</f>
        <v>0.00036448971705136193</v>
      </c>
    </row>
    <row r="66" spans="1:8" ht="4.5" customHeight="1">
      <c r="A66" s="18"/>
      <c r="B66" s="18"/>
      <c r="C66" s="18"/>
      <c r="D66" s="198"/>
      <c r="E66" s="18"/>
      <c r="F66" s="198"/>
      <c r="G66" s="18"/>
      <c r="H66" s="198"/>
    </row>
    <row r="67" spans="1:8" ht="12.75">
      <c r="A67" s="16">
        <v>2155</v>
      </c>
      <c r="B67" s="17" t="s">
        <v>167</v>
      </c>
      <c r="C67" s="17">
        <v>0</v>
      </c>
      <c r="D67" s="361">
        <f>C67/'- 3 -'!E67</f>
        <v>0</v>
      </c>
      <c r="E67" s="17">
        <v>50667</v>
      </c>
      <c r="F67" s="361">
        <f>E67/'- 3 -'!E67</f>
        <v>0.038199344986067384</v>
      </c>
      <c r="G67" s="17">
        <v>0</v>
      </c>
      <c r="H67" s="361">
        <f>G67/'- 3 -'!E67</f>
        <v>0</v>
      </c>
    </row>
    <row r="68" spans="1:8" ht="12.75">
      <c r="A68" s="14">
        <v>2408</v>
      </c>
      <c r="B68" s="15" t="s">
        <v>169</v>
      </c>
      <c r="C68" s="15">
        <v>0</v>
      </c>
      <c r="D68" s="360">
        <f>C68/'- 3 -'!E68</f>
        <v>0</v>
      </c>
      <c r="E68" s="15">
        <v>3500</v>
      </c>
      <c r="F68" s="360">
        <f>E68/'- 3 -'!E68</f>
        <v>0.0015233518964643002</v>
      </c>
      <c r="G68" s="15">
        <v>0</v>
      </c>
      <c r="H68" s="360">
        <f>G68/'- 3 -'!E68</f>
        <v>0</v>
      </c>
    </row>
    <row r="69" ht="6.75" customHeight="1"/>
    <row r="70" spans="1:6" ht="12" customHeight="1">
      <c r="A70" s="7"/>
      <c r="B70" s="7"/>
      <c r="E70" s="151"/>
      <c r="F70" s="151"/>
    </row>
    <row r="71" spans="1:6" ht="12" customHeight="1">
      <c r="A71" s="7"/>
      <c r="B71" s="7"/>
      <c r="E71" s="151"/>
      <c r="F71" s="151"/>
    </row>
    <row r="72" spans="1:6" ht="12" customHeight="1">
      <c r="A72" s="7"/>
      <c r="B72" s="7"/>
      <c r="E72" s="151"/>
      <c r="F72" s="151"/>
    </row>
    <row r="73" spans="1:6" ht="12" customHeight="1">
      <c r="A73" s="7"/>
      <c r="B73" s="7"/>
      <c r="E73" s="151"/>
      <c r="F73" s="151"/>
    </row>
    <row r="74" spans="1:2" ht="12" customHeight="1">
      <c r="A74" s="7"/>
      <c r="B74" s="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8"/>
      <c r="B1" s="80"/>
      <c r="C1" s="142"/>
      <c r="D1" s="142"/>
      <c r="E1" s="142"/>
      <c r="F1" s="142"/>
      <c r="G1" s="142"/>
      <c r="H1" s="142"/>
    </row>
    <row r="2" spans="1:8" ht="12.75">
      <c r="A2" s="9"/>
      <c r="B2" s="83"/>
      <c r="C2" s="200" t="s">
        <v>0</v>
      </c>
      <c r="D2" s="200"/>
      <c r="E2" s="200"/>
      <c r="F2" s="200"/>
      <c r="G2" s="215"/>
      <c r="H2" s="219" t="s">
        <v>432</v>
      </c>
    </row>
    <row r="3" spans="1:8" ht="12.75">
      <c r="A3" s="10"/>
      <c r="B3" s="86"/>
      <c r="C3" s="203" t="str">
        <f>YEAR</f>
        <v>OPERATING FUND BUDGET 2002/2003</v>
      </c>
      <c r="D3" s="203"/>
      <c r="E3" s="203"/>
      <c r="F3" s="203"/>
      <c r="G3" s="216"/>
      <c r="H3" s="220"/>
    </row>
    <row r="4" spans="1:8" ht="12.75">
      <c r="A4" s="11"/>
      <c r="C4" s="142"/>
      <c r="D4" s="142"/>
      <c r="E4" s="142"/>
      <c r="F4" s="142"/>
      <c r="G4" s="142"/>
      <c r="H4" s="142"/>
    </row>
    <row r="5" spans="1:8" ht="12.75">
      <c r="A5" s="11"/>
      <c r="C5" s="57"/>
      <c r="D5" s="142"/>
      <c r="E5" s="142"/>
      <c r="F5" s="142"/>
      <c r="G5" s="142"/>
      <c r="H5" s="142"/>
    </row>
    <row r="6" spans="1:8" ht="16.5">
      <c r="A6" s="11"/>
      <c r="C6" s="341" t="s">
        <v>330</v>
      </c>
      <c r="D6" s="155"/>
      <c r="E6" s="127"/>
      <c r="F6" s="128"/>
      <c r="G6" s="142"/>
      <c r="H6" s="153"/>
    </row>
    <row r="7" spans="3:8" ht="12.75">
      <c r="C7" s="68" t="s">
        <v>59</v>
      </c>
      <c r="D7" s="67"/>
      <c r="E7" s="68" t="s">
        <v>3</v>
      </c>
      <c r="F7" s="67"/>
      <c r="G7" s="182"/>
      <c r="H7" s="142"/>
    </row>
    <row r="8" spans="1:8" ht="12.75">
      <c r="A8" s="94"/>
      <c r="B8" s="46"/>
      <c r="C8" s="69" t="s">
        <v>80</v>
      </c>
      <c r="D8" s="71"/>
      <c r="E8" s="69" t="s">
        <v>57</v>
      </c>
      <c r="F8" s="71"/>
      <c r="G8" s="142"/>
      <c r="H8" s="142"/>
    </row>
    <row r="9" spans="1:6" ht="12.75">
      <c r="A9" s="52" t="s">
        <v>100</v>
      </c>
      <c r="B9" s="53" t="s">
        <v>101</v>
      </c>
      <c r="C9" s="224" t="s">
        <v>102</v>
      </c>
      <c r="D9" s="133" t="s">
        <v>103</v>
      </c>
      <c r="E9" s="133" t="s">
        <v>102</v>
      </c>
      <c r="F9" s="133" t="s">
        <v>103</v>
      </c>
    </row>
    <row r="10" spans="1:2" ht="4.5" customHeight="1">
      <c r="A10" s="77"/>
      <c r="B10" s="77"/>
    </row>
    <row r="11" spans="1:6" ht="12.75">
      <c r="A11" s="14">
        <v>1</v>
      </c>
      <c r="B11" s="15" t="s">
        <v>115</v>
      </c>
      <c r="C11" s="15">
        <v>0</v>
      </c>
      <c r="D11" s="360">
        <f>C11/'- 3 -'!E11</f>
        <v>0</v>
      </c>
      <c r="E11" s="15">
        <v>275400</v>
      </c>
      <c r="F11" s="360">
        <f>E11/'- 3 -'!E11</f>
        <v>0.0010835800635432752</v>
      </c>
    </row>
    <row r="12" spans="1:6" ht="12.75">
      <c r="A12" s="16">
        <v>2</v>
      </c>
      <c r="B12" s="17" t="s">
        <v>116</v>
      </c>
      <c r="C12" s="17">
        <v>0</v>
      </c>
      <c r="D12" s="361">
        <f>C12/'- 3 -'!E12</f>
        <v>0</v>
      </c>
      <c r="E12" s="17">
        <v>0</v>
      </c>
      <c r="F12" s="361">
        <f>E12/'- 3 -'!E12</f>
        <v>0</v>
      </c>
    </row>
    <row r="13" spans="1:6" ht="12.75">
      <c r="A13" s="14">
        <v>3</v>
      </c>
      <c r="B13" s="15" t="s">
        <v>117</v>
      </c>
      <c r="C13" s="15">
        <v>0</v>
      </c>
      <c r="D13" s="360">
        <f>C13/'- 3 -'!E13</f>
        <v>0</v>
      </c>
      <c r="E13" s="15">
        <v>20300</v>
      </c>
      <c r="F13" s="360">
        <f>E13/'- 3 -'!E13</f>
        <v>0.00045795022112679124</v>
      </c>
    </row>
    <row r="14" spans="1:6" ht="12.75">
      <c r="A14" s="16">
        <v>4</v>
      </c>
      <c r="B14" s="17" t="s">
        <v>118</v>
      </c>
      <c r="C14" s="17">
        <v>0</v>
      </c>
      <c r="D14" s="361">
        <f>C14/'- 3 -'!E14</f>
        <v>0</v>
      </c>
      <c r="E14" s="17">
        <v>28788</v>
      </c>
      <c r="F14" s="361">
        <f>E14/'- 3 -'!E14</f>
        <v>0.000661054682572853</v>
      </c>
    </row>
    <row r="15" spans="1:6" ht="12.75">
      <c r="A15" s="14">
        <v>5</v>
      </c>
      <c r="B15" s="15" t="s">
        <v>119</v>
      </c>
      <c r="C15" s="15">
        <v>0</v>
      </c>
      <c r="D15" s="360">
        <f>C15/'- 3 -'!E15</f>
        <v>0</v>
      </c>
      <c r="E15" s="15">
        <v>0</v>
      </c>
      <c r="F15" s="360">
        <f>E15/'- 3 -'!E15</f>
        <v>0</v>
      </c>
    </row>
    <row r="16" spans="1:6" ht="12.75">
      <c r="A16" s="16">
        <v>6</v>
      </c>
      <c r="B16" s="17" t="s">
        <v>120</v>
      </c>
      <c r="C16" s="17">
        <v>0</v>
      </c>
      <c r="D16" s="361">
        <f>C16/'- 3 -'!E16</f>
        <v>0</v>
      </c>
      <c r="E16" s="17">
        <v>81850</v>
      </c>
      <c r="F16" s="361">
        <f>E16/'- 3 -'!E16</f>
        <v>0.0013134850997833048</v>
      </c>
    </row>
    <row r="17" spans="1:6" ht="12.75">
      <c r="A17" s="14">
        <v>9</v>
      </c>
      <c r="B17" s="15" t="s">
        <v>121</v>
      </c>
      <c r="C17" s="15">
        <v>0</v>
      </c>
      <c r="D17" s="360">
        <f>C17/'- 3 -'!E17</f>
        <v>0</v>
      </c>
      <c r="E17" s="15">
        <v>5300</v>
      </c>
      <c r="F17" s="360">
        <f>E17/'- 3 -'!E17</f>
        <v>6.318110648404211E-05</v>
      </c>
    </row>
    <row r="18" spans="1:6" ht="12.75">
      <c r="A18" s="16">
        <v>10</v>
      </c>
      <c r="B18" s="17" t="s">
        <v>122</v>
      </c>
      <c r="C18" s="17">
        <v>0</v>
      </c>
      <c r="D18" s="361">
        <f>C18/'- 3 -'!E18</f>
        <v>0</v>
      </c>
      <c r="E18" s="17">
        <v>170000</v>
      </c>
      <c r="F18" s="361">
        <f>E18/'- 3 -'!E18</f>
        <v>0.002744309089918498</v>
      </c>
    </row>
    <row r="19" spans="1:6" ht="12.75">
      <c r="A19" s="14">
        <v>11</v>
      </c>
      <c r="B19" s="15" t="s">
        <v>123</v>
      </c>
      <c r="C19" s="15">
        <v>0</v>
      </c>
      <c r="D19" s="360">
        <f>C19/'- 3 -'!E19</f>
        <v>0</v>
      </c>
      <c r="E19" s="15">
        <v>64500</v>
      </c>
      <c r="F19" s="360">
        <f>E19/'- 3 -'!E19</f>
        <v>0.0019338224954825007</v>
      </c>
    </row>
    <row r="20" spans="1:6" ht="12.75">
      <c r="A20" s="16">
        <v>12</v>
      </c>
      <c r="B20" s="17" t="s">
        <v>124</v>
      </c>
      <c r="C20" s="17">
        <v>0</v>
      </c>
      <c r="D20" s="361">
        <f>C20/'- 3 -'!E20</f>
        <v>0</v>
      </c>
      <c r="E20" s="17">
        <v>0</v>
      </c>
      <c r="F20" s="361">
        <f>E20/'- 3 -'!E20</f>
        <v>0</v>
      </c>
    </row>
    <row r="21" spans="1:6" ht="12.75">
      <c r="A21" s="14">
        <v>13</v>
      </c>
      <c r="B21" s="15" t="s">
        <v>125</v>
      </c>
      <c r="C21" s="15">
        <v>0</v>
      </c>
      <c r="D21" s="360">
        <f>C21/'- 3 -'!E21</f>
        <v>0</v>
      </c>
      <c r="E21" s="15">
        <v>37000</v>
      </c>
      <c r="F21" s="360">
        <f>E21/'- 3 -'!E21</f>
        <v>0.0017607213894433047</v>
      </c>
    </row>
    <row r="22" spans="1:6" ht="12.75">
      <c r="A22" s="16">
        <v>14</v>
      </c>
      <c r="B22" s="17" t="s">
        <v>126</v>
      </c>
      <c r="C22" s="17">
        <v>0</v>
      </c>
      <c r="D22" s="361">
        <f>C22/'- 3 -'!E22</f>
        <v>0</v>
      </c>
      <c r="E22" s="17">
        <v>21567</v>
      </c>
      <c r="F22" s="361">
        <f>E22/'- 3 -'!E22</f>
        <v>0.0009059691254694776</v>
      </c>
    </row>
    <row r="23" spans="1:6" ht="12.75">
      <c r="A23" s="14">
        <v>15</v>
      </c>
      <c r="B23" s="15" t="s">
        <v>127</v>
      </c>
      <c r="C23" s="15">
        <v>0</v>
      </c>
      <c r="D23" s="360">
        <f>C23/'- 3 -'!E23</f>
        <v>0</v>
      </c>
      <c r="E23" s="15">
        <v>0</v>
      </c>
      <c r="F23" s="360">
        <f>E23/'- 3 -'!E23</f>
        <v>0</v>
      </c>
    </row>
    <row r="24" spans="1:6" ht="12.75">
      <c r="A24" s="16">
        <v>16</v>
      </c>
      <c r="B24" s="17" t="s">
        <v>128</v>
      </c>
      <c r="C24" s="17">
        <v>4800</v>
      </c>
      <c r="D24" s="361">
        <f>C24/'- 3 -'!E24</f>
        <v>0.0007691524981031577</v>
      </c>
      <c r="E24" s="17">
        <v>0</v>
      </c>
      <c r="F24" s="361">
        <f>E24/'- 3 -'!E24</f>
        <v>0</v>
      </c>
    </row>
    <row r="25" spans="1:6" ht="12.75">
      <c r="A25" s="14">
        <v>17</v>
      </c>
      <c r="B25" s="15" t="s">
        <v>129</v>
      </c>
      <c r="C25" s="15">
        <v>0</v>
      </c>
      <c r="D25" s="360">
        <f>C25/'- 3 -'!E25</f>
        <v>0</v>
      </c>
      <c r="E25" s="15">
        <v>4300</v>
      </c>
      <c r="F25" s="360">
        <f>E25/'- 3 -'!E25</f>
        <v>0.0009657736554465479</v>
      </c>
    </row>
    <row r="26" spans="1:6" ht="12.75">
      <c r="A26" s="16">
        <v>18</v>
      </c>
      <c r="B26" s="17" t="s">
        <v>130</v>
      </c>
      <c r="C26" s="17">
        <v>0</v>
      </c>
      <c r="D26" s="361">
        <f>C26/'- 3 -'!E26</f>
        <v>0</v>
      </c>
      <c r="E26" s="17">
        <v>0</v>
      </c>
      <c r="F26" s="361">
        <f>E26/'- 3 -'!E26</f>
        <v>0</v>
      </c>
    </row>
    <row r="27" spans="1:6" ht="12.75">
      <c r="A27" s="14">
        <v>19</v>
      </c>
      <c r="B27" s="15" t="s">
        <v>131</v>
      </c>
      <c r="C27" s="15">
        <v>0</v>
      </c>
      <c r="D27" s="360">
        <f>C27/'- 3 -'!E27</f>
        <v>0</v>
      </c>
      <c r="E27" s="15">
        <v>9000</v>
      </c>
      <c r="F27" s="360">
        <f>E27/'- 3 -'!E27</f>
        <v>0.0007247611006222074</v>
      </c>
    </row>
    <row r="28" spans="1:6" ht="12.75">
      <c r="A28" s="16">
        <v>20</v>
      </c>
      <c r="B28" s="17" t="s">
        <v>132</v>
      </c>
      <c r="C28" s="17">
        <v>5000</v>
      </c>
      <c r="D28" s="361">
        <f>C28/'- 3 -'!E28</f>
        <v>0.0006326672148938973</v>
      </c>
      <c r="E28" s="17">
        <v>21000</v>
      </c>
      <c r="F28" s="361">
        <f>E28/'- 3 -'!E28</f>
        <v>0.0026572023025543687</v>
      </c>
    </row>
    <row r="29" spans="1:6" ht="12.75">
      <c r="A29" s="14">
        <v>21</v>
      </c>
      <c r="B29" s="15" t="s">
        <v>133</v>
      </c>
      <c r="C29" s="15">
        <v>0</v>
      </c>
      <c r="D29" s="360">
        <f>C29/'- 3 -'!E29</f>
        <v>0</v>
      </c>
      <c r="E29" s="15">
        <v>60000</v>
      </c>
      <c r="F29" s="360">
        <f>E29/'- 3 -'!E29</f>
        <v>0.002553626149131767</v>
      </c>
    </row>
    <row r="30" spans="1:6" ht="12.75">
      <c r="A30" s="16">
        <v>22</v>
      </c>
      <c r="B30" s="17" t="s">
        <v>134</v>
      </c>
      <c r="C30" s="17">
        <v>0</v>
      </c>
      <c r="D30" s="361">
        <f>C30/'- 3 -'!E30</f>
        <v>0</v>
      </c>
      <c r="E30" s="17">
        <v>24000</v>
      </c>
      <c r="F30" s="361">
        <f>E30/'- 3 -'!E30</f>
        <v>0.0019271351794592443</v>
      </c>
    </row>
    <row r="31" spans="1:6" ht="12.75">
      <c r="A31" s="14">
        <v>23</v>
      </c>
      <c r="B31" s="15" t="s">
        <v>135</v>
      </c>
      <c r="C31" s="15">
        <v>0</v>
      </c>
      <c r="D31" s="360">
        <f>C31/'- 3 -'!E31</f>
        <v>0</v>
      </c>
      <c r="E31" s="15">
        <v>0</v>
      </c>
      <c r="F31" s="360">
        <f>E31/'- 3 -'!E31</f>
        <v>0</v>
      </c>
    </row>
    <row r="32" spans="1:6" ht="12.75">
      <c r="A32" s="16">
        <v>24</v>
      </c>
      <c r="B32" s="17" t="s">
        <v>136</v>
      </c>
      <c r="C32" s="17">
        <v>0</v>
      </c>
      <c r="D32" s="361">
        <f>C32/'- 3 -'!E32</f>
        <v>0</v>
      </c>
      <c r="E32" s="17">
        <v>4600</v>
      </c>
      <c r="F32" s="361">
        <f>E32/'- 3 -'!E32</f>
        <v>0.00019674059850457472</v>
      </c>
    </row>
    <row r="33" spans="1:6" ht="12.75">
      <c r="A33" s="14">
        <v>25</v>
      </c>
      <c r="B33" s="15" t="s">
        <v>137</v>
      </c>
      <c r="C33" s="15">
        <v>6000</v>
      </c>
      <c r="D33" s="360">
        <f>C33/'- 3 -'!E33</f>
        <v>0.0005641561155369159</v>
      </c>
      <c r="E33" s="15">
        <v>3900</v>
      </c>
      <c r="F33" s="360">
        <f>E33/'- 3 -'!E33</f>
        <v>0.0003667014750989953</v>
      </c>
    </row>
    <row r="34" spans="1:6" ht="12.75">
      <c r="A34" s="16">
        <v>26</v>
      </c>
      <c r="B34" s="17" t="s">
        <v>138</v>
      </c>
      <c r="C34" s="17">
        <v>0</v>
      </c>
      <c r="D34" s="361">
        <f>C34/'- 3 -'!E34</f>
        <v>0</v>
      </c>
      <c r="E34" s="17">
        <v>20000</v>
      </c>
      <c r="F34" s="361">
        <f>E34/'- 3 -'!E34</f>
        <v>0.001153286144708579</v>
      </c>
    </row>
    <row r="35" spans="1:6" ht="12.75">
      <c r="A35" s="14">
        <v>28</v>
      </c>
      <c r="B35" s="15" t="s">
        <v>139</v>
      </c>
      <c r="C35" s="15">
        <v>0</v>
      </c>
      <c r="D35" s="360">
        <f>C35/'- 3 -'!E35</f>
        <v>0</v>
      </c>
      <c r="E35" s="15">
        <v>0</v>
      </c>
      <c r="F35" s="360">
        <f>E35/'- 3 -'!E35</f>
        <v>0</v>
      </c>
    </row>
    <row r="36" spans="1:6" ht="12.75">
      <c r="A36" s="16">
        <v>30</v>
      </c>
      <c r="B36" s="17" t="s">
        <v>140</v>
      </c>
      <c r="C36" s="17">
        <v>0</v>
      </c>
      <c r="D36" s="361">
        <f>C36/'- 3 -'!E36</f>
        <v>0</v>
      </c>
      <c r="E36" s="17">
        <v>23520</v>
      </c>
      <c r="F36" s="361">
        <f>E36/'- 3 -'!E36</f>
        <v>0.002401416100371842</v>
      </c>
    </row>
    <row r="37" spans="1:6" ht="12.75">
      <c r="A37" s="14">
        <v>31</v>
      </c>
      <c r="B37" s="15" t="s">
        <v>141</v>
      </c>
      <c r="C37" s="15">
        <v>0</v>
      </c>
      <c r="D37" s="360">
        <f>C37/'- 3 -'!E37</f>
        <v>0</v>
      </c>
      <c r="E37" s="15">
        <v>61000</v>
      </c>
      <c r="F37" s="360">
        <f>E37/'- 3 -'!E37</f>
        <v>0.005570172947478017</v>
      </c>
    </row>
    <row r="38" spans="1:6" ht="12.75">
      <c r="A38" s="16">
        <v>32</v>
      </c>
      <c r="B38" s="17" t="s">
        <v>142</v>
      </c>
      <c r="C38" s="17">
        <v>0</v>
      </c>
      <c r="D38" s="361">
        <f>C38/'- 3 -'!E38</f>
        <v>0</v>
      </c>
      <c r="E38" s="17">
        <v>25781</v>
      </c>
      <c r="F38" s="361">
        <f>E38/'- 3 -'!E38</f>
        <v>0.0037501381882502167</v>
      </c>
    </row>
    <row r="39" spans="1:6" ht="12.75">
      <c r="A39" s="14">
        <v>33</v>
      </c>
      <c r="B39" s="15" t="s">
        <v>143</v>
      </c>
      <c r="C39" s="15">
        <v>0</v>
      </c>
      <c r="D39" s="360">
        <f>C39/'- 3 -'!E39</f>
        <v>0</v>
      </c>
      <c r="E39" s="15">
        <v>15973</v>
      </c>
      <c r="F39" s="360">
        <f>E39/'- 3 -'!E39</f>
        <v>0.0011664099634909957</v>
      </c>
    </row>
    <row r="40" spans="1:6" ht="12.75">
      <c r="A40" s="16">
        <v>34</v>
      </c>
      <c r="B40" s="17" t="s">
        <v>144</v>
      </c>
      <c r="C40" s="17">
        <v>0</v>
      </c>
      <c r="D40" s="361">
        <f>C40/'- 3 -'!E40</f>
        <v>0</v>
      </c>
      <c r="E40" s="17">
        <v>0</v>
      </c>
      <c r="F40" s="361">
        <f>E40/'- 3 -'!E40</f>
        <v>0</v>
      </c>
    </row>
    <row r="41" spans="1:6" ht="12.75">
      <c r="A41" s="14">
        <v>35</v>
      </c>
      <c r="B41" s="15" t="s">
        <v>145</v>
      </c>
      <c r="C41" s="15">
        <v>0</v>
      </c>
      <c r="D41" s="360">
        <f>C41/'- 3 -'!E41</f>
        <v>0</v>
      </c>
      <c r="E41" s="15">
        <v>34034</v>
      </c>
      <c r="F41" s="360">
        <f>E41/'- 3 -'!E41</f>
        <v>0.0023121037005072306</v>
      </c>
    </row>
    <row r="42" spans="1:6" ht="12.75">
      <c r="A42" s="16">
        <v>36</v>
      </c>
      <c r="B42" s="17" t="s">
        <v>146</v>
      </c>
      <c r="C42" s="17">
        <v>0</v>
      </c>
      <c r="D42" s="361">
        <f>C42/'- 3 -'!E42</f>
        <v>0</v>
      </c>
      <c r="E42" s="17">
        <v>32000</v>
      </c>
      <c r="F42" s="361">
        <f>E42/'- 3 -'!E42</f>
        <v>0.004189578423671118</v>
      </c>
    </row>
    <row r="43" spans="1:6" ht="12.75">
      <c r="A43" s="14">
        <v>37</v>
      </c>
      <c r="B43" s="15" t="s">
        <v>147</v>
      </c>
      <c r="C43" s="15">
        <v>0</v>
      </c>
      <c r="D43" s="360">
        <f>C43/'- 3 -'!E43</f>
        <v>0</v>
      </c>
      <c r="E43" s="15">
        <v>6800</v>
      </c>
      <c r="F43" s="360">
        <f>E43/'- 3 -'!E43</f>
        <v>0.0009819253534570271</v>
      </c>
    </row>
    <row r="44" spans="1:6" ht="12.75">
      <c r="A44" s="16">
        <v>38</v>
      </c>
      <c r="B44" s="17" t="s">
        <v>148</v>
      </c>
      <c r="C44" s="17">
        <v>0</v>
      </c>
      <c r="D44" s="361">
        <f>C44/'- 3 -'!E44</f>
        <v>0</v>
      </c>
      <c r="E44" s="17">
        <v>23738</v>
      </c>
      <c r="F44" s="361">
        <f>E44/'- 3 -'!E44</f>
        <v>0.002650472781906666</v>
      </c>
    </row>
    <row r="45" spans="1:6" ht="12.75">
      <c r="A45" s="14">
        <v>39</v>
      </c>
      <c r="B45" s="15" t="s">
        <v>149</v>
      </c>
      <c r="C45" s="15">
        <v>0</v>
      </c>
      <c r="D45" s="360">
        <f>C45/'- 3 -'!E45</f>
        <v>0</v>
      </c>
      <c r="E45" s="15">
        <v>36400</v>
      </c>
      <c r="F45" s="360">
        <f>E45/'- 3 -'!E45</f>
        <v>0.0022856927564261563</v>
      </c>
    </row>
    <row r="46" spans="1:6" ht="12.75">
      <c r="A46" s="16">
        <v>40</v>
      </c>
      <c r="B46" s="17" t="s">
        <v>150</v>
      </c>
      <c r="C46" s="17">
        <v>0</v>
      </c>
      <c r="D46" s="361">
        <f>C46/'- 3 -'!E46</f>
        <v>0</v>
      </c>
      <c r="E46" s="17">
        <v>24400</v>
      </c>
      <c r="F46" s="361">
        <f>E46/'- 3 -'!E46</f>
        <v>0.0005221876237252951</v>
      </c>
    </row>
    <row r="47" spans="1:6" ht="12.75">
      <c r="A47" s="14">
        <v>41</v>
      </c>
      <c r="B47" s="15" t="s">
        <v>151</v>
      </c>
      <c r="C47" s="15">
        <v>0</v>
      </c>
      <c r="D47" s="360">
        <f>C47/'- 3 -'!E47</f>
        <v>0</v>
      </c>
      <c r="E47" s="15">
        <v>21500</v>
      </c>
      <c r="F47" s="360">
        <f>E47/'- 3 -'!E47</f>
        <v>0.0017504713653009028</v>
      </c>
    </row>
    <row r="48" spans="1:6" ht="12.75">
      <c r="A48" s="16">
        <v>42</v>
      </c>
      <c r="B48" s="17" t="s">
        <v>152</v>
      </c>
      <c r="C48" s="17">
        <v>0</v>
      </c>
      <c r="D48" s="361">
        <f>C48/'- 3 -'!E48</f>
        <v>0</v>
      </c>
      <c r="E48" s="17">
        <v>0</v>
      </c>
      <c r="F48" s="361">
        <f>E48/'- 3 -'!E48</f>
        <v>0</v>
      </c>
    </row>
    <row r="49" spans="1:6" ht="12.75">
      <c r="A49" s="14">
        <v>43</v>
      </c>
      <c r="B49" s="15" t="s">
        <v>153</v>
      </c>
      <c r="C49" s="15">
        <v>0</v>
      </c>
      <c r="D49" s="360">
        <f>C49/'- 3 -'!E49</f>
        <v>0</v>
      </c>
      <c r="E49" s="15">
        <v>7500</v>
      </c>
      <c r="F49" s="360">
        <f>E49/'- 3 -'!E49</f>
        <v>0.0011713259409651725</v>
      </c>
    </row>
    <row r="50" spans="1:6" ht="12.75">
      <c r="A50" s="16">
        <v>44</v>
      </c>
      <c r="B50" s="17" t="s">
        <v>154</v>
      </c>
      <c r="C50" s="17">
        <v>0</v>
      </c>
      <c r="D50" s="361">
        <f>C50/'- 3 -'!E50</f>
        <v>0</v>
      </c>
      <c r="E50" s="17">
        <v>8500</v>
      </c>
      <c r="F50" s="361">
        <f>E50/'- 3 -'!E50</f>
        <v>0.00092043360435952</v>
      </c>
    </row>
    <row r="51" spans="1:6" ht="12.75">
      <c r="A51" s="14">
        <v>45</v>
      </c>
      <c r="B51" s="15" t="s">
        <v>155</v>
      </c>
      <c r="C51" s="15">
        <v>0</v>
      </c>
      <c r="D51" s="360">
        <f>C51/'- 3 -'!E51</f>
        <v>0</v>
      </c>
      <c r="E51" s="15">
        <v>46925</v>
      </c>
      <c r="F51" s="360">
        <f>E51/'- 3 -'!E51</f>
        <v>0.0038931540969711883</v>
      </c>
    </row>
    <row r="52" spans="1:6" ht="12.75">
      <c r="A52" s="16">
        <v>46</v>
      </c>
      <c r="B52" s="17" t="s">
        <v>156</v>
      </c>
      <c r="C52" s="17">
        <v>0</v>
      </c>
      <c r="D52" s="361">
        <f>C52/'- 3 -'!E52</f>
        <v>0</v>
      </c>
      <c r="E52" s="17">
        <v>53346</v>
      </c>
      <c r="F52" s="361">
        <f>E52/'- 3 -'!E52</f>
        <v>0.0050311615885063245</v>
      </c>
    </row>
    <row r="53" spans="1:6" ht="12.75">
      <c r="A53" s="14">
        <v>47</v>
      </c>
      <c r="B53" s="15" t="s">
        <v>157</v>
      </c>
      <c r="C53" s="15">
        <v>0</v>
      </c>
      <c r="D53" s="360">
        <f>C53/'- 3 -'!E53</f>
        <v>0</v>
      </c>
      <c r="E53" s="15">
        <v>39559</v>
      </c>
      <c r="F53" s="360">
        <f>E53/'- 3 -'!E53</f>
        <v>0.004130845003665748</v>
      </c>
    </row>
    <row r="54" spans="1:6" ht="12.75">
      <c r="A54" s="16">
        <v>48</v>
      </c>
      <c r="B54" s="17" t="s">
        <v>158</v>
      </c>
      <c r="C54" s="17">
        <v>2219159</v>
      </c>
      <c r="D54" s="361">
        <f>C54/'- 3 -'!E54</f>
        <v>0.03575198912779194</v>
      </c>
      <c r="E54" s="17">
        <v>400702</v>
      </c>
      <c r="F54" s="361">
        <f>E54/'- 3 -'!E54</f>
        <v>0.00645555075029977</v>
      </c>
    </row>
    <row r="55" spans="1:6" ht="12.75">
      <c r="A55" s="14">
        <v>49</v>
      </c>
      <c r="B55" s="15" t="s">
        <v>159</v>
      </c>
      <c r="C55" s="15">
        <v>9600</v>
      </c>
      <c r="D55" s="360">
        <f>C55/'- 3 -'!E55</f>
        <v>0.0002390901543720449</v>
      </c>
      <c r="E55" s="15">
        <v>109615</v>
      </c>
      <c r="F55" s="360">
        <f>E55/'- 3 -'!E55</f>
        <v>0.002729986174113719</v>
      </c>
    </row>
    <row r="56" spans="1:6" ht="12.75">
      <c r="A56" s="16">
        <v>50</v>
      </c>
      <c r="B56" s="17" t="s">
        <v>340</v>
      </c>
      <c r="C56" s="17">
        <v>0</v>
      </c>
      <c r="D56" s="361">
        <f>C56/'- 3 -'!E56</f>
        <v>0</v>
      </c>
      <c r="E56" s="17">
        <v>25000</v>
      </c>
      <c r="F56" s="361">
        <f>E56/'- 3 -'!E56</f>
        <v>0.0017344850313941792</v>
      </c>
    </row>
    <row r="57" spans="1:6" ht="12.75">
      <c r="A57" s="14">
        <v>2264</v>
      </c>
      <c r="B57" s="15" t="s">
        <v>160</v>
      </c>
      <c r="C57" s="15">
        <v>0</v>
      </c>
      <c r="D57" s="360">
        <f>C57/'- 3 -'!E57</f>
        <v>0</v>
      </c>
      <c r="E57" s="15">
        <v>16000</v>
      </c>
      <c r="F57" s="360">
        <f>E57/'- 3 -'!E57</f>
        <v>0.007912276589452738</v>
      </c>
    </row>
    <row r="58" spans="1:6" ht="12.75">
      <c r="A58" s="16">
        <v>2309</v>
      </c>
      <c r="B58" s="17" t="s">
        <v>161</v>
      </c>
      <c r="C58" s="17">
        <v>9600</v>
      </c>
      <c r="D58" s="361">
        <f>C58/'- 3 -'!E58</f>
        <v>0.00456002633415208</v>
      </c>
      <c r="E58" s="17">
        <v>11700</v>
      </c>
      <c r="F58" s="361">
        <f>E58/'- 3 -'!E58</f>
        <v>0.005557532094747847</v>
      </c>
    </row>
    <row r="59" spans="1:6" ht="12.75">
      <c r="A59" s="14">
        <v>2312</v>
      </c>
      <c r="B59" s="15" t="s">
        <v>162</v>
      </c>
      <c r="C59" s="15">
        <v>0</v>
      </c>
      <c r="D59" s="360">
        <f>C59/'- 3 -'!E59</f>
        <v>0</v>
      </c>
      <c r="E59" s="15">
        <v>15300</v>
      </c>
      <c r="F59" s="360">
        <f>E59/'- 3 -'!E59</f>
        <v>0.00981229653914529</v>
      </c>
    </row>
    <row r="60" spans="1:6" ht="12.75">
      <c r="A60" s="16">
        <v>2355</v>
      </c>
      <c r="B60" s="17" t="s">
        <v>163</v>
      </c>
      <c r="C60" s="17">
        <v>0</v>
      </c>
      <c r="D60" s="361">
        <f>C60/'- 3 -'!E60</f>
        <v>0</v>
      </c>
      <c r="E60" s="17">
        <v>46305</v>
      </c>
      <c r="F60" s="361">
        <f>E60/'- 3 -'!E60</f>
        <v>0.0018049020367542838</v>
      </c>
    </row>
    <row r="61" spans="1:6" ht="12.75">
      <c r="A61" s="14">
        <v>2439</v>
      </c>
      <c r="B61" s="15" t="s">
        <v>164</v>
      </c>
      <c r="C61" s="15">
        <v>0</v>
      </c>
      <c r="D61" s="360">
        <f>C61/'- 3 -'!E61</f>
        <v>0</v>
      </c>
      <c r="E61" s="15">
        <v>-8000</v>
      </c>
      <c r="F61" s="360">
        <f>E61/'- 3 -'!E61</f>
        <v>-0.005888722287120849</v>
      </c>
    </row>
    <row r="62" spans="1:6" ht="12.75">
      <c r="A62" s="16">
        <v>2460</v>
      </c>
      <c r="B62" s="17" t="s">
        <v>165</v>
      </c>
      <c r="C62" s="17">
        <v>0</v>
      </c>
      <c r="D62" s="361">
        <f>C62/'- 3 -'!E62</f>
        <v>0</v>
      </c>
      <c r="E62" s="17">
        <v>13000</v>
      </c>
      <c r="F62" s="361">
        <f>E62/'- 3 -'!E62</f>
        <v>0.006043745560171531</v>
      </c>
    </row>
    <row r="63" spans="1:6" ht="12.75">
      <c r="A63" s="14">
        <v>3000</v>
      </c>
      <c r="B63" s="15" t="s">
        <v>363</v>
      </c>
      <c r="C63" s="15">
        <v>0</v>
      </c>
      <c r="D63" s="360">
        <f>C63/'- 3 -'!E63</f>
        <v>0</v>
      </c>
      <c r="E63" s="15">
        <v>0</v>
      </c>
      <c r="F63" s="360">
        <f>E63/'- 3 -'!E63</f>
        <v>0</v>
      </c>
    </row>
    <row r="64" spans="1:6" ht="4.5" customHeight="1">
      <c r="A64" s="18"/>
      <c r="B64" s="18"/>
      <c r="C64" s="18"/>
      <c r="D64" s="198"/>
      <c r="E64" s="18"/>
      <c r="F64" s="198"/>
    </row>
    <row r="65" spans="1:7" ht="12.75">
      <c r="A65" s="20"/>
      <c r="B65" s="21" t="s">
        <v>166</v>
      </c>
      <c r="C65" s="21">
        <f>SUM(C11:C63)</f>
        <v>2254159</v>
      </c>
      <c r="D65" s="103">
        <f>C65/'- 3 -'!E65</f>
        <v>0.0016680968679169967</v>
      </c>
      <c r="E65" s="21">
        <f>SUM(E11:E63)</f>
        <v>1942103</v>
      </c>
      <c r="F65" s="103">
        <f>E65/'- 3 -'!E65</f>
        <v>0.0014371727688562356</v>
      </c>
      <c r="G65" s="77"/>
    </row>
    <row r="66" spans="1:6" ht="4.5" customHeight="1">
      <c r="A66" s="18"/>
      <c r="B66" s="18"/>
      <c r="C66" s="18"/>
      <c r="D66" s="198"/>
      <c r="E66" s="18"/>
      <c r="F66" s="198"/>
    </row>
    <row r="67" spans="1:6" ht="12.75">
      <c r="A67" s="16">
        <v>2155</v>
      </c>
      <c r="B67" s="17" t="s">
        <v>167</v>
      </c>
      <c r="C67" s="17">
        <v>0</v>
      </c>
      <c r="D67" s="361">
        <f>C67/'- 3 -'!E67</f>
        <v>0</v>
      </c>
      <c r="E67" s="17">
        <v>3867</v>
      </c>
      <c r="F67" s="361">
        <f>E67/'- 3 -'!E67</f>
        <v>0.0029154453009083343</v>
      </c>
    </row>
    <row r="68" spans="1:6" ht="12.75">
      <c r="A68" s="14">
        <v>2408</v>
      </c>
      <c r="B68" s="15" t="s">
        <v>169</v>
      </c>
      <c r="C68" s="15">
        <v>0</v>
      </c>
      <c r="D68" s="360">
        <f>C68/'- 3 -'!E68</f>
        <v>0</v>
      </c>
      <c r="E68" s="15">
        <v>24000</v>
      </c>
      <c r="F68" s="360">
        <f>E68/'- 3 -'!E68</f>
        <v>0.010445841575755201</v>
      </c>
    </row>
    <row r="69" ht="6.75" customHeight="1"/>
    <row r="70" spans="1:2" ht="12" customHeight="1">
      <c r="A70" s="7"/>
      <c r="B70" s="7"/>
    </row>
    <row r="71" spans="1:2" ht="12" customHeight="1">
      <c r="A71" s="7"/>
      <c r="B71" s="7"/>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8"/>
      <c r="B1" s="80"/>
      <c r="C1" s="142"/>
      <c r="D1" s="142"/>
      <c r="E1" s="142"/>
      <c r="F1" s="142"/>
      <c r="G1" s="142"/>
      <c r="H1" s="142"/>
    </row>
    <row r="2" spans="1:8" ht="12.75">
      <c r="A2" s="9"/>
      <c r="B2" s="83"/>
      <c r="C2" s="200" t="s">
        <v>0</v>
      </c>
      <c r="D2" s="200"/>
      <c r="E2" s="201"/>
      <c r="F2" s="200"/>
      <c r="G2" s="215"/>
      <c r="H2" s="219" t="s">
        <v>431</v>
      </c>
    </row>
    <row r="3" spans="1:8" ht="12.75">
      <c r="A3" s="10"/>
      <c r="B3" s="86"/>
      <c r="C3" s="203" t="str">
        <f>YEAR</f>
        <v>OPERATING FUND BUDGET 2002/2003</v>
      </c>
      <c r="D3" s="203"/>
      <c r="E3" s="204"/>
      <c r="F3" s="203"/>
      <c r="G3" s="216"/>
      <c r="H3" s="216"/>
    </row>
    <row r="4" spans="1:8" ht="12.75">
      <c r="A4" s="11"/>
      <c r="C4" s="142"/>
      <c r="D4" s="142"/>
      <c r="E4" s="142"/>
      <c r="F4" s="142"/>
      <c r="G4" s="142"/>
      <c r="H4" s="142"/>
    </row>
    <row r="5" spans="1:8" ht="12.75">
      <c r="A5" s="11"/>
      <c r="C5" s="57"/>
      <c r="D5" s="142"/>
      <c r="E5" s="142"/>
      <c r="F5" s="142"/>
      <c r="G5" s="142"/>
      <c r="H5" s="142"/>
    </row>
    <row r="6" spans="1:8" ht="16.5">
      <c r="A6" s="11"/>
      <c r="C6" s="340" t="s">
        <v>27</v>
      </c>
      <c r="D6" s="221"/>
      <c r="E6" s="222"/>
      <c r="F6" s="222"/>
      <c r="G6" s="222"/>
      <c r="H6" s="223"/>
    </row>
    <row r="7" spans="3:8" ht="12.75">
      <c r="C7" s="205"/>
      <c r="D7" s="67"/>
      <c r="E7" s="66" t="s">
        <v>60</v>
      </c>
      <c r="F7" s="66"/>
      <c r="G7" s="66"/>
      <c r="H7" s="67"/>
    </row>
    <row r="8" spans="1:8" ht="12.75">
      <c r="A8" s="94"/>
      <c r="B8" s="46"/>
      <c r="C8" s="69" t="s">
        <v>38</v>
      </c>
      <c r="D8" s="71"/>
      <c r="E8" s="69" t="s">
        <v>67</v>
      </c>
      <c r="F8" s="71"/>
      <c r="G8" s="69" t="s">
        <v>507</v>
      </c>
      <c r="H8" s="71"/>
    </row>
    <row r="9" spans="1:8" ht="12.75">
      <c r="A9" s="52" t="s">
        <v>100</v>
      </c>
      <c r="B9" s="53" t="s">
        <v>101</v>
      </c>
      <c r="C9" s="224" t="s">
        <v>102</v>
      </c>
      <c r="D9" s="133" t="s">
        <v>103</v>
      </c>
      <c r="E9" s="133" t="s">
        <v>102</v>
      </c>
      <c r="F9" s="133" t="s">
        <v>103</v>
      </c>
      <c r="G9" s="133" t="s">
        <v>102</v>
      </c>
      <c r="H9" s="133" t="s">
        <v>103</v>
      </c>
    </row>
    <row r="10" spans="1:2" ht="4.5" customHeight="1">
      <c r="A10" s="77"/>
      <c r="B10" s="77"/>
    </row>
    <row r="11" spans="1:8" ht="12.75">
      <c r="A11" s="14">
        <v>1</v>
      </c>
      <c r="B11" s="15" t="s">
        <v>115</v>
      </c>
      <c r="C11" s="15">
        <v>1248300</v>
      </c>
      <c r="D11" s="360">
        <f>C11/'- 3 -'!E11</f>
        <v>0.004911521399132428</v>
      </c>
      <c r="E11" s="15">
        <v>23463800</v>
      </c>
      <c r="F11" s="360">
        <f>E11/'- 3 -'!E11</f>
        <v>0.0923199197348101</v>
      </c>
      <c r="G11" s="15">
        <v>7875000</v>
      </c>
      <c r="H11" s="360">
        <f>G11/'- 3 -'!E11</f>
        <v>0.030984724039227644</v>
      </c>
    </row>
    <row r="12" spans="1:8" ht="12.75">
      <c r="A12" s="16">
        <v>2</v>
      </c>
      <c r="B12" s="17" t="s">
        <v>116</v>
      </c>
      <c r="C12" s="17">
        <v>308378</v>
      </c>
      <c r="D12" s="361">
        <f>C12/'- 3 -'!E12</f>
        <v>0.0049095408290239645</v>
      </c>
      <c r="E12" s="17">
        <v>5182244</v>
      </c>
      <c r="F12" s="361">
        <f>E12/'- 3 -'!E12</f>
        <v>0.08250406482941217</v>
      </c>
      <c r="G12" s="17">
        <v>654412</v>
      </c>
      <c r="H12" s="361">
        <f>G12/'- 3 -'!E12</f>
        <v>0.010418585090386573</v>
      </c>
    </row>
    <row r="13" spans="1:8" ht="12.75">
      <c r="A13" s="14">
        <v>3</v>
      </c>
      <c r="B13" s="15" t="s">
        <v>117</v>
      </c>
      <c r="C13" s="15">
        <v>257440</v>
      </c>
      <c r="D13" s="360">
        <f>C13/'- 3 -'!E13</f>
        <v>0.005807620932358677</v>
      </c>
      <c r="E13" s="15">
        <v>4099600</v>
      </c>
      <c r="F13" s="360">
        <f>E13/'- 3 -'!E13</f>
        <v>0.0924833855434184</v>
      </c>
      <c r="G13" s="15">
        <v>650000</v>
      </c>
      <c r="H13" s="360">
        <f>G13/'- 3 -'!E13</f>
        <v>0.014663430725734696</v>
      </c>
    </row>
    <row r="14" spans="1:8" ht="12.75">
      <c r="A14" s="16">
        <v>4</v>
      </c>
      <c r="B14" s="17" t="s">
        <v>118</v>
      </c>
      <c r="C14" s="17">
        <v>177422</v>
      </c>
      <c r="D14" s="361">
        <f>C14/'- 3 -'!E14</f>
        <v>0.004074115738899566</v>
      </c>
      <c r="E14" s="17">
        <v>4700890</v>
      </c>
      <c r="F14" s="361">
        <f>E14/'- 3 -'!E14</f>
        <v>0.10794585753647001</v>
      </c>
      <c r="G14" s="17">
        <v>300000</v>
      </c>
      <c r="H14" s="361">
        <f>G14/'- 3 -'!E14</f>
        <v>0.006888856633731273</v>
      </c>
    </row>
    <row r="15" spans="1:8" ht="12.75">
      <c r="A15" s="14">
        <v>5</v>
      </c>
      <c r="B15" s="15" t="s">
        <v>119</v>
      </c>
      <c r="C15" s="15">
        <v>301486</v>
      </c>
      <c r="D15" s="360">
        <f>C15/'- 3 -'!E15</f>
        <v>0.00556182676287518</v>
      </c>
      <c r="E15" s="15">
        <v>4206161</v>
      </c>
      <c r="F15" s="360">
        <f>E15/'- 3 -'!E15</f>
        <v>0.0775954399831562</v>
      </c>
      <c r="G15" s="15">
        <v>589484</v>
      </c>
      <c r="H15" s="360">
        <f>G15/'- 3 -'!E15</f>
        <v>0.010874826318590955</v>
      </c>
    </row>
    <row r="16" spans="1:8" ht="12.75">
      <c r="A16" s="16">
        <v>6</v>
      </c>
      <c r="B16" s="17" t="s">
        <v>120</v>
      </c>
      <c r="C16" s="17">
        <v>155061</v>
      </c>
      <c r="D16" s="361">
        <f>C16/'- 3 -'!E16</f>
        <v>0.0024883361399816615</v>
      </c>
      <c r="E16" s="17">
        <v>6933043</v>
      </c>
      <c r="F16" s="361">
        <f>E16/'- 3 -'!E16</f>
        <v>0.11125777246984657</v>
      </c>
      <c r="G16" s="17">
        <v>196558</v>
      </c>
      <c r="H16" s="361">
        <f>G16/'- 3 -'!E16</f>
        <v>0.0031542578404790077</v>
      </c>
    </row>
    <row r="17" spans="1:8" ht="12.75">
      <c r="A17" s="14">
        <v>9</v>
      </c>
      <c r="B17" s="15" t="s">
        <v>121</v>
      </c>
      <c r="C17" s="15">
        <v>385750</v>
      </c>
      <c r="D17" s="360">
        <f>C17/'- 3 -'!E17</f>
        <v>0.004598511665324386</v>
      </c>
      <c r="E17" s="15">
        <v>8450070</v>
      </c>
      <c r="F17" s="360">
        <f>E17/'- 3 -'!E17</f>
        <v>0.10073297593728486</v>
      </c>
      <c r="G17" s="15">
        <v>279770</v>
      </c>
      <c r="H17" s="360">
        <f>G17/'- 3 -'!E17</f>
        <v>0.003335127954913295</v>
      </c>
    </row>
    <row r="18" spans="1:8" ht="12.75">
      <c r="A18" s="16">
        <v>10</v>
      </c>
      <c r="B18" s="17" t="s">
        <v>122</v>
      </c>
      <c r="C18" s="17">
        <v>277904</v>
      </c>
      <c r="D18" s="361">
        <f>C18/'- 3 -'!E18</f>
        <v>0.004486202784263002</v>
      </c>
      <c r="E18" s="17">
        <v>6559814</v>
      </c>
      <c r="F18" s="361">
        <f>E18/'- 3 -'!E18</f>
        <v>0.10589504228455661</v>
      </c>
      <c r="G18" s="17">
        <v>442000</v>
      </c>
      <c r="H18" s="361">
        <f>G18/'- 3 -'!E18</f>
        <v>0.007135203633788095</v>
      </c>
    </row>
    <row r="19" spans="1:8" ht="12.75">
      <c r="A19" s="14">
        <v>11</v>
      </c>
      <c r="B19" s="15" t="s">
        <v>123</v>
      </c>
      <c r="C19" s="15">
        <v>147895</v>
      </c>
      <c r="D19" s="360">
        <f>C19/'- 3 -'!E19</f>
        <v>0.004434150046036968</v>
      </c>
      <c r="E19" s="15">
        <v>3046965</v>
      </c>
      <c r="F19" s="360">
        <f>E19/'- 3 -'!E19</f>
        <v>0.0913533249604316</v>
      </c>
      <c r="G19" s="15">
        <v>144155</v>
      </c>
      <c r="H19" s="360">
        <f>G19/'- 3 -'!E19</f>
        <v>0.004322018323043099</v>
      </c>
    </row>
    <row r="20" spans="1:8" ht="12.75">
      <c r="A20" s="16">
        <v>12</v>
      </c>
      <c r="B20" s="17" t="s">
        <v>124</v>
      </c>
      <c r="C20" s="17">
        <v>197105</v>
      </c>
      <c r="D20" s="361">
        <f>C20/'- 3 -'!E20</f>
        <v>0.0037651842341389287</v>
      </c>
      <c r="E20" s="17">
        <v>4318163</v>
      </c>
      <c r="F20" s="361">
        <f>E20/'- 3 -'!E20</f>
        <v>0.08248740137511508</v>
      </c>
      <c r="G20" s="17">
        <v>319300</v>
      </c>
      <c r="H20" s="361">
        <f>G20/'- 3 -'!E20</f>
        <v>0.006099405524773902</v>
      </c>
    </row>
    <row r="21" spans="1:8" ht="12.75">
      <c r="A21" s="14">
        <v>13</v>
      </c>
      <c r="B21" s="15" t="s">
        <v>125</v>
      </c>
      <c r="C21" s="15">
        <v>58305</v>
      </c>
      <c r="D21" s="360">
        <f>C21/'- 3 -'!E21</f>
        <v>0.002774563800310591</v>
      </c>
      <c r="E21" s="15">
        <v>1731009</v>
      </c>
      <c r="F21" s="360">
        <f>E21/'- 3 -'!E21</f>
        <v>0.08237363707078015</v>
      </c>
      <c r="G21" s="15">
        <v>74525</v>
      </c>
      <c r="H21" s="360">
        <f>G21/'- 3 -'!E21</f>
        <v>0.0035464259877908723</v>
      </c>
    </row>
    <row r="22" spans="1:8" ht="12.75">
      <c r="A22" s="16">
        <v>14</v>
      </c>
      <c r="B22" s="17" t="s">
        <v>126</v>
      </c>
      <c r="C22" s="17">
        <v>88053</v>
      </c>
      <c r="D22" s="361">
        <f>C22/'- 3 -'!E22</f>
        <v>0.0036988593408895033</v>
      </c>
      <c r="E22" s="17">
        <v>2442321</v>
      </c>
      <c r="F22" s="361">
        <f>E22/'- 3 -'!E22</f>
        <v>0.10259504893984978</v>
      </c>
      <c r="G22" s="17">
        <v>156486</v>
      </c>
      <c r="H22" s="361">
        <f>G22/'- 3 -'!E22</f>
        <v>0.006573537560542342</v>
      </c>
    </row>
    <row r="23" spans="1:8" ht="12.75">
      <c r="A23" s="14">
        <v>15</v>
      </c>
      <c r="B23" s="15" t="s">
        <v>127</v>
      </c>
      <c r="C23" s="15">
        <v>91256</v>
      </c>
      <c r="D23" s="360">
        <f>C23/'- 3 -'!E23</f>
        <v>0.0026848247939697946</v>
      </c>
      <c r="E23" s="15">
        <v>3308987</v>
      </c>
      <c r="F23" s="360">
        <f>E23/'- 3 -'!E23</f>
        <v>0.09735305448982783</v>
      </c>
      <c r="G23" s="15">
        <v>162000</v>
      </c>
      <c r="H23" s="360">
        <f>G23/'- 3 -'!E23</f>
        <v>0.0047661700778371474</v>
      </c>
    </row>
    <row r="24" spans="1:8" ht="12.75">
      <c r="A24" s="16">
        <v>16</v>
      </c>
      <c r="B24" s="17" t="s">
        <v>128</v>
      </c>
      <c r="C24" s="17">
        <v>32585</v>
      </c>
      <c r="D24" s="361">
        <f>C24/'- 3 -'!E24</f>
        <v>0.005221423781394041</v>
      </c>
      <c r="E24" s="17">
        <v>575912</v>
      </c>
      <c r="F24" s="361">
        <f>E24/'- 3 -'!E24</f>
        <v>0.09228419864324704</v>
      </c>
      <c r="G24" s="17">
        <v>31400</v>
      </c>
      <c r="H24" s="361">
        <f>G24/'- 3 -'!E24</f>
        <v>0.005031539258424824</v>
      </c>
    </row>
    <row r="25" spans="1:8" ht="12.75">
      <c r="A25" s="14">
        <v>17</v>
      </c>
      <c r="B25" s="15" t="s">
        <v>129</v>
      </c>
      <c r="C25" s="15">
        <v>61530</v>
      </c>
      <c r="D25" s="360">
        <f>C25/'- 3 -'!E25</f>
        <v>0.013819547213866534</v>
      </c>
      <c r="E25" s="15">
        <v>344100</v>
      </c>
      <c r="F25" s="360">
        <f>E25/'- 3 -'!E25</f>
        <v>0.07728435228817608</v>
      </c>
      <c r="G25" s="15">
        <v>131900</v>
      </c>
      <c r="H25" s="360">
        <f>G25/'- 3 -'!E25</f>
        <v>0.02962454538451155</v>
      </c>
    </row>
    <row r="26" spans="1:8" ht="12.75">
      <c r="A26" s="16">
        <v>18</v>
      </c>
      <c r="B26" s="17" t="s">
        <v>130</v>
      </c>
      <c r="C26" s="17">
        <v>58275.21</v>
      </c>
      <c r="D26" s="361">
        <f>C26/'- 3 -'!E26</f>
        <v>0.005945000925739914</v>
      </c>
      <c r="E26" s="17">
        <v>836240</v>
      </c>
      <c r="F26" s="361">
        <f>E26/'- 3 -'!E26</f>
        <v>0.08530981825961238</v>
      </c>
      <c r="G26" s="17">
        <v>76000</v>
      </c>
      <c r="H26" s="361">
        <f>G26/'- 3 -'!E26</f>
        <v>0.007753212221049628</v>
      </c>
    </row>
    <row r="27" spans="1:8" ht="12.75">
      <c r="A27" s="14">
        <v>19</v>
      </c>
      <c r="B27" s="15" t="s">
        <v>131</v>
      </c>
      <c r="C27" s="15">
        <v>46000</v>
      </c>
      <c r="D27" s="360">
        <f>C27/'- 3 -'!E27</f>
        <v>0.0037043345142912824</v>
      </c>
      <c r="E27" s="15">
        <v>1016000</v>
      </c>
      <c r="F27" s="360">
        <f>E27/'- 3 -'!E27</f>
        <v>0.08181747535912919</v>
      </c>
      <c r="G27" s="15">
        <v>66000</v>
      </c>
      <c r="H27" s="360">
        <f>G27/'- 3 -'!E27</f>
        <v>0.005314914737896187</v>
      </c>
    </row>
    <row r="28" spans="1:8" ht="12.75">
      <c r="A28" s="16">
        <v>20</v>
      </c>
      <c r="B28" s="17" t="s">
        <v>132</v>
      </c>
      <c r="C28" s="17">
        <v>43700</v>
      </c>
      <c r="D28" s="361">
        <f>C28/'- 3 -'!E28</f>
        <v>0.005529511458172662</v>
      </c>
      <c r="E28" s="17">
        <v>618250</v>
      </c>
      <c r="F28" s="361">
        <f>E28/'- 3 -'!E28</f>
        <v>0.0782293011216304</v>
      </c>
      <c r="G28" s="17">
        <v>50000</v>
      </c>
      <c r="H28" s="361">
        <f>G28/'- 3 -'!E28</f>
        <v>0.0063266721489389725</v>
      </c>
    </row>
    <row r="29" spans="1:8" ht="12.75">
      <c r="A29" s="14">
        <v>21</v>
      </c>
      <c r="B29" s="15" t="s">
        <v>133</v>
      </c>
      <c r="C29" s="15">
        <v>97000</v>
      </c>
      <c r="D29" s="360">
        <f>C29/'- 3 -'!E29</f>
        <v>0.00412836227442969</v>
      </c>
      <c r="E29" s="15">
        <v>2021000</v>
      </c>
      <c r="F29" s="360">
        <f>E29/'- 3 -'!E29</f>
        <v>0.08601464078992169</v>
      </c>
      <c r="G29" s="15">
        <v>300000</v>
      </c>
      <c r="H29" s="360">
        <f>G29/'- 3 -'!E29</f>
        <v>0.012768130745658836</v>
      </c>
    </row>
    <row r="30" spans="1:8" ht="12.75">
      <c r="A30" s="16">
        <v>22</v>
      </c>
      <c r="B30" s="17" t="s">
        <v>134</v>
      </c>
      <c r="C30" s="17">
        <v>60550</v>
      </c>
      <c r="D30" s="361">
        <f>C30/'- 3 -'!E30</f>
        <v>0.004862001463177385</v>
      </c>
      <c r="E30" s="17">
        <v>1258750</v>
      </c>
      <c r="F30" s="361">
        <f>E30/'- 3 -'!E30</f>
        <v>0.10107422529768015</v>
      </c>
      <c r="G30" s="17">
        <v>132000</v>
      </c>
      <c r="H30" s="361">
        <f>G30/'- 3 -'!E30</f>
        <v>0.010599243487025843</v>
      </c>
    </row>
    <row r="31" spans="1:8" ht="12.75">
      <c r="A31" s="14">
        <v>23</v>
      </c>
      <c r="B31" s="15" t="s">
        <v>135</v>
      </c>
      <c r="C31" s="15">
        <v>30450</v>
      </c>
      <c r="D31" s="360">
        <f>C31/'- 3 -'!E31</f>
        <v>0.002977181880783078</v>
      </c>
      <c r="E31" s="15">
        <v>825550</v>
      </c>
      <c r="F31" s="360">
        <f>E31/'- 3 -'!E31</f>
        <v>0.08071633831462956</v>
      </c>
      <c r="G31" s="15">
        <v>84421</v>
      </c>
      <c r="H31" s="360">
        <f>G31/'- 3 -'!E31</f>
        <v>0.008254077883664638</v>
      </c>
    </row>
    <row r="32" spans="1:8" ht="12.75">
      <c r="A32" s="16">
        <v>24</v>
      </c>
      <c r="B32" s="17" t="s">
        <v>136</v>
      </c>
      <c r="C32" s="17">
        <v>144522</v>
      </c>
      <c r="D32" s="361">
        <f>C32/'- 3 -'!E32</f>
        <v>0.006181161908060466</v>
      </c>
      <c r="E32" s="17">
        <v>2500386</v>
      </c>
      <c r="F32" s="361">
        <f>E32/'- 3 -'!E32</f>
        <v>0.1069407474200999</v>
      </c>
      <c r="G32" s="17">
        <v>153885</v>
      </c>
      <c r="H32" s="361">
        <f>G32/'- 3 -'!E32</f>
        <v>0.00658161456540793</v>
      </c>
    </row>
    <row r="33" spans="1:8" ht="12.75">
      <c r="A33" s="14">
        <v>25</v>
      </c>
      <c r="B33" s="15" t="s">
        <v>137</v>
      </c>
      <c r="C33" s="15">
        <v>28220</v>
      </c>
      <c r="D33" s="360">
        <f>C33/'- 3 -'!E33</f>
        <v>0.0026534142634086276</v>
      </c>
      <c r="E33" s="15">
        <v>944610</v>
      </c>
      <c r="F33" s="360">
        <f>E33/'- 3 -'!E33</f>
        <v>0.08881791804955434</v>
      </c>
      <c r="G33" s="15">
        <v>125000</v>
      </c>
      <c r="H33" s="360">
        <f>G33/'- 3 -'!E33</f>
        <v>0.01175325240701908</v>
      </c>
    </row>
    <row r="34" spans="1:8" ht="12.75">
      <c r="A34" s="16">
        <v>26</v>
      </c>
      <c r="B34" s="17" t="s">
        <v>138</v>
      </c>
      <c r="C34" s="17">
        <v>54100</v>
      </c>
      <c r="D34" s="361">
        <f>C34/'- 3 -'!E34</f>
        <v>0.003119639021436706</v>
      </c>
      <c r="E34" s="17">
        <v>1413700</v>
      </c>
      <c r="F34" s="361">
        <f>E34/'- 3 -'!E34</f>
        <v>0.08152003113872591</v>
      </c>
      <c r="G34" s="17">
        <v>47000</v>
      </c>
      <c r="H34" s="361">
        <f>G34/'- 3 -'!E34</f>
        <v>0.0027102224400651605</v>
      </c>
    </row>
    <row r="35" spans="1:8" ht="12.75">
      <c r="A35" s="14">
        <v>28</v>
      </c>
      <c r="B35" s="15" t="s">
        <v>139</v>
      </c>
      <c r="C35" s="15">
        <v>54607</v>
      </c>
      <c r="D35" s="360">
        <f>C35/'- 3 -'!E35</f>
        <v>0.008527483084641754</v>
      </c>
      <c r="E35" s="15">
        <v>536597</v>
      </c>
      <c r="F35" s="360">
        <f>E35/'- 3 -'!E35</f>
        <v>0.08379551780485124</v>
      </c>
      <c r="G35" s="15">
        <v>41000</v>
      </c>
      <c r="H35" s="360">
        <f>G35/'- 3 -'!E35</f>
        <v>0.006402600517704908</v>
      </c>
    </row>
    <row r="36" spans="1:8" ht="12.75">
      <c r="A36" s="16">
        <v>30</v>
      </c>
      <c r="B36" s="17" t="s">
        <v>140</v>
      </c>
      <c r="C36" s="17">
        <v>32119</v>
      </c>
      <c r="D36" s="361">
        <f>C36/'- 3 -'!E36</f>
        <v>0.0032793828115579584</v>
      </c>
      <c r="E36" s="17">
        <v>780315</v>
      </c>
      <c r="F36" s="361">
        <f>E36/'- 3 -'!E36</f>
        <v>0.0796709610697982</v>
      </c>
      <c r="G36" s="17">
        <v>176020</v>
      </c>
      <c r="H36" s="361">
        <f>G36/'- 3 -'!E36</f>
        <v>0.017971822363412056</v>
      </c>
    </row>
    <row r="37" spans="1:8" ht="12.75">
      <c r="A37" s="14">
        <v>31</v>
      </c>
      <c r="B37" s="15" t="s">
        <v>141</v>
      </c>
      <c r="C37" s="15">
        <v>62676</v>
      </c>
      <c r="D37" s="360">
        <f>C37/'- 3 -'!E37</f>
        <v>0.005723215732067742</v>
      </c>
      <c r="E37" s="15">
        <v>889264</v>
      </c>
      <c r="F37" s="360">
        <f>E37/'- 3 -'!E37</f>
        <v>0.08120252911419823</v>
      </c>
      <c r="G37" s="15">
        <v>223000</v>
      </c>
      <c r="H37" s="360">
        <f>G37/'- 3 -'!E37</f>
        <v>0.020363091267009803</v>
      </c>
    </row>
    <row r="38" spans="1:8" ht="12.75">
      <c r="A38" s="16">
        <v>32</v>
      </c>
      <c r="B38" s="17" t="s">
        <v>142</v>
      </c>
      <c r="C38" s="17">
        <v>33189</v>
      </c>
      <c r="D38" s="361">
        <f>C38/'- 3 -'!E38</f>
        <v>0.0048277156173087326</v>
      </c>
      <c r="E38" s="17">
        <v>664506</v>
      </c>
      <c r="F38" s="361">
        <f>E38/'- 3 -'!E38</f>
        <v>0.09665991726160345</v>
      </c>
      <c r="G38" s="17">
        <v>51175</v>
      </c>
      <c r="H38" s="361">
        <f>G38/'- 3 -'!E38</f>
        <v>0.007443982847201615</v>
      </c>
    </row>
    <row r="39" spans="1:8" ht="12.75">
      <c r="A39" s="14">
        <v>33</v>
      </c>
      <c r="B39" s="15" t="s">
        <v>143</v>
      </c>
      <c r="C39" s="15">
        <v>63674</v>
      </c>
      <c r="D39" s="360">
        <f>C39/'- 3 -'!E39</f>
        <v>0.004649720654562428</v>
      </c>
      <c r="E39" s="15">
        <v>1317594</v>
      </c>
      <c r="F39" s="360">
        <f>E39/'- 3 -'!E39</f>
        <v>0.096215787230699</v>
      </c>
      <c r="G39" s="15">
        <v>77618</v>
      </c>
      <c r="H39" s="360">
        <f>G39/'- 3 -'!E39</f>
        <v>0.005667965225458218</v>
      </c>
    </row>
    <row r="40" spans="1:8" ht="12.75">
      <c r="A40" s="16">
        <v>34</v>
      </c>
      <c r="B40" s="17" t="s">
        <v>144</v>
      </c>
      <c r="C40" s="17">
        <v>51000</v>
      </c>
      <c r="D40" s="361">
        <f>C40/'- 3 -'!E40</f>
        <v>0.008849531417311454</v>
      </c>
      <c r="E40" s="17">
        <v>689811</v>
      </c>
      <c r="F40" s="361">
        <f>E40/'- 3 -'!E40</f>
        <v>0.11969615914719668</v>
      </c>
      <c r="G40" s="17">
        <v>41541</v>
      </c>
      <c r="H40" s="361">
        <f>G40/'- 3 -'!E40</f>
        <v>0.007208203619735982</v>
      </c>
    </row>
    <row r="41" spans="1:8" ht="12.75">
      <c r="A41" s="14">
        <v>35</v>
      </c>
      <c r="B41" s="15" t="s">
        <v>145</v>
      </c>
      <c r="C41" s="15">
        <v>87126</v>
      </c>
      <c r="D41" s="360">
        <f>C41/'- 3 -'!E41</f>
        <v>0.005918914820779015</v>
      </c>
      <c r="E41" s="15">
        <v>1508904</v>
      </c>
      <c r="F41" s="360">
        <f>E41/'- 3 -'!E41</f>
        <v>0.10250756661309757</v>
      </c>
      <c r="G41" s="15">
        <v>59309</v>
      </c>
      <c r="H41" s="360">
        <f>G41/'- 3 -'!E41</f>
        <v>0.004029163729605199</v>
      </c>
    </row>
    <row r="42" spans="1:8" ht="12.75">
      <c r="A42" s="16">
        <v>36</v>
      </c>
      <c r="B42" s="17" t="s">
        <v>146</v>
      </c>
      <c r="C42" s="17">
        <v>51612</v>
      </c>
      <c r="D42" s="361">
        <f>C42/'- 3 -'!E42</f>
        <v>0.0067572663000785545</v>
      </c>
      <c r="E42" s="17">
        <v>821309</v>
      </c>
      <c r="F42" s="361">
        <f>E42/'- 3 -'!E42</f>
        <v>0.1075293270489657</v>
      </c>
      <c r="G42" s="17">
        <v>35750</v>
      </c>
      <c r="H42" s="361">
        <f>G42/'- 3 -'!E42</f>
        <v>0.004680544645195077</v>
      </c>
    </row>
    <row r="43" spans="1:8" ht="12.75">
      <c r="A43" s="14">
        <v>37</v>
      </c>
      <c r="B43" s="15" t="s">
        <v>147</v>
      </c>
      <c r="C43" s="15">
        <v>29485</v>
      </c>
      <c r="D43" s="360">
        <f>C43/'- 3 -'!E43</f>
        <v>0.0042576572127471235</v>
      </c>
      <c r="E43" s="15">
        <v>648394</v>
      </c>
      <c r="F43" s="360">
        <f>E43/'- 3 -'!E43</f>
        <v>0.09362860406314935</v>
      </c>
      <c r="G43" s="15">
        <v>58000</v>
      </c>
      <c r="H43" s="360">
        <f>G43/'- 3 -'!E43</f>
        <v>0.008375245661839349</v>
      </c>
    </row>
    <row r="44" spans="1:8" ht="12.75">
      <c r="A44" s="16">
        <v>38</v>
      </c>
      <c r="B44" s="17" t="s">
        <v>148</v>
      </c>
      <c r="C44" s="17">
        <v>35135</v>
      </c>
      <c r="D44" s="361">
        <f>C44/'- 3 -'!E44</f>
        <v>0.003923007885765047</v>
      </c>
      <c r="E44" s="17">
        <v>879531</v>
      </c>
      <c r="F44" s="361">
        <f>E44/'- 3 -'!E44</f>
        <v>0.0982042706354011</v>
      </c>
      <c r="G44" s="17">
        <v>49839</v>
      </c>
      <c r="H44" s="361">
        <f>G44/'- 3 -'!E44</f>
        <v>0.0055647869650958925</v>
      </c>
    </row>
    <row r="45" spans="1:8" ht="12.75">
      <c r="A45" s="14">
        <v>39</v>
      </c>
      <c r="B45" s="15" t="s">
        <v>149</v>
      </c>
      <c r="C45" s="15">
        <v>69200</v>
      </c>
      <c r="D45" s="360">
        <f>C45/'- 3 -'!E45</f>
        <v>0.004345327987491484</v>
      </c>
      <c r="E45" s="15">
        <v>1541900</v>
      </c>
      <c r="F45" s="360">
        <f>E45/'- 3 -'!E45</f>
        <v>0.0968216939871838</v>
      </c>
      <c r="G45" s="15">
        <v>80000</v>
      </c>
      <c r="H45" s="360">
        <f>G45/'- 3 -'!E45</f>
        <v>0.00502350056357397</v>
      </c>
    </row>
    <row r="46" spans="1:8" ht="12.75">
      <c r="A46" s="16">
        <v>40</v>
      </c>
      <c r="B46" s="17" t="s">
        <v>150</v>
      </c>
      <c r="C46" s="17">
        <v>143800</v>
      </c>
      <c r="D46" s="361">
        <f>C46/'- 3 -'!E46</f>
        <v>0.0030774827988400586</v>
      </c>
      <c r="E46" s="17">
        <v>3849900</v>
      </c>
      <c r="F46" s="361">
        <f>E46/'- 3 -'!E46</f>
        <v>0.0823922185483612</v>
      </c>
      <c r="G46" s="17">
        <v>379400</v>
      </c>
      <c r="H46" s="361">
        <f>G46/'- 3 -'!E46</f>
        <v>0.00811958952628594</v>
      </c>
    </row>
    <row r="47" spans="1:8" ht="12.75">
      <c r="A47" s="14">
        <v>41</v>
      </c>
      <c r="B47" s="15" t="s">
        <v>151</v>
      </c>
      <c r="C47" s="15">
        <v>69970</v>
      </c>
      <c r="D47" s="360">
        <f>C47/'- 3 -'!E47</f>
        <v>0.00569676657814438</v>
      </c>
      <c r="E47" s="15">
        <v>1092329</v>
      </c>
      <c r="F47" s="360">
        <f>E47/'- 3 -'!E47</f>
        <v>0.08893444818547766</v>
      </c>
      <c r="G47" s="15">
        <v>130000</v>
      </c>
      <c r="H47" s="360">
        <f>G47/'- 3 -'!E47</f>
        <v>0.01058424546461011</v>
      </c>
    </row>
    <row r="48" spans="1:8" ht="12.75">
      <c r="A48" s="16">
        <v>42</v>
      </c>
      <c r="B48" s="17" t="s">
        <v>152</v>
      </c>
      <c r="C48" s="17">
        <v>24177</v>
      </c>
      <c r="D48" s="361">
        <f>C48/'- 3 -'!E48</f>
        <v>0.0030119011017102444</v>
      </c>
      <c r="E48" s="17">
        <v>749244</v>
      </c>
      <c r="F48" s="361">
        <f>E48/'- 3 -'!E48</f>
        <v>0.09333866191213924</v>
      </c>
      <c r="G48" s="17">
        <v>69987</v>
      </c>
      <c r="H48" s="361">
        <f>G48/'- 3 -'!E48</f>
        <v>0.008718779104330351</v>
      </c>
    </row>
    <row r="49" spans="1:8" ht="12.75">
      <c r="A49" s="14">
        <v>43</v>
      </c>
      <c r="B49" s="15" t="s">
        <v>153</v>
      </c>
      <c r="C49" s="15">
        <v>30100</v>
      </c>
      <c r="D49" s="360">
        <f>C49/'- 3 -'!E49</f>
        <v>0.004700921443073559</v>
      </c>
      <c r="E49" s="15">
        <v>578900</v>
      </c>
      <c r="F49" s="360">
        <f>E49/'- 3 -'!E49</f>
        <v>0.09041074496329846</v>
      </c>
      <c r="G49" s="15">
        <v>80000</v>
      </c>
      <c r="H49" s="360">
        <f>G49/'- 3 -'!E49</f>
        <v>0.012494143370295174</v>
      </c>
    </row>
    <row r="50" spans="1:8" ht="12.75">
      <c r="A50" s="16">
        <v>44</v>
      </c>
      <c r="B50" s="17" t="s">
        <v>154</v>
      </c>
      <c r="C50" s="17">
        <v>34927</v>
      </c>
      <c r="D50" s="361">
        <f>C50/'- 3 -'!E50</f>
        <v>0.0037821158234664655</v>
      </c>
      <c r="E50" s="17">
        <v>672979</v>
      </c>
      <c r="F50" s="361">
        <f>E50/'- 3 -'!E50</f>
        <v>0.07287441019156064</v>
      </c>
      <c r="G50" s="17">
        <v>168500</v>
      </c>
      <c r="H50" s="361">
        <f>G50/'- 3 -'!E50</f>
        <v>0.018246242627597546</v>
      </c>
    </row>
    <row r="51" spans="1:8" ht="12.75">
      <c r="A51" s="14">
        <v>45</v>
      </c>
      <c r="B51" s="15" t="s">
        <v>155</v>
      </c>
      <c r="C51" s="15">
        <v>113680</v>
      </c>
      <c r="D51" s="360">
        <f>C51/'- 3 -'!E51</f>
        <v>0.009431513217766323</v>
      </c>
      <c r="E51" s="15">
        <v>1516150</v>
      </c>
      <c r="F51" s="360">
        <f>E51/'- 3 -'!E51</f>
        <v>0.12578807851087623</v>
      </c>
      <c r="G51" s="15">
        <v>103000</v>
      </c>
      <c r="H51" s="360">
        <f>G51/'- 3 -'!E51</f>
        <v>0.008545442130805166</v>
      </c>
    </row>
    <row r="52" spans="1:8" ht="12.75">
      <c r="A52" s="16">
        <v>46</v>
      </c>
      <c r="B52" s="17" t="s">
        <v>156</v>
      </c>
      <c r="C52" s="17">
        <v>73124</v>
      </c>
      <c r="D52" s="361">
        <f>C52/'- 3 -'!E52</f>
        <v>0.006896461965244563</v>
      </c>
      <c r="E52" s="17">
        <v>1342459</v>
      </c>
      <c r="F52" s="361">
        <f>E52/'- 3 -'!E52</f>
        <v>0.12660983306985737</v>
      </c>
      <c r="G52" s="17">
        <v>80900</v>
      </c>
      <c r="H52" s="361">
        <f>G52/'- 3 -'!E52</f>
        <v>0.007629831149667484</v>
      </c>
    </row>
    <row r="53" spans="1:8" ht="12.75">
      <c r="A53" s="14">
        <v>47</v>
      </c>
      <c r="B53" s="15" t="s">
        <v>157</v>
      </c>
      <c r="C53" s="15">
        <v>68922</v>
      </c>
      <c r="D53" s="360">
        <f>C53/'- 3 -'!E53</f>
        <v>0.007196999401973019</v>
      </c>
      <c r="E53" s="15">
        <v>813797</v>
      </c>
      <c r="F53" s="360">
        <f>E53/'- 3 -'!E53</f>
        <v>0.08497862108365162</v>
      </c>
      <c r="G53" s="15">
        <v>152188</v>
      </c>
      <c r="H53" s="360">
        <f>G53/'- 3 -'!E53</f>
        <v>0.015891833449224773</v>
      </c>
    </row>
    <row r="54" spans="1:8" ht="12.75">
      <c r="A54" s="16">
        <v>48</v>
      </c>
      <c r="B54" s="17" t="s">
        <v>158</v>
      </c>
      <c r="C54" s="17">
        <v>100307</v>
      </c>
      <c r="D54" s="361">
        <f>C54/'- 3 -'!E54</f>
        <v>0.0016160062318389204</v>
      </c>
      <c r="E54" s="17">
        <v>8168671</v>
      </c>
      <c r="F54" s="361">
        <f>E54/'- 3 -'!E54</f>
        <v>0.13160221362259727</v>
      </c>
      <c r="G54" s="17">
        <v>643090</v>
      </c>
      <c r="H54" s="361">
        <f>G54/'- 3 -'!E54</f>
        <v>0.010360567534003521</v>
      </c>
    </row>
    <row r="55" spans="1:8" ht="12.75">
      <c r="A55" s="14">
        <v>49</v>
      </c>
      <c r="B55" s="15" t="s">
        <v>159</v>
      </c>
      <c r="C55" s="15">
        <v>154013</v>
      </c>
      <c r="D55" s="360">
        <f>C55/'- 3 -'!E55</f>
        <v>0.0038357283276355993</v>
      </c>
      <c r="E55" s="15">
        <v>3960588</v>
      </c>
      <c r="F55" s="360">
        <f>E55/'- 3 -'!E55</f>
        <v>0.0986393329504238</v>
      </c>
      <c r="G55" s="15">
        <v>300000</v>
      </c>
      <c r="H55" s="360">
        <f>G55/'- 3 -'!E55</f>
        <v>0.007471567324126403</v>
      </c>
    </row>
    <row r="56" spans="1:8" ht="12.75">
      <c r="A56" s="16">
        <v>50</v>
      </c>
      <c r="B56" s="17" t="s">
        <v>340</v>
      </c>
      <c r="C56" s="17">
        <v>77800</v>
      </c>
      <c r="D56" s="361">
        <f>C56/'- 3 -'!E56</f>
        <v>0.005397717417698685</v>
      </c>
      <c r="E56" s="17">
        <v>1497800</v>
      </c>
      <c r="F56" s="361">
        <f>E56/'- 3 -'!E56</f>
        <v>0.10391646720088805</v>
      </c>
      <c r="G56" s="17">
        <v>129800</v>
      </c>
      <c r="H56" s="361">
        <f>G56/'- 3 -'!E56</f>
        <v>0.009005446282998578</v>
      </c>
    </row>
    <row r="57" spans="1:8" ht="12.75">
      <c r="A57" s="14">
        <v>2264</v>
      </c>
      <c r="B57" s="15" t="s">
        <v>160</v>
      </c>
      <c r="C57" s="15">
        <v>0</v>
      </c>
      <c r="D57" s="360">
        <f>C57/'- 3 -'!E57</f>
        <v>0</v>
      </c>
      <c r="E57" s="15">
        <v>314749</v>
      </c>
      <c r="F57" s="360">
        <f>E57/'- 3 -'!E57</f>
        <v>0.15564882151585374</v>
      </c>
      <c r="G57" s="15">
        <v>8622</v>
      </c>
      <c r="H57" s="360">
        <f>G57/'- 3 -'!E57</f>
        <v>0.004263728047141344</v>
      </c>
    </row>
    <row r="58" spans="1:8" ht="12.75">
      <c r="A58" s="16">
        <v>2309</v>
      </c>
      <c r="B58" s="17" t="s">
        <v>161</v>
      </c>
      <c r="C58" s="17">
        <v>0</v>
      </c>
      <c r="D58" s="361">
        <f>C58/'- 3 -'!E58</f>
        <v>0</v>
      </c>
      <c r="E58" s="17">
        <v>300030</v>
      </c>
      <c r="F58" s="361">
        <f>E58/'- 3 -'!E58</f>
        <v>0.14251507302454672</v>
      </c>
      <c r="G58" s="17">
        <v>6246</v>
      </c>
      <c r="H58" s="361">
        <f>G58/'- 3 -'!E58</f>
        <v>0.0029668671336576967</v>
      </c>
    </row>
    <row r="59" spans="1:8" ht="12.75">
      <c r="A59" s="14">
        <v>2312</v>
      </c>
      <c r="B59" s="15" t="s">
        <v>162</v>
      </c>
      <c r="C59" s="15">
        <v>0</v>
      </c>
      <c r="D59" s="360">
        <f>C59/'- 3 -'!E59</f>
        <v>0</v>
      </c>
      <c r="E59" s="15">
        <v>250383</v>
      </c>
      <c r="F59" s="360">
        <f>E59/'- 3 -'!E59</f>
        <v>0.1605772708732559</v>
      </c>
      <c r="G59" s="15">
        <v>12769</v>
      </c>
      <c r="H59" s="360">
        <f>G59/'- 3 -'!E59</f>
        <v>0.008189098987473609</v>
      </c>
    </row>
    <row r="60" spans="1:8" ht="12.75">
      <c r="A60" s="16">
        <v>2355</v>
      </c>
      <c r="B60" s="17" t="s">
        <v>163</v>
      </c>
      <c r="C60" s="17">
        <v>137413</v>
      </c>
      <c r="D60" s="361">
        <f>C60/'- 3 -'!E60</f>
        <v>0.005356160319112761</v>
      </c>
      <c r="E60" s="17">
        <v>2731073</v>
      </c>
      <c r="F60" s="361">
        <f>E60/'- 3 -'!E60</f>
        <v>0.10645328193984736</v>
      </c>
      <c r="G60" s="17">
        <v>119500</v>
      </c>
      <c r="H60" s="361">
        <f>G60/'- 3 -'!E60</f>
        <v>0.004657937445030492</v>
      </c>
    </row>
    <row r="61" spans="1:8" ht="12.75">
      <c r="A61" s="14">
        <v>2439</v>
      </c>
      <c r="B61" s="15" t="s">
        <v>164</v>
      </c>
      <c r="C61" s="15">
        <v>0</v>
      </c>
      <c r="D61" s="360">
        <f>C61/'- 3 -'!E61</f>
        <v>0</v>
      </c>
      <c r="E61" s="15">
        <v>130453</v>
      </c>
      <c r="F61" s="360">
        <f>E61/'- 3 -'!E61</f>
        <v>0.09602518606522202</v>
      </c>
      <c r="G61" s="15">
        <v>12100</v>
      </c>
      <c r="H61" s="360">
        <f>G61/'- 3 -'!E61</f>
        <v>0.008906692459270284</v>
      </c>
    </row>
    <row r="62" spans="1:8" ht="12.75">
      <c r="A62" s="16">
        <v>2460</v>
      </c>
      <c r="B62" s="17" t="s">
        <v>165</v>
      </c>
      <c r="C62" s="17">
        <v>0</v>
      </c>
      <c r="D62" s="361">
        <f>C62/'- 3 -'!E62</f>
        <v>0</v>
      </c>
      <c r="E62" s="17">
        <v>368700</v>
      </c>
      <c r="F62" s="361">
        <f>E62/'- 3 -'!E62</f>
        <v>0.17140992215655718</v>
      </c>
      <c r="G62" s="17">
        <v>10000</v>
      </c>
      <c r="H62" s="361">
        <f>G62/'- 3 -'!E62</f>
        <v>0.004649035046285793</v>
      </c>
    </row>
    <row r="63" spans="1:8" ht="12.75">
      <c r="A63" s="14">
        <v>3000</v>
      </c>
      <c r="B63" s="15" t="s">
        <v>363</v>
      </c>
      <c r="C63" s="15">
        <v>0</v>
      </c>
      <c r="D63" s="360">
        <f>C63/'- 3 -'!E63</f>
        <v>0</v>
      </c>
      <c r="E63" s="15">
        <v>616417</v>
      </c>
      <c r="F63" s="360">
        <f>E63/'- 3 -'!E63</f>
        <v>0.0852338147675818</v>
      </c>
      <c r="G63" s="15">
        <v>59510</v>
      </c>
      <c r="H63" s="360">
        <f>G63/'- 3 -'!E63</f>
        <v>0.008228624967868817</v>
      </c>
    </row>
    <row r="64" spans="1:8" ht="4.5" customHeight="1">
      <c r="A64" s="18"/>
      <c r="B64" s="18"/>
      <c r="C64" s="18"/>
      <c r="D64" s="198"/>
      <c r="E64" s="18"/>
      <c r="F64" s="198"/>
      <c r="G64" s="18"/>
      <c r="H64" s="198"/>
    </row>
    <row r="65" spans="1:8" ht="12.75">
      <c r="A65" s="20"/>
      <c r="B65" s="21" t="s">
        <v>166</v>
      </c>
      <c r="C65" s="21">
        <f>SUM(C11:C63)</f>
        <v>5949343.21</v>
      </c>
      <c r="D65" s="103">
        <f>C65/'- 3 -'!E65</f>
        <v>0.004402564670355664</v>
      </c>
      <c r="E65" s="21">
        <f>SUM(E11:E63)</f>
        <v>130030312</v>
      </c>
      <c r="F65" s="103">
        <f>E65/'- 3 -'!E65</f>
        <v>0.09622353888144974</v>
      </c>
      <c r="G65" s="21">
        <f>SUM(G11:G63)</f>
        <v>16400160</v>
      </c>
      <c r="H65" s="103">
        <f>G65/'- 3 -'!E65</f>
        <v>0.012136258147423324</v>
      </c>
    </row>
    <row r="66" spans="1:8" ht="4.5" customHeight="1">
      <c r="A66" s="18"/>
      <c r="B66" s="18"/>
      <c r="C66" s="18"/>
      <c r="D66" s="198"/>
      <c r="E66" s="18"/>
      <c r="F66" s="198"/>
      <c r="G66" s="18"/>
      <c r="H66" s="198"/>
    </row>
    <row r="67" spans="1:8" ht="12.75">
      <c r="A67" s="16">
        <v>2155</v>
      </c>
      <c r="B67" s="17" t="s">
        <v>167</v>
      </c>
      <c r="C67" s="17">
        <v>0</v>
      </c>
      <c r="D67" s="361">
        <f>C67/'- 3 -'!E67</f>
        <v>0</v>
      </c>
      <c r="E67" s="17">
        <v>132530</v>
      </c>
      <c r="F67" s="361">
        <f>E67/'- 3 -'!E67</f>
        <v>0.099918274044319</v>
      </c>
      <c r="G67" s="17">
        <v>50000</v>
      </c>
      <c r="H67" s="361">
        <f>G67/'- 3 -'!E67</f>
        <v>0.03769647402260582</v>
      </c>
    </row>
    <row r="68" spans="1:8" ht="12.75">
      <c r="A68" s="14">
        <v>2408</v>
      </c>
      <c r="B68" s="15" t="s">
        <v>169</v>
      </c>
      <c r="C68" s="15">
        <v>0</v>
      </c>
      <c r="D68" s="360">
        <f>C68/'- 3 -'!E68</f>
        <v>0</v>
      </c>
      <c r="E68" s="15">
        <v>326487</v>
      </c>
      <c r="F68" s="360">
        <f>E68/'- 3 -'!E68</f>
        <v>0.14210131160598286</v>
      </c>
      <c r="G68" s="15">
        <v>0</v>
      </c>
      <c r="H68" s="360">
        <f>G68/'- 3 -'!E68</f>
        <v>0</v>
      </c>
    </row>
    <row r="69" ht="6.75" customHeight="1"/>
    <row r="70" spans="1:2" ht="12" customHeight="1">
      <c r="A70" s="7"/>
      <c r="B70" s="7"/>
    </row>
    <row r="71" spans="1:2" ht="12" customHeight="1">
      <c r="A71" s="7"/>
      <c r="B71" s="7"/>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G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30.83203125" style="82" customWidth="1"/>
    <col min="8" max="16384" width="15.83203125" style="82" customWidth="1"/>
  </cols>
  <sheetData>
    <row r="1" spans="1:7" ht="6.75" customHeight="1">
      <c r="A1" s="18"/>
      <c r="B1" s="80"/>
      <c r="C1" s="80"/>
      <c r="D1" s="80"/>
      <c r="E1" s="142"/>
      <c r="F1" s="142"/>
      <c r="G1" s="142"/>
    </row>
    <row r="2" spans="1:7" ht="12.75">
      <c r="A2" s="9"/>
      <c r="B2" s="83"/>
      <c r="C2" s="200" t="s">
        <v>0</v>
      </c>
      <c r="D2" s="199"/>
      <c r="E2" s="201"/>
      <c r="F2" s="200"/>
      <c r="G2" s="219" t="s">
        <v>430</v>
      </c>
    </row>
    <row r="3" spans="1:7" ht="12.75">
      <c r="A3" s="10"/>
      <c r="B3" s="86"/>
      <c r="C3" s="203" t="str">
        <f>YEAR</f>
        <v>OPERATING FUND BUDGET 2002/2003</v>
      </c>
      <c r="D3" s="202"/>
      <c r="E3" s="204"/>
      <c r="F3" s="203"/>
      <c r="G3" s="220"/>
    </row>
    <row r="4" spans="1:7" ht="12.75">
      <c r="A4" s="11"/>
      <c r="E4" s="142"/>
      <c r="F4" s="142"/>
      <c r="G4" s="142"/>
    </row>
    <row r="5" spans="1:7" ht="12.75">
      <c r="A5" s="11"/>
      <c r="C5" s="18"/>
      <c r="E5" s="142"/>
      <c r="F5" s="142"/>
      <c r="G5" s="142"/>
    </row>
    <row r="6" spans="1:7" ht="16.5">
      <c r="A6" s="11"/>
      <c r="C6" s="341" t="s">
        <v>331</v>
      </c>
      <c r="D6" s="222"/>
      <c r="E6" s="175"/>
      <c r="F6" s="156"/>
      <c r="G6" s="153"/>
    </row>
    <row r="7" spans="3:7" ht="12.75">
      <c r="C7" s="225"/>
      <c r="D7" s="67"/>
      <c r="E7" s="225"/>
      <c r="F7" s="67"/>
      <c r="G7" s="142"/>
    </row>
    <row r="8" spans="1:7" ht="12.75">
      <c r="A8" s="94"/>
      <c r="B8" s="46"/>
      <c r="C8" s="69" t="s">
        <v>81</v>
      </c>
      <c r="D8" s="71"/>
      <c r="E8" s="69" t="s">
        <v>82</v>
      </c>
      <c r="F8" s="71"/>
      <c r="G8" s="142"/>
    </row>
    <row r="9" spans="1:6" ht="12.75">
      <c r="A9" s="52" t="s">
        <v>100</v>
      </c>
      <c r="B9" s="53" t="s">
        <v>101</v>
      </c>
      <c r="C9" s="133" t="s">
        <v>102</v>
      </c>
      <c r="D9" s="133" t="s">
        <v>103</v>
      </c>
      <c r="E9" s="224" t="s">
        <v>102</v>
      </c>
      <c r="F9" s="133" t="s">
        <v>103</v>
      </c>
    </row>
    <row r="10" spans="1:2" ht="4.5" customHeight="1">
      <c r="A10" s="77"/>
      <c r="B10" s="77"/>
    </row>
    <row r="11" spans="1:6" ht="12.75">
      <c r="A11" s="14">
        <v>1</v>
      </c>
      <c r="B11" s="15" t="s">
        <v>115</v>
      </c>
      <c r="C11" s="15">
        <v>1679000</v>
      </c>
      <c r="D11" s="360">
        <f>C11/'- 3 -'!E11</f>
        <v>0.006606139893569932</v>
      </c>
      <c r="E11" s="15">
        <v>762900</v>
      </c>
      <c r="F11" s="360">
        <f>E11/'- 3 -'!E11</f>
        <v>0.003001682027876415</v>
      </c>
    </row>
    <row r="12" spans="1:6" ht="12.75">
      <c r="A12" s="16">
        <v>2</v>
      </c>
      <c r="B12" s="17" t="s">
        <v>116</v>
      </c>
      <c r="C12" s="17">
        <v>398677</v>
      </c>
      <c r="D12" s="361">
        <f>C12/'- 3 -'!E12</f>
        <v>0.006347148658765499</v>
      </c>
      <c r="E12" s="17">
        <v>213816</v>
      </c>
      <c r="F12" s="361">
        <f>E12/'- 3 -'!E12</f>
        <v>0.003404063785025482</v>
      </c>
    </row>
    <row r="13" spans="1:6" ht="12.75">
      <c r="A13" s="14">
        <v>3</v>
      </c>
      <c r="B13" s="15" t="s">
        <v>117</v>
      </c>
      <c r="C13" s="15">
        <v>296260</v>
      </c>
      <c r="D13" s="360">
        <f>C13/'- 3 -'!E13</f>
        <v>0.00668336613354794</v>
      </c>
      <c r="E13" s="15">
        <v>209350</v>
      </c>
      <c r="F13" s="360">
        <f>E13/'- 3 -'!E13</f>
        <v>0.004722752649896244</v>
      </c>
    </row>
    <row r="14" spans="1:6" ht="12.75">
      <c r="A14" s="16">
        <v>4</v>
      </c>
      <c r="B14" s="17" t="s">
        <v>118</v>
      </c>
      <c r="C14" s="17">
        <v>155100</v>
      </c>
      <c r="D14" s="361">
        <f>C14/'- 3 -'!E14</f>
        <v>0.003561538879639068</v>
      </c>
      <c r="E14" s="17">
        <v>0</v>
      </c>
      <c r="F14" s="361">
        <f>E14/'- 3 -'!E14</f>
        <v>0</v>
      </c>
    </row>
    <row r="15" spans="1:6" ht="12.75">
      <c r="A15" s="14">
        <v>5</v>
      </c>
      <c r="B15" s="15" t="s">
        <v>119</v>
      </c>
      <c r="C15" s="15">
        <v>322979</v>
      </c>
      <c r="D15" s="360">
        <f>C15/'- 3 -'!E15</f>
        <v>0.005958330556134158</v>
      </c>
      <c r="E15" s="15">
        <v>133605</v>
      </c>
      <c r="F15" s="360">
        <f>E15/'- 3 -'!E15</f>
        <v>0.0024647508164688855</v>
      </c>
    </row>
    <row r="16" spans="1:6" ht="12.75">
      <c r="A16" s="16">
        <v>6</v>
      </c>
      <c r="B16" s="17" t="s">
        <v>120</v>
      </c>
      <c r="C16" s="17">
        <v>65000</v>
      </c>
      <c r="D16" s="361">
        <f>C16/'- 3 -'!E16</f>
        <v>0.0010430852961015858</v>
      </c>
      <c r="E16" s="17">
        <v>173400</v>
      </c>
      <c r="F16" s="361">
        <f>E16/'- 3 -'!E16</f>
        <v>0.0027826306206771537</v>
      </c>
    </row>
    <row r="17" spans="1:6" ht="12.75">
      <c r="A17" s="14">
        <v>9</v>
      </c>
      <c r="B17" s="15" t="s">
        <v>121</v>
      </c>
      <c r="C17" s="15">
        <v>165700</v>
      </c>
      <c r="D17" s="360">
        <f>C17/'- 3 -'!E17</f>
        <v>0.0019753036498878825</v>
      </c>
      <c r="E17" s="15">
        <v>173800</v>
      </c>
      <c r="F17" s="360">
        <f>E17/'- 3 -'!E17</f>
        <v>0.0020718634541370792</v>
      </c>
    </row>
    <row r="18" spans="1:6" ht="12.75">
      <c r="A18" s="16">
        <v>10</v>
      </c>
      <c r="B18" s="17" t="s">
        <v>122</v>
      </c>
      <c r="C18" s="17">
        <v>173970</v>
      </c>
      <c r="D18" s="361">
        <f>C18/'- 3 -'!E18</f>
        <v>0.002808396778665418</v>
      </c>
      <c r="E18" s="17">
        <v>149292</v>
      </c>
      <c r="F18" s="361">
        <f>E18/'- 3 -'!E18</f>
        <v>0.0024100199567771317</v>
      </c>
    </row>
    <row r="19" spans="1:6" ht="12.75">
      <c r="A19" s="14">
        <v>11</v>
      </c>
      <c r="B19" s="15" t="s">
        <v>123</v>
      </c>
      <c r="C19" s="15">
        <v>130980</v>
      </c>
      <c r="D19" s="360">
        <f>C19/'- 3 -'!E19</f>
        <v>0.003927008844314697</v>
      </c>
      <c r="E19" s="15">
        <v>167950</v>
      </c>
      <c r="F19" s="360">
        <f>E19/'- 3 -'!E19</f>
        <v>0.005035433924283504</v>
      </c>
    </row>
    <row r="20" spans="1:6" ht="12.75">
      <c r="A20" s="16">
        <v>12</v>
      </c>
      <c r="B20" s="17" t="s">
        <v>124</v>
      </c>
      <c r="C20" s="17">
        <v>129797</v>
      </c>
      <c r="D20" s="361">
        <f>C20/'- 3 -'!E20</f>
        <v>0.0024794379545852742</v>
      </c>
      <c r="E20" s="17">
        <v>211064</v>
      </c>
      <c r="F20" s="361">
        <f>E20/'- 3 -'!E20</f>
        <v>0.004031835038148696</v>
      </c>
    </row>
    <row r="21" spans="1:6" ht="12.75">
      <c r="A21" s="14">
        <v>13</v>
      </c>
      <c r="B21" s="15" t="s">
        <v>125</v>
      </c>
      <c r="C21" s="15">
        <v>49236</v>
      </c>
      <c r="D21" s="360">
        <f>C21/'- 3 -'!E21</f>
        <v>0.0023429967116386633</v>
      </c>
      <c r="E21" s="15">
        <v>27000</v>
      </c>
      <c r="F21" s="360">
        <f>E21/'- 3 -'!E21</f>
        <v>0.0012848507436478169</v>
      </c>
    </row>
    <row r="22" spans="1:6" ht="12.75">
      <c r="A22" s="16">
        <v>14</v>
      </c>
      <c r="B22" s="17" t="s">
        <v>126</v>
      </c>
      <c r="C22" s="17">
        <v>49928</v>
      </c>
      <c r="D22" s="361">
        <f>C22/'- 3 -'!E22</f>
        <v>0.0020973351183029665</v>
      </c>
      <c r="E22" s="17">
        <v>105893</v>
      </c>
      <c r="F22" s="361">
        <f>E22/'- 3 -'!E22</f>
        <v>0.004448267659078194</v>
      </c>
    </row>
    <row r="23" spans="1:6" ht="12.75">
      <c r="A23" s="14">
        <v>15</v>
      </c>
      <c r="B23" s="15" t="s">
        <v>127</v>
      </c>
      <c r="C23" s="15">
        <v>70330</v>
      </c>
      <c r="D23" s="360">
        <f>C23/'- 3 -'!E23</f>
        <v>0.0020691650714462135</v>
      </c>
      <c r="E23" s="15">
        <v>70747</v>
      </c>
      <c r="F23" s="360">
        <f>E23/'- 3 -'!E23</f>
        <v>0.0020814335462762015</v>
      </c>
    </row>
    <row r="24" spans="1:6" ht="12.75">
      <c r="A24" s="16">
        <v>16</v>
      </c>
      <c r="B24" s="17" t="s">
        <v>128</v>
      </c>
      <c r="C24" s="17">
        <v>16212</v>
      </c>
      <c r="D24" s="361">
        <f>C24/'- 3 -'!E24</f>
        <v>0.0025978125623434154</v>
      </c>
      <c r="E24" s="17">
        <v>7000</v>
      </c>
      <c r="F24" s="361">
        <f>E24/'- 3 -'!E24</f>
        <v>0.0011216807264004384</v>
      </c>
    </row>
    <row r="25" spans="1:6" ht="12.75">
      <c r="A25" s="14">
        <v>17</v>
      </c>
      <c r="B25" s="15" t="s">
        <v>129</v>
      </c>
      <c r="C25" s="15">
        <v>12100</v>
      </c>
      <c r="D25" s="360">
        <f>C25/'- 3 -'!E25</f>
        <v>0.0027176421467216814</v>
      </c>
      <c r="E25" s="15">
        <v>5000</v>
      </c>
      <c r="F25" s="360">
        <f>E25/'- 3 -'!E25</f>
        <v>0.001122992622612265</v>
      </c>
    </row>
    <row r="26" spans="1:6" ht="12.75">
      <c r="A26" s="16">
        <v>18</v>
      </c>
      <c r="B26" s="17" t="s">
        <v>130</v>
      </c>
      <c r="C26" s="17">
        <v>147639</v>
      </c>
      <c r="D26" s="361">
        <f>C26/'- 3 -'!E26</f>
        <v>0.015061532882941396</v>
      </c>
      <c r="E26" s="17">
        <v>14000</v>
      </c>
      <c r="F26" s="361">
        <f>E26/'- 3 -'!E26</f>
        <v>0.001428223303877563</v>
      </c>
    </row>
    <row r="27" spans="1:6" ht="12.75">
      <c r="A27" s="14">
        <v>19</v>
      </c>
      <c r="B27" s="15" t="s">
        <v>131</v>
      </c>
      <c r="C27" s="15">
        <v>39000</v>
      </c>
      <c r="D27" s="360">
        <f>C27/'- 3 -'!E27</f>
        <v>0.0031406314360295654</v>
      </c>
      <c r="E27" s="15">
        <v>0</v>
      </c>
      <c r="F27" s="360">
        <f>E27/'- 3 -'!E27</f>
        <v>0</v>
      </c>
    </row>
    <row r="28" spans="1:6" ht="12.75">
      <c r="A28" s="16">
        <v>20</v>
      </c>
      <c r="B28" s="17" t="s">
        <v>132</v>
      </c>
      <c r="C28" s="17">
        <v>33400</v>
      </c>
      <c r="D28" s="361">
        <f>C28/'- 3 -'!E28</f>
        <v>0.004226216995491234</v>
      </c>
      <c r="E28" s="17">
        <v>9000</v>
      </c>
      <c r="F28" s="361">
        <f>E28/'- 3 -'!E28</f>
        <v>0.001138800986809015</v>
      </c>
    </row>
    <row r="29" spans="1:6" ht="12.75">
      <c r="A29" s="14">
        <v>21</v>
      </c>
      <c r="B29" s="15" t="s">
        <v>133</v>
      </c>
      <c r="C29" s="15">
        <v>69000</v>
      </c>
      <c r="D29" s="360">
        <f>C29/'- 3 -'!E29</f>
        <v>0.0029366700715015323</v>
      </c>
      <c r="E29" s="15">
        <v>81000</v>
      </c>
      <c r="F29" s="360">
        <f>E29/'- 3 -'!E29</f>
        <v>0.0034473953013278856</v>
      </c>
    </row>
    <row r="30" spans="1:6" ht="12.75">
      <c r="A30" s="16">
        <v>22</v>
      </c>
      <c r="B30" s="17" t="s">
        <v>134</v>
      </c>
      <c r="C30" s="17">
        <v>85900</v>
      </c>
      <c r="D30" s="361">
        <f>C30/'- 3 -'!E30</f>
        <v>0.006897537996481211</v>
      </c>
      <c r="E30" s="17">
        <v>10000</v>
      </c>
      <c r="F30" s="361">
        <f>E30/'- 3 -'!E30</f>
        <v>0.0008029729914413518</v>
      </c>
    </row>
    <row r="31" spans="1:6" ht="12.75">
      <c r="A31" s="14">
        <v>23</v>
      </c>
      <c r="B31" s="15" t="s">
        <v>135</v>
      </c>
      <c r="C31" s="15">
        <v>34800</v>
      </c>
      <c r="D31" s="360">
        <f>C31/'- 3 -'!E31</f>
        <v>0.0034024935780378033</v>
      </c>
      <c r="E31" s="15">
        <v>9000</v>
      </c>
      <c r="F31" s="360">
        <f>E31/'- 3 -'!E31</f>
        <v>0.000879955235699432</v>
      </c>
    </row>
    <row r="32" spans="1:6" ht="12.75">
      <c r="A32" s="16">
        <v>24</v>
      </c>
      <c r="B32" s="17" t="s">
        <v>136</v>
      </c>
      <c r="C32" s="17">
        <v>31121</v>
      </c>
      <c r="D32" s="361">
        <f>C32/'- 3 -'!E32</f>
        <v>0.0013310356882741022</v>
      </c>
      <c r="E32" s="17">
        <v>39500</v>
      </c>
      <c r="F32" s="361">
        <f>E32/'- 3 -'!E32</f>
        <v>0.0016894029654197177</v>
      </c>
    </row>
    <row r="33" spans="1:6" ht="12.75">
      <c r="A33" s="14">
        <v>25</v>
      </c>
      <c r="B33" s="15" t="s">
        <v>137</v>
      </c>
      <c r="C33" s="15">
        <v>46325</v>
      </c>
      <c r="D33" s="360">
        <f>C33/'- 3 -'!E33</f>
        <v>0.004355755342041271</v>
      </c>
      <c r="E33" s="15">
        <v>26600</v>
      </c>
      <c r="F33" s="360">
        <f>E33/'- 3 -'!E33</f>
        <v>0.00250109211221366</v>
      </c>
    </row>
    <row r="34" spans="1:6" ht="12.75">
      <c r="A34" s="16">
        <v>26</v>
      </c>
      <c r="B34" s="17" t="s">
        <v>138</v>
      </c>
      <c r="C34" s="17">
        <v>17000</v>
      </c>
      <c r="D34" s="361">
        <f>C34/'- 3 -'!E34</f>
        <v>0.0009802932230022921</v>
      </c>
      <c r="E34" s="17">
        <v>15000</v>
      </c>
      <c r="F34" s="361">
        <f>E34/'- 3 -'!E34</f>
        <v>0.0008649646085314343</v>
      </c>
    </row>
    <row r="35" spans="1:6" ht="12.75">
      <c r="A35" s="14">
        <v>28</v>
      </c>
      <c r="B35" s="15" t="s">
        <v>139</v>
      </c>
      <c r="C35" s="15">
        <v>30125</v>
      </c>
      <c r="D35" s="360">
        <f>C35/'- 3 -'!E35</f>
        <v>0.004704349770630741</v>
      </c>
      <c r="E35" s="15">
        <v>16400</v>
      </c>
      <c r="F35" s="360">
        <f>E35/'- 3 -'!E35</f>
        <v>0.0025610402070819632</v>
      </c>
    </row>
    <row r="36" spans="1:6" ht="12.75">
      <c r="A36" s="16">
        <v>30</v>
      </c>
      <c r="B36" s="17" t="s">
        <v>140</v>
      </c>
      <c r="C36" s="17">
        <v>37851</v>
      </c>
      <c r="D36" s="361">
        <f>C36/'- 3 -'!E36</f>
        <v>0.003864625884998919</v>
      </c>
      <c r="E36" s="17">
        <v>25000</v>
      </c>
      <c r="F36" s="361">
        <f>E36/'- 3 -'!E36</f>
        <v>0.0025525256168918388</v>
      </c>
    </row>
    <row r="37" spans="1:6" ht="12.75">
      <c r="A37" s="14">
        <v>31</v>
      </c>
      <c r="B37" s="15" t="s">
        <v>141</v>
      </c>
      <c r="C37" s="15">
        <v>35500</v>
      </c>
      <c r="D37" s="360">
        <f>C37/'- 3 -'!E37</f>
        <v>0.003241658026810977</v>
      </c>
      <c r="E37" s="15">
        <v>29950</v>
      </c>
      <c r="F37" s="360">
        <f>E37/'- 3 -'!E37</f>
        <v>0.002734863602901092</v>
      </c>
    </row>
    <row r="38" spans="1:6" ht="12.75">
      <c r="A38" s="16">
        <v>32</v>
      </c>
      <c r="B38" s="17" t="s">
        <v>142</v>
      </c>
      <c r="C38" s="17">
        <v>30470</v>
      </c>
      <c r="D38" s="361">
        <f>C38/'- 3 -'!E38</f>
        <v>0.004432206299056829</v>
      </c>
      <c r="E38" s="17">
        <v>12000</v>
      </c>
      <c r="F38" s="361">
        <f>E38/'- 3 -'!E38</f>
        <v>0.0017455357922114194</v>
      </c>
    </row>
    <row r="39" spans="1:6" ht="12.75">
      <c r="A39" s="14">
        <v>33</v>
      </c>
      <c r="B39" s="15" t="s">
        <v>143</v>
      </c>
      <c r="C39" s="15">
        <v>43366</v>
      </c>
      <c r="D39" s="360">
        <f>C39/'- 3 -'!E39</f>
        <v>0.0031667522993019796</v>
      </c>
      <c r="E39" s="15">
        <v>31425</v>
      </c>
      <c r="F39" s="360">
        <f>E39/'- 3 -'!E39</f>
        <v>0.0022947745008892843</v>
      </c>
    </row>
    <row r="40" spans="1:6" ht="12.75">
      <c r="A40" s="16">
        <v>34</v>
      </c>
      <c r="B40" s="17" t="s">
        <v>144</v>
      </c>
      <c r="C40" s="17">
        <v>28300</v>
      </c>
      <c r="D40" s="361">
        <f>C40/'- 3 -'!E40</f>
        <v>0.004910622335488513</v>
      </c>
      <c r="E40" s="17">
        <v>4500</v>
      </c>
      <c r="F40" s="361">
        <f>E40/'- 3 -'!E40</f>
        <v>0.0007808410074098341</v>
      </c>
    </row>
    <row r="41" spans="1:6" ht="12.75">
      <c r="A41" s="14">
        <v>35</v>
      </c>
      <c r="B41" s="15" t="s">
        <v>145</v>
      </c>
      <c r="C41" s="15">
        <v>107077</v>
      </c>
      <c r="D41" s="360">
        <f>C41/'- 3 -'!E41</f>
        <v>0.007274288298149284</v>
      </c>
      <c r="E41" s="15">
        <v>65584</v>
      </c>
      <c r="F41" s="360">
        <f>E41/'- 3 -'!E41</f>
        <v>0.004455456575602815</v>
      </c>
    </row>
    <row r="42" spans="1:6" ht="12.75">
      <c r="A42" s="16">
        <v>36</v>
      </c>
      <c r="B42" s="17" t="s">
        <v>146</v>
      </c>
      <c r="C42" s="17">
        <v>26200</v>
      </c>
      <c r="D42" s="361">
        <f>C42/'- 3 -'!E42</f>
        <v>0.003430217334380728</v>
      </c>
      <c r="E42" s="17">
        <v>0</v>
      </c>
      <c r="F42" s="361">
        <f>E42/'- 3 -'!E42</f>
        <v>0</v>
      </c>
    </row>
    <row r="43" spans="1:6" ht="12.75">
      <c r="A43" s="14">
        <v>37</v>
      </c>
      <c r="B43" s="15" t="s">
        <v>147</v>
      </c>
      <c r="C43" s="15">
        <v>11000</v>
      </c>
      <c r="D43" s="360">
        <f>C43/'- 3 -'!E43</f>
        <v>0.0015884086600040143</v>
      </c>
      <c r="E43" s="15">
        <v>8000</v>
      </c>
      <c r="F43" s="360">
        <f>E43/'- 3 -'!E43</f>
        <v>0.0011552062981847377</v>
      </c>
    </row>
    <row r="44" spans="1:6" ht="12.75">
      <c r="A44" s="16">
        <v>38</v>
      </c>
      <c r="B44" s="17" t="s">
        <v>148</v>
      </c>
      <c r="C44" s="17">
        <v>46536</v>
      </c>
      <c r="D44" s="361">
        <f>C44/'- 3 -'!E44</f>
        <v>0.005195989610700505</v>
      </c>
      <c r="E44" s="17">
        <v>20500</v>
      </c>
      <c r="F44" s="361">
        <f>E44/'- 3 -'!E44</f>
        <v>0.0022889330200137606</v>
      </c>
    </row>
    <row r="45" spans="1:6" ht="12.75">
      <c r="A45" s="14">
        <v>39</v>
      </c>
      <c r="B45" s="15" t="s">
        <v>149</v>
      </c>
      <c r="C45" s="15">
        <v>44200</v>
      </c>
      <c r="D45" s="360">
        <f>C45/'- 3 -'!E45</f>
        <v>0.002775484061374618</v>
      </c>
      <c r="E45" s="15">
        <v>0</v>
      </c>
      <c r="F45" s="360">
        <f>E45/'- 3 -'!E45</f>
        <v>0</v>
      </c>
    </row>
    <row r="46" spans="1:6" ht="12.75">
      <c r="A46" s="16">
        <v>40</v>
      </c>
      <c r="B46" s="17" t="s">
        <v>150</v>
      </c>
      <c r="C46" s="17">
        <v>174800</v>
      </c>
      <c r="D46" s="361">
        <f>C46/'- 3 -'!E46</f>
        <v>0.003740917894556622</v>
      </c>
      <c r="E46" s="17">
        <v>95400</v>
      </c>
      <c r="F46" s="361">
        <f>E46/'- 3 -'!E46</f>
        <v>0.002041668004237424</v>
      </c>
    </row>
    <row r="47" spans="1:6" ht="12.75">
      <c r="A47" s="14">
        <v>41</v>
      </c>
      <c r="B47" s="15" t="s">
        <v>151</v>
      </c>
      <c r="C47" s="15">
        <v>52120</v>
      </c>
      <c r="D47" s="360">
        <f>C47/'- 3 -'!E47</f>
        <v>0.004243468258580607</v>
      </c>
      <c r="E47" s="15">
        <v>22100</v>
      </c>
      <c r="F47" s="360">
        <f>E47/'- 3 -'!E47</f>
        <v>0.0017993217289837187</v>
      </c>
    </row>
    <row r="48" spans="1:6" ht="12.75">
      <c r="A48" s="16">
        <v>42</v>
      </c>
      <c r="B48" s="17" t="s">
        <v>152</v>
      </c>
      <c r="C48" s="17">
        <v>13748</v>
      </c>
      <c r="D48" s="361">
        <f>C48/'- 3 -'!E48</f>
        <v>0.0017126862864008125</v>
      </c>
      <c r="E48" s="17">
        <v>0</v>
      </c>
      <c r="F48" s="361">
        <f>E48/'- 3 -'!E48</f>
        <v>0</v>
      </c>
    </row>
    <row r="49" spans="1:6" ht="12.75">
      <c r="A49" s="14">
        <v>43</v>
      </c>
      <c r="B49" s="15" t="s">
        <v>153</v>
      </c>
      <c r="C49" s="15">
        <v>4000</v>
      </c>
      <c r="D49" s="360">
        <f>C49/'- 3 -'!E49</f>
        <v>0.0006247071685147587</v>
      </c>
      <c r="E49" s="15">
        <v>13000</v>
      </c>
      <c r="F49" s="360">
        <f>E49/'- 3 -'!E49</f>
        <v>0.002030298297672966</v>
      </c>
    </row>
    <row r="50" spans="1:6" ht="12.75">
      <c r="A50" s="16">
        <v>44</v>
      </c>
      <c r="B50" s="17" t="s">
        <v>154</v>
      </c>
      <c r="C50" s="17">
        <v>50900</v>
      </c>
      <c r="D50" s="361">
        <f>C50/'- 3 -'!E50</f>
        <v>0.005511772995517597</v>
      </c>
      <c r="E50" s="17">
        <v>11000</v>
      </c>
      <c r="F50" s="361">
        <f>E50/'- 3 -'!E50</f>
        <v>0.0011911493703476142</v>
      </c>
    </row>
    <row r="51" spans="1:6" ht="12.75">
      <c r="A51" s="14">
        <v>45</v>
      </c>
      <c r="B51" s="15" t="s">
        <v>155</v>
      </c>
      <c r="C51" s="15">
        <v>36455</v>
      </c>
      <c r="D51" s="360">
        <f>C51/'- 3 -'!E51</f>
        <v>0.0030245057561019643</v>
      </c>
      <c r="E51" s="15">
        <v>2500</v>
      </c>
      <c r="F51" s="360">
        <f>E51/'- 3 -'!E51</f>
        <v>0.0002074136439515817</v>
      </c>
    </row>
    <row r="52" spans="1:6" ht="12.75">
      <c r="A52" s="16">
        <v>46</v>
      </c>
      <c r="B52" s="17" t="s">
        <v>156</v>
      </c>
      <c r="C52" s="17">
        <v>10575</v>
      </c>
      <c r="D52" s="361">
        <f>C52/'- 3 -'!E52</f>
        <v>0.0009973481385381169</v>
      </c>
      <c r="E52" s="17">
        <v>11000</v>
      </c>
      <c r="F52" s="361">
        <f>E52/'- 3 -'!E52</f>
        <v>0.001037430687841067</v>
      </c>
    </row>
    <row r="53" spans="1:6" ht="12.75">
      <c r="A53" s="14">
        <v>47</v>
      </c>
      <c r="B53" s="15" t="s">
        <v>157</v>
      </c>
      <c r="C53" s="15">
        <v>14180</v>
      </c>
      <c r="D53" s="360">
        <f>C53/'- 3 -'!E53</f>
        <v>0.0014807093746550797</v>
      </c>
      <c r="E53" s="15">
        <v>10500</v>
      </c>
      <c r="F53" s="360">
        <f>E53/'- 3 -'!E53</f>
        <v>0.0010964350094413496</v>
      </c>
    </row>
    <row r="54" spans="1:6" ht="12.75">
      <c r="A54" s="16">
        <v>48</v>
      </c>
      <c r="B54" s="17" t="s">
        <v>158</v>
      </c>
      <c r="C54" s="17">
        <v>1849508</v>
      </c>
      <c r="D54" s="361">
        <f>C54/'- 3 -'!E54</f>
        <v>0.029796688704037982</v>
      </c>
      <c r="E54" s="17">
        <v>10350</v>
      </c>
      <c r="F54" s="361">
        <f>E54/'- 3 -'!E54</f>
        <v>0.00016674473864767986</v>
      </c>
    </row>
    <row r="55" spans="1:6" ht="12.75">
      <c r="A55" s="14">
        <v>49</v>
      </c>
      <c r="B55" s="15" t="s">
        <v>159</v>
      </c>
      <c r="C55" s="15">
        <v>142276</v>
      </c>
      <c r="D55" s="360">
        <f>C55/'- 3 -'!E55</f>
        <v>0.0035434157086913607</v>
      </c>
      <c r="E55" s="15">
        <v>85000</v>
      </c>
      <c r="F55" s="360">
        <f>E55/'- 3 -'!E55</f>
        <v>0.0021169440751691478</v>
      </c>
    </row>
    <row r="56" spans="1:6" ht="12.75">
      <c r="A56" s="16">
        <v>50</v>
      </c>
      <c r="B56" s="17" t="s">
        <v>340</v>
      </c>
      <c r="C56" s="17">
        <v>63000</v>
      </c>
      <c r="D56" s="361">
        <f>C56/'- 3 -'!E56</f>
        <v>0.004370902279113331</v>
      </c>
      <c r="E56" s="17">
        <v>52100</v>
      </c>
      <c r="F56" s="361">
        <f>E56/'- 3 -'!E56</f>
        <v>0.0036146668054254693</v>
      </c>
    </row>
    <row r="57" spans="1:6" ht="12.75">
      <c r="A57" s="14">
        <v>2264</v>
      </c>
      <c r="B57" s="15" t="s">
        <v>160</v>
      </c>
      <c r="C57" s="15">
        <v>0</v>
      </c>
      <c r="D57" s="360">
        <f>C57/'- 3 -'!E57</f>
        <v>0</v>
      </c>
      <c r="E57" s="15">
        <v>3000</v>
      </c>
      <c r="F57" s="360">
        <f>E57/'- 3 -'!E57</f>
        <v>0.0014835518605223882</v>
      </c>
    </row>
    <row r="58" spans="1:6" ht="12.75">
      <c r="A58" s="16">
        <v>2309</v>
      </c>
      <c r="B58" s="17" t="s">
        <v>161</v>
      </c>
      <c r="C58" s="17">
        <v>5800</v>
      </c>
      <c r="D58" s="361">
        <f>C58/'- 3 -'!E58</f>
        <v>0.0027550159102168814</v>
      </c>
      <c r="E58" s="17">
        <v>0</v>
      </c>
      <c r="F58" s="361">
        <f>E58/'- 3 -'!E58</f>
        <v>0</v>
      </c>
    </row>
    <row r="59" spans="1:6" ht="12.75">
      <c r="A59" s="14">
        <v>2312</v>
      </c>
      <c r="B59" s="15" t="s">
        <v>162</v>
      </c>
      <c r="C59" s="15">
        <v>0</v>
      </c>
      <c r="D59" s="360">
        <f>C59/'- 3 -'!E59</f>
        <v>0</v>
      </c>
      <c r="E59" s="15">
        <v>2000</v>
      </c>
      <c r="F59" s="360">
        <f>E59/'- 3 -'!E59</f>
        <v>0.0012826531423719336</v>
      </c>
    </row>
    <row r="60" spans="1:6" ht="12.75">
      <c r="A60" s="16">
        <v>2355</v>
      </c>
      <c r="B60" s="17" t="s">
        <v>163</v>
      </c>
      <c r="C60" s="17">
        <v>157742</v>
      </c>
      <c r="D60" s="361">
        <f>C60/'- 3 -'!E60</f>
        <v>0.0061485553845523</v>
      </c>
      <c r="E60" s="17">
        <v>146129</v>
      </c>
      <c r="F60" s="361">
        <f>E60/'- 3 -'!E60</f>
        <v>0.005695897413429797</v>
      </c>
    </row>
    <row r="61" spans="1:6" ht="12.75">
      <c r="A61" s="14">
        <v>2439</v>
      </c>
      <c r="B61" s="15" t="s">
        <v>164</v>
      </c>
      <c r="C61" s="15">
        <v>0</v>
      </c>
      <c r="D61" s="360">
        <f>C61/'- 3 -'!E61</f>
        <v>0</v>
      </c>
      <c r="E61" s="15">
        <v>2000</v>
      </c>
      <c r="F61" s="360">
        <f>E61/'- 3 -'!E61</f>
        <v>0.0014721805717802122</v>
      </c>
    </row>
    <row r="62" spans="1:6" ht="12.75">
      <c r="A62" s="16">
        <v>2460</v>
      </c>
      <c r="B62" s="17" t="s">
        <v>165</v>
      </c>
      <c r="C62" s="17">
        <v>141000</v>
      </c>
      <c r="D62" s="361">
        <f>C62/'- 3 -'!E62</f>
        <v>0.06555139415262969</v>
      </c>
      <c r="E62" s="17">
        <v>0</v>
      </c>
      <c r="F62" s="361">
        <f>E62/'- 3 -'!E62</f>
        <v>0</v>
      </c>
    </row>
    <row r="63" spans="1:6" ht="12.75">
      <c r="A63" s="14">
        <v>3000</v>
      </c>
      <c r="B63" s="15" t="s">
        <v>363</v>
      </c>
      <c r="C63" s="15">
        <v>0</v>
      </c>
      <c r="D63" s="360">
        <f>C63/'- 3 -'!E63</f>
        <v>0</v>
      </c>
      <c r="E63" s="15">
        <v>19750</v>
      </c>
      <c r="F63" s="360">
        <f>E63/'- 3 -'!E63</f>
        <v>0.0027308913311276948</v>
      </c>
    </row>
    <row r="64" spans="1:6" ht="4.5" customHeight="1">
      <c r="A64" s="18"/>
      <c r="B64" s="18"/>
      <c r="C64" s="18"/>
      <c r="D64" s="198"/>
      <c r="E64" s="18"/>
      <c r="F64" s="198"/>
    </row>
    <row r="65" spans="1:6" ht="12.75">
      <c r="A65" s="20"/>
      <c r="B65" s="21" t="s">
        <v>166</v>
      </c>
      <c r="C65" s="21">
        <f>SUM(C11:C63)</f>
        <v>7376183</v>
      </c>
      <c r="D65" s="103">
        <f>C65/'- 3 -'!E65</f>
        <v>0.005458438273201934</v>
      </c>
      <c r="E65" s="21">
        <f>SUM(E11:E63)</f>
        <v>3314105</v>
      </c>
      <c r="F65" s="103">
        <f>E65/'- 3 -'!E65</f>
        <v>0.002452465939824147</v>
      </c>
    </row>
    <row r="66" spans="1:6" ht="4.5" customHeight="1">
      <c r="A66" s="18"/>
      <c r="B66" s="18"/>
      <c r="C66" s="18"/>
      <c r="D66" s="198"/>
      <c r="E66" s="18"/>
      <c r="F66" s="198"/>
    </row>
    <row r="67" spans="1:6" ht="12.75">
      <c r="A67" s="16">
        <v>2155</v>
      </c>
      <c r="B67" s="17" t="s">
        <v>167</v>
      </c>
      <c r="C67" s="17">
        <v>0</v>
      </c>
      <c r="D67" s="361">
        <f>C67/'- 3 -'!E67</f>
        <v>0</v>
      </c>
      <c r="E67" s="17">
        <v>2500</v>
      </c>
      <c r="F67" s="361">
        <f>E67/'- 3 -'!E67</f>
        <v>0.001884823701130291</v>
      </c>
    </row>
    <row r="68" spans="1:6" ht="12.75">
      <c r="A68" s="14">
        <v>2408</v>
      </c>
      <c r="B68" s="15" t="s">
        <v>169</v>
      </c>
      <c r="C68" s="15">
        <v>0</v>
      </c>
      <c r="D68" s="360">
        <f>C68/'- 3 -'!E68</f>
        <v>0</v>
      </c>
      <c r="E68" s="15">
        <v>2300</v>
      </c>
      <c r="F68" s="360">
        <f>E68/'- 3 -'!E68</f>
        <v>0.00100105981767654</v>
      </c>
    </row>
    <row r="69" ht="6.75" customHeight="1"/>
    <row r="70" spans="1:2" ht="12" customHeight="1">
      <c r="A70" s="7"/>
      <c r="B70" s="7"/>
    </row>
    <row r="71" spans="1:2" ht="12" customHeight="1">
      <c r="A71" s="7"/>
      <c r="B71" s="7"/>
    </row>
    <row r="72" spans="1:2" ht="12" customHeight="1">
      <c r="A72" s="7"/>
      <c r="B72" s="7"/>
    </row>
    <row r="73" spans="1:2" ht="12" customHeight="1">
      <c r="A73" s="7"/>
      <c r="B73" s="7"/>
    </row>
    <row r="74" spans="1:2" ht="12" customHeight="1">
      <c r="A74" s="7"/>
      <c r="B74" s="7"/>
    </row>
    <row r="75" ht="12" customHeight="1"/>
  </sheetData>
  <printOptions horizontalCentered="1"/>
  <pageMargins left="0.5118110236220472" right="0.5118110236220472" top="0.5118110236220472" bottom="0" header="0.2362204724409449" footer="0"/>
  <pageSetup fitToHeight="1" fitToWidth="1" horizontalDpi="300" verticalDpi="300" orientation="portrait" scale="83"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75"/>
  <sheetViews>
    <sheetView showGridLines="0" showZeros="0" workbookViewId="0" topLeftCell="A1">
      <selection activeCell="A1" sqref="A1"/>
    </sheetView>
  </sheetViews>
  <sheetFormatPr defaultColWidth="15.83203125" defaultRowHeight="12"/>
  <cols>
    <col min="1" max="1" width="6.83203125" style="18" customWidth="1"/>
    <col min="2" max="2" width="35.83203125" style="18" customWidth="1"/>
    <col min="3" max="3" width="26.83203125" style="18" customWidth="1"/>
    <col min="4" max="4" width="20.83203125" style="18" customWidth="1"/>
    <col min="5" max="5" width="26.83203125" style="18" customWidth="1"/>
    <col min="6" max="6" width="20.83203125" style="18" customWidth="1"/>
    <col min="7" max="16384" width="15.83203125" style="18" customWidth="1"/>
  </cols>
  <sheetData>
    <row r="1" spans="2:6" ht="6.75" customHeight="1">
      <c r="B1" s="22"/>
      <c r="C1" s="57"/>
      <c r="D1" s="57"/>
      <c r="E1" s="57"/>
      <c r="F1" s="57"/>
    </row>
    <row r="2" spans="1:6" ht="12.75">
      <c r="A2" s="261"/>
      <c r="B2" s="262"/>
      <c r="C2" s="262" t="s">
        <v>10</v>
      </c>
      <c r="D2" s="262"/>
      <c r="E2" s="262"/>
      <c r="F2" s="261"/>
    </row>
    <row r="3" spans="1:6" ht="12.75">
      <c r="A3" s="263"/>
      <c r="B3" s="258"/>
      <c r="C3" s="62"/>
      <c r="D3" s="264"/>
      <c r="E3" s="264"/>
      <c r="F3" s="264"/>
    </row>
    <row r="4" spans="1:6" ht="12.75">
      <c r="A4" s="11"/>
      <c r="C4" s="57"/>
      <c r="D4" s="265"/>
      <c r="E4" s="266"/>
      <c r="F4" s="265"/>
    </row>
    <row r="5" spans="1:6" ht="12.75">
      <c r="A5" s="11"/>
      <c r="C5" s="57"/>
      <c r="D5" s="57"/>
      <c r="E5" s="57"/>
      <c r="F5" s="57"/>
    </row>
    <row r="6" spans="1:6" ht="12.75">
      <c r="A6" s="11"/>
      <c r="C6" s="57"/>
      <c r="D6" s="57"/>
      <c r="E6" s="57"/>
      <c r="F6" s="57"/>
    </row>
    <row r="7" spans="3:6" ht="12.75">
      <c r="C7" s="190" t="s">
        <v>379</v>
      </c>
      <c r="D7" s="267"/>
      <c r="E7" s="193" t="s">
        <v>473</v>
      </c>
      <c r="F7" s="267"/>
    </row>
    <row r="8" spans="1:6" ht="12.75">
      <c r="A8" s="45"/>
      <c r="B8" s="46"/>
      <c r="C8" s="268" t="s">
        <v>37</v>
      </c>
      <c r="D8" s="269"/>
      <c r="E8" s="268" t="s">
        <v>37</v>
      </c>
      <c r="F8" s="269"/>
    </row>
    <row r="9" spans="1:6" ht="15.75">
      <c r="A9" s="52" t="s">
        <v>100</v>
      </c>
      <c r="B9" s="53" t="s">
        <v>101</v>
      </c>
      <c r="C9" s="270" t="s">
        <v>388</v>
      </c>
      <c r="D9" s="270" t="s">
        <v>113</v>
      </c>
      <c r="E9" s="270" t="s">
        <v>388</v>
      </c>
      <c r="F9" s="270" t="s">
        <v>113</v>
      </c>
    </row>
    <row r="10" spans="1:2" ht="4.5" customHeight="1">
      <c r="A10" s="77"/>
      <c r="B10" s="77"/>
    </row>
    <row r="11" spans="1:6" ht="12.75">
      <c r="A11" s="370">
        <v>1</v>
      </c>
      <c r="B11" s="15" t="s">
        <v>115</v>
      </c>
      <c r="C11" s="418">
        <v>234944300</v>
      </c>
      <c r="D11" s="418">
        <v>7673</v>
      </c>
      <c r="E11" s="418">
        <f>'- 3 -'!G11</f>
        <v>249259600</v>
      </c>
      <c r="F11" s="418">
        <f>ROUND(E11/'- 7 -'!G11,0)</f>
        <v>8062</v>
      </c>
    </row>
    <row r="12" spans="1:6" ht="12.75">
      <c r="A12" s="371">
        <v>2</v>
      </c>
      <c r="B12" s="17" t="s">
        <v>116</v>
      </c>
      <c r="C12" s="419">
        <v>59759491</v>
      </c>
      <c r="D12" s="419">
        <v>6500</v>
      </c>
      <c r="E12" s="419">
        <f>'- 3 -'!G12</f>
        <v>62369425</v>
      </c>
      <c r="F12" s="419">
        <f>ROUND(E12/'- 7 -'!G12,0)</f>
        <v>6819</v>
      </c>
    </row>
    <row r="13" spans="1:6" ht="12.75">
      <c r="A13" s="370">
        <v>3</v>
      </c>
      <c r="B13" s="15" t="s">
        <v>117</v>
      </c>
      <c r="C13" s="418">
        <v>41620185</v>
      </c>
      <c r="D13" s="418">
        <v>7108</v>
      </c>
      <c r="E13" s="418">
        <f>'- 3 -'!G13</f>
        <v>44312849</v>
      </c>
      <c r="F13" s="418">
        <f>ROUND(E13/'- 7 -'!G13,0)</f>
        <v>7713</v>
      </c>
    </row>
    <row r="14" spans="1:6" ht="12.75">
      <c r="A14" s="371">
        <v>4</v>
      </c>
      <c r="B14" s="382" t="s">
        <v>118</v>
      </c>
      <c r="C14" s="419">
        <v>41386417</v>
      </c>
      <c r="D14" s="419">
        <v>7025</v>
      </c>
      <c r="E14" s="419">
        <f>'- 3 -'!G14</f>
        <v>43365922</v>
      </c>
      <c r="F14" s="419">
        <f>ROUND(E14/'- 7 -'!G14,0)</f>
        <v>6962</v>
      </c>
    </row>
    <row r="15" spans="1:6" ht="12.75">
      <c r="A15" s="370">
        <v>5</v>
      </c>
      <c r="B15" s="15" t="s">
        <v>119</v>
      </c>
      <c r="C15" s="418">
        <v>51440564</v>
      </c>
      <c r="D15" s="418">
        <v>7201</v>
      </c>
      <c r="E15" s="418">
        <f>'- 3 -'!G15</f>
        <v>54185641</v>
      </c>
      <c r="F15" s="418">
        <f>ROUND(E15/'- 7 -'!G15,0)</f>
        <v>7496</v>
      </c>
    </row>
    <row r="16" spans="1:6" ht="12.75">
      <c r="A16" s="371">
        <v>6</v>
      </c>
      <c r="B16" s="17" t="s">
        <v>120</v>
      </c>
      <c r="C16" s="419">
        <v>57328920</v>
      </c>
      <c r="D16" s="419">
        <v>6462</v>
      </c>
      <c r="E16" s="419">
        <f>'- 3 -'!G16</f>
        <v>61993182</v>
      </c>
      <c r="F16" s="419">
        <f>ROUND(E16/'- 7 -'!G16,0)</f>
        <v>6975</v>
      </c>
    </row>
    <row r="17" spans="1:6" ht="12.75">
      <c r="A17" s="370">
        <v>9</v>
      </c>
      <c r="B17" s="15" t="s">
        <v>121</v>
      </c>
      <c r="C17" s="418">
        <v>82114692</v>
      </c>
      <c r="D17" s="418">
        <v>6495</v>
      </c>
      <c r="E17" s="418">
        <f>'- 3 -'!G17</f>
        <v>83587242</v>
      </c>
      <c r="F17" s="418">
        <f>ROUND(E17/'- 7 -'!G17,0)</f>
        <v>6738</v>
      </c>
    </row>
    <row r="18" spans="1:6" ht="12.75">
      <c r="A18" s="371">
        <v>10</v>
      </c>
      <c r="B18" s="17" t="s">
        <v>122</v>
      </c>
      <c r="C18" s="419">
        <v>60783966</v>
      </c>
      <c r="D18" s="419">
        <v>7010</v>
      </c>
      <c r="E18" s="419">
        <f>'- 3 -'!G18</f>
        <v>61867328</v>
      </c>
      <c r="F18" s="419">
        <f>ROUND(E18/'- 7 -'!G18,0)</f>
        <v>7173</v>
      </c>
    </row>
    <row r="19" spans="1:6" ht="12.75">
      <c r="A19" s="370">
        <v>11</v>
      </c>
      <c r="B19" s="15" t="s">
        <v>123</v>
      </c>
      <c r="C19" s="418">
        <v>31917173</v>
      </c>
      <c r="D19" s="418">
        <v>6895</v>
      </c>
      <c r="E19" s="418">
        <f>'- 3 -'!G19</f>
        <v>32805490</v>
      </c>
      <c r="F19" s="418">
        <f>ROUND(E19/'- 7 -'!G19,0)</f>
        <v>6984</v>
      </c>
    </row>
    <row r="20" spans="1:6" ht="12.75">
      <c r="A20" s="371">
        <v>12</v>
      </c>
      <c r="B20" s="17" t="s">
        <v>124</v>
      </c>
      <c r="C20" s="419">
        <v>51413266</v>
      </c>
      <c r="D20" s="419">
        <v>6656</v>
      </c>
      <c r="E20" s="419">
        <f>'- 3 -'!G20</f>
        <v>52194142</v>
      </c>
      <c r="F20" s="419">
        <f>ROUND(E20/'- 7 -'!G20,0)</f>
        <v>6837</v>
      </c>
    </row>
    <row r="21" spans="1:6" ht="12.75">
      <c r="A21" s="370">
        <v>13</v>
      </c>
      <c r="B21" s="15" t="s">
        <v>125</v>
      </c>
      <c r="C21" s="418">
        <v>19028440</v>
      </c>
      <c r="D21" s="418">
        <v>7041</v>
      </c>
      <c r="E21" s="418">
        <f>'- 3 -'!G21</f>
        <v>19832776</v>
      </c>
      <c r="F21" s="418">
        <f>ROUND(E21/'- 7 -'!G21,0)</f>
        <v>7570</v>
      </c>
    </row>
    <row r="22" spans="1:6" ht="12.75">
      <c r="A22" s="371">
        <v>14</v>
      </c>
      <c r="B22" s="17" t="s">
        <v>126</v>
      </c>
      <c r="C22" s="419">
        <v>23458540</v>
      </c>
      <c r="D22" s="419">
        <v>6861</v>
      </c>
      <c r="E22" s="419">
        <f>'- 3 -'!G22</f>
        <v>23805447</v>
      </c>
      <c r="F22" s="419">
        <f>ROUND(E22/'- 7 -'!G22,0)</f>
        <v>6953</v>
      </c>
    </row>
    <row r="23" spans="1:6" ht="12.75">
      <c r="A23" s="370">
        <v>15</v>
      </c>
      <c r="B23" s="15" t="s">
        <v>127</v>
      </c>
      <c r="C23" s="418">
        <v>33499785</v>
      </c>
      <c r="D23" s="418">
        <v>5421</v>
      </c>
      <c r="E23" s="418">
        <f>'- 3 -'!G23</f>
        <v>33839520</v>
      </c>
      <c r="F23" s="418">
        <f>ROUND(E23/'- 7 -'!G23,0)</f>
        <v>5573</v>
      </c>
    </row>
    <row r="24" spans="1:6" ht="12.75">
      <c r="A24" s="371">
        <v>16</v>
      </c>
      <c r="B24" s="17" t="s">
        <v>128</v>
      </c>
      <c r="C24" s="419">
        <v>5951712</v>
      </c>
      <c r="D24" s="419">
        <v>7219</v>
      </c>
      <c r="E24" s="419">
        <f>'- 3 -'!G24</f>
        <v>6240635</v>
      </c>
      <c r="F24" s="419">
        <f>ROUND(E24/'- 7 -'!G24,0)</f>
        <v>7501</v>
      </c>
    </row>
    <row r="25" spans="1:6" ht="12.75">
      <c r="A25" s="370">
        <v>17</v>
      </c>
      <c r="B25" s="15" t="s">
        <v>129</v>
      </c>
      <c r="C25" s="418">
        <v>4096616</v>
      </c>
      <c r="D25" s="418">
        <v>7803</v>
      </c>
      <c r="E25" s="418">
        <f>'- 3 -'!G25</f>
        <v>4446589</v>
      </c>
      <c r="F25" s="418">
        <f>ROUND(E25/'- 7 -'!G25,0)</f>
        <v>9077</v>
      </c>
    </row>
    <row r="26" spans="1:6" ht="12.75">
      <c r="A26" s="371">
        <v>18</v>
      </c>
      <c r="B26" s="17" t="s">
        <v>130</v>
      </c>
      <c r="C26" s="419">
        <v>8966375.0525</v>
      </c>
      <c r="D26" s="419">
        <v>6538</v>
      </c>
      <c r="E26" s="419">
        <f>'- 3 -'!G26</f>
        <v>9466735.517500002</v>
      </c>
      <c r="F26" s="419">
        <f>ROUND(E26/'- 7 -'!G26,0)</f>
        <v>6762</v>
      </c>
    </row>
    <row r="27" spans="1:6" ht="12.75">
      <c r="A27" s="370">
        <v>19</v>
      </c>
      <c r="B27" s="15" t="s">
        <v>131</v>
      </c>
      <c r="C27" s="418">
        <v>12192500</v>
      </c>
      <c r="D27" s="418">
        <v>6764</v>
      </c>
      <c r="E27" s="418">
        <f>'- 3 -'!G27</f>
        <v>12417885</v>
      </c>
      <c r="F27" s="418">
        <f>ROUND(E27/'- 7 -'!G27,0)</f>
        <v>6847</v>
      </c>
    </row>
    <row r="28" spans="1:6" ht="12.75">
      <c r="A28" s="371">
        <v>20</v>
      </c>
      <c r="B28" s="17" t="s">
        <v>132</v>
      </c>
      <c r="C28" s="419">
        <v>7823505</v>
      </c>
      <c r="D28" s="419">
        <v>7792</v>
      </c>
      <c r="E28" s="419">
        <f>'- 3 -'!G28</f>
        <v>7853215</v>
      </c>
      <c r="F28" s="419">
        <f>ROUND(E28/'- 7 -'!G28,0)</f>
        <v>8241</v>
      </c>
    </row>
    <row r="29" spans="1:6" ht="12.75">
      <c r="A29" s="370">
        <v>21</v>
      </c>
      <c r="B29" s="15" t="s">
        <v>133</v>
      </c>
      <c r="C29" s="418">
        <v>22388000</v>
      </c>
      <c r="D29" s="418">
        <v>6552</v>
      </c>
      <c r="E29" s="418">
        <f>'- 3 -'!G29</f>
        <v>23164000</v>
      </c>
      <c r="F29" s="418">
        <f>ROUND(E29/'- 7 -'!G29,0)</f>
        <v>6913</v>
      </c>
    </row>
    <row r="30" spans="1:6" ht="12.75">
      <c r="A30" s="371">
        <v>22</v>
      </c>
      <c r="B30" s="17" t="s">
        <v>134</v>
      </c>
      <c r="C30" s="419">
        <v>12070083</v>
      </c>
      <c r="D30" s="419">
        <v>7140</v>
      </c>
      <c r="E30" s="419">
        <f>'- 3 -'!G30</f>
        <v>12221069</v>
      </c>
      <c r="F30" s="419">
        <f>ROUND(E30/'- 7 -'!G30,0)</f>
        <v>7409</v>
      </c>
    </row>
    <row r="31" spans="1:6" ht="12.75">
      <c r="A31" s="370">
        <v>23</v>
      </c>
      <c r="B31" s="15" t="s">
        <v>135</v>
      </c>
      <c r="C31" s="418">
        <v>10140188</v>
      </c>
      <c r="D31" s="418">
        <v>7079</v>
      </c>
      <c r="E31" s="418">
        <f>'- 3 -'!G31</f>
        <v>10227793</v>
      </c>
      <c r="F31" s="418">
        <f>ROUND(E31/'- 7 -'!G31,0)</f>
        <v>7233</v>
      </c>
    </row>
    <row r="32" spans="1:6" ht="12.75">
      <c r="A32" s="371">
        <v>24</v>
      </c>
      <c r="B32" s="17" t="s">
        <v>136</v>
      </c>
      <c r="C32" s="419">
        <v>22879974</v>
      </c>
      <c r="D32" s="419">
        <v>6374</v>
      </c>
      <c r="E32" s="419">
        <f>'- 3 -'!G32</f>
        <v>23185467</v>
      </c>
      <c r="F32" s="419">
        <f>ROUND(E32/'- 7 -'!G32,0)</f>
        <v>6630</v>
      </c>
    </row>
    <row r="33" spans="1:6" ht="12.75">
      <c r="A33" s="370">
        <v>25</v>
      </c>
      <c r="B33" s="15" t="s">
        <v>137</v>
      </c>
      <c r="C33" s="418">
        <v>10184614</v>
      </c>
      <c r="D33" s="418">
        <v>6940</v>
      </c>
      <c r="E33" s="418">
        <f>'- 3 -'!G33</f>
        <v>10384164</v>
      </c>
      <c r="F33" s="418">
        <f>ROUND(E33/'- 7 -'!G33,0)</f>
        <v>7428</v>
      </c>
    </row>
    <row r="34" spans="1:6" ht="12.75">
      <c r="A34" s="371">
        <v>26</v>
      </c>
      <c r="B34" s="17" t="s">
        <v>138</v>
      </c>
      <c r="C34" s="419">
        <v>16249150</v>
      </c>
      <c r="D34" s="419">
        <v>5759</v>
      </c>
      <c r="E34" s="419">
        <f>'- 3 -'!G34</f>
        <v>17341750</v>
      </c>
      <c r="F34" s="419">
        <f>ROUND(E34/'- 7 -'!G34,0)</f>
        <v>5859</v>
      </c>
    </row>
    <row r="35" spans="1:6" ht="12.75">
      <c r="A35" s="370">
        <v>28</v>
      </c>
      <c r="B35" s="15" t="s">
        <v>139</v>
      </c>
      <c r="C35" s="418">
        <v>6224251</v>
      </c>
      <c r="D35" s="418">
        <v>7397</v>
      </c>
      <c r="E35" s="418">
        <f>'- 3 -'!G35</f>
        <v>6403648</v>
      </c>
      <c r="F35" s="418">
        <f>ROUND(E35/'- 7 -'!G35,0)</f>
        <v>7814</v>
      </c>
    </row>
    <row r="36" spans="1:6" ht="12.75">
      <c r="A36" s="371">
        <v>30</v>
      </c>
      <c r="B36" s="17" t="s">
        <v>140</v>
      </c>
      <c r="C36" s="419">
        <v>9374112</v>
      </c>
      <c r="D36" s="419">
        <v>7069</v>
      </c>
      <c r="E36" s="419">
        <f>'- 3 -'!G36</f>
        <v>9794221</v>
      </c>
      <c r="F36" s="419">
        <f>ROUND(E36/'- 7 -'!G36,0)</f>
        <v>7525</v>
      </c>
    </row>
    <row r="37" spans="1:6" ht="12.75">
      <c r="A37" s="370">
        <v>31</v>
      </c>
      <c r="B37" s="15" t="s">
        <v>141</v>
      </c>
      <c r="C37" s="418">
        <v>10905624</v>
      </c>
      <c r="D37" s="418">
        <v>6590</v>
      </c>
      <c r="E37" s="418">
        <f>'- 3 -'!G37</f>
        <v>10951186</v>
      </c>
      <c r="F37" s="418">
        <f>ROUND(E37/'- 7 -'!G37,0)</f>
        <v>6760</v>
      </c>
    </row>
    <row r="38" spans="1:6" ht="12.75">
      <c r="A38" s="371">
        <v>32</v>
      </c>
      <c r="B38" s="17" t="s">
        <v>142</v>
      </c>
      <c r="C38" s="419">
        <v>6579337</v>
      </c>
      <c r="D38" s="419">
        <v>8063</v>
      </c>
      <c r="E38" s="419">
        <f>'- 3 -'!G38</f>
        <v>6874680</v>
      </c>
      <c r="F38" s="419">
        <f>ROUND(E38/'- 7 -'!G38,0)</f>
        <v>8189</v>
      </c>
    </row>
    <row r="39" spans="1:6" ht="12.75">
      <c r="A39" s="370">
        <v>33</v>
      </c>
      <c r="B39" s="15" t="s">
        <v>143</v>
      </c>
      <c r="C39" s="418">
        <v>12982573</v>
      </c>
      <c r="D39" s="418">
        <v>7058</v>
      </c>
      <c r="E39" s="418">
        <f>'- 3 -'!G39</f>
        <v>13694156</v>
      </c>
      <c r="F39" s="418">
        <f>ROUND(E39/'- 7 -'!G39,0)</f>
        <v>7323</v>
      </c>
    </row>
    <row r="40" spans="1:6" ht="12.75">
      <c r="A40" s="371">
        <v>34</v>
      </c>
      <c r="B40" s="17" t="s">
        <v>144</v>
      </c>
      <c r="C40" s="419">
        <v>5782890</v>
      </c>
      <c r="D40" s="419">
        <v>7852</v>
      </c>
      <c r="E40" s="419">
        <f>'- 3 -'!G40</f>
        <v>5763017</v>
      </c>
      <c r="F40" s="419">
        <f>ROUND(E40/'- 7 -'!G40,0)</f>
        <v>7889</v>
      </c>
    </row>
    <row r="41" spans="1:6" ht="12.75">
      <c r="A41" s="370">
        <v>35</v>
      </c>
      <c r="B41" s="15" t="s">
        <v>145</v>
      </c>
      <c r="C41" s="418">
        <v>14042557</v>
      </c>
      <c r="D41" s="418">
        <v>7356</v>
      </c>
      <c r="E41" s="418">
        <f>'- 3 -'!G41</f>
        <v>14664428</v>
      </c>
      <c r="F41" s="418">
        <f>ROUND(E41/'- 7 -'!G41,0)</f>
        <v>7658</v>
      </c>
    </row>
    <row r="42" spans="1:6" ht="12.75">
      <c r="A42" s="371">
        <v>36</v>
      </c>
      <c r="B42" s="17" t="s">
        <v>146</v>
      </c>
      <c r="C42" s="419">
        <v>7593025</v>
      </c>
      <c r="D42" s="419">
        <v>7211</v>
      </c>
      <c r="E42" s="419">
        <f>'- 3 -'!G42</f>
        <v>7638000</v>
      </c>
      <c r="F42" s="419">
        <f>ROUND(E42/'- 7 -'!G42,0)</f>
        <v>8169</v>
      </c>
    </row>
    <row r="43" spans="1:6" ht="12.75">
      <c r="A43" s="370">
        <v>37</v>
      </c>
      <c r="B43" s="15" t="s">
        <v>147</v>
      </c>
      <c r="C43" s="418">
        <v>6861573</v>
      </c>
      <c r="D43" s="418">
        <v>7100</v>
      </c>
      <c r="E43" s="418">
        <f>'- 3 -'!G43</f>
        <v>6907619</v>
      </c>
      <c r="F43" s="418">
        <f>ROUND(E43/'- 7 -'!G43,0)</f>
        <v>7492</v>
      </c>
    </row>
    <row r="44" spans="1:6" ht="12.75">
      <c r="A44" s="371">
        <v>38</v>
      </c>
      <c r="B44" s="17" t="s">
        <v>148</v>
      </c>
      <c r="C44" s="419">
        <v>9126370</v>
      </c>
      <c r="D44" s="419">
        <v>7355</v>
      </c>
      <c r="E44" s="419">
        <f>'- 3 -'!G44</f>
        <v>8956138</v>
      </c>
      <c r="F44" s="419">
        <f>ROUND(E44/'- 7 -'!G44,0)</f>
        <v>7668</v>
      </c>
    </row>
    <row r="45" spans="1:6" ht="12.75">
      <c r="A45" s="370">
        <v>39</v>
      </c>
      <c r="B45" s="15" t="s">
        <v>149</v>
      </c>
      <c r="C45" s="418">
        <v>15402500</v>
      </c>
      <c r="D45" s="418">
        <v>7164</v>
      </c>
      <c r="E45" s="418">
        <f>'- 3 -'!G45</f>
        <v>15925150</v>
      </c>
      <c r="F45" s="418">
        <f>ROUND(E45/'- 7 -'!G45,0)</f>
        <v>7583</v>
      </c>
    </row>
    <row r="46" spans="1:6" ht="12.75">
      <c r="A46" s="371">
        <v>40</v>
      </c>
      <c r="B46" s="17" t="s">
        <v>150</v>
      </c>
      <c r="C46" s="419">
        <v>45156900</v>
      </c>
      <c r="D46" s="419">
        <v>6057</v>
      </c>
      <c r="E46" s="419">
        <f>'- 3 -'!G46</f>
        <v>46662900</v>
      </c>
      <c r="F46" s="419">
        <f>ROUND(E46/'- 7 -'!G46,0)</f>
        <v>6305</v>
      </c>
    </row>
    <row r="47" spans="1:6" ht="12.75">
      <c r="A47" s="370">
        <v>41</v>
      </c>
      <c r="B47" s="15" t="s">
        <v>151</v>
      </c>
      <c r="C47" s="418">
        <v>12208940</v>
      </c>
      <c r="D47" s="418">
        <v>7465</v>
      </c>
      <c r="E47" s="418">
        <f>'- 3 -'!G47</f>
        <v>12146856</v>
      </c>
      <c r="F47" s="418">
        <f>ROUND(E47/'- 7 -'!G47,0)</f>
        <v>7695</v>
      </c>
    </row>
    <row r="48" spans="1:6" ht="12.75">
      <c r="A48" s="371">
        <v>42</v>
      </c>
      <c r="B48" s="17" t="s">
        <v>152</v>
      </c>
      <c r="C48" s="419">
        <v>7981621</v>
      </c>
      <c r="D48" s="419">
        <v>7289</v>
      </c>
      <c r="E48" s="419">
        <f>'- 3 -'!G48</f>
        <v>8027156</v>
      </c>
      <c r="F48" s="419">
        <f>ROUND(E48/'- 7 -'!G48,0)</f>
        <v>7715</v>
      </c>
    </row>
    <row r="49" spans="1:6" ht="12.75">
      <c r="A49" s="370">
        <v>43</v>
      </c>
      <c r="B49" s="15" t="s">
        <v>153</v>
      </c>
      <c r="C49" s="418">
        <v>6290890</v>
      </c>
      <c r="D49" s="418">
        <v>7938</v>
      </c>
      <c r="E49" s="418">
        <f>'- 3 -'!G49</f>
        <v>6359500</v>
      </c>
      <c r="F49" s="418">
        <f>ROUND(E49/'- 7 -'!G49,0)</f>
        <v>8190</v>
      </c>
    </row>
    <row r="50" spans="1:6" ht="12.75">
      <c r="A50" s="371">
        <v>44</v>
      </c>
      <c r="B50" s="17" t="s">
        <v>154</v>
      </c>
      <c r="C50" s="419">
        <v>9121059</v>
      </c>
      <c r="D50" s="419">
        <v>7271</v>
      </c>
      <c r="E50" s="419">
        <f>'- 3 -'!G50</f>
        <v>8959778</v>
      </c>
      <c r="F50" s="419">
        <f>ROUND(E50/'- 7 -'!G50,0)</f>
        <v>7371</v>
      </c>
    </row>
    <row r="51" spans="1:6" ht="12.75">
      <c r="A51" s="370">
        <v>45</v>
      </c>
      <c r="B51" s="15" t="s">
        <v>155</v>
      </c>
      <c r="C51" s="418">
        <v>11924015</v>
      </c>
      <c r="D51" s="418">
        <v>6215</v>
      </c>
      <c r="E51" s="418">
        <f>'- 3 -'!G51</f>
        <v>12036959</v>
      </c>
      <c r="F51" s="418">
        <f>ROUND(E51/'- 7 -'!G51,0)</f>
        <v>6372</v>
      </c>
    </row>
    <row r="52" spans="1:6" ht="12.75">
      <c r="A52" s="371">
        <v>46</v>
      </c>
      <c r="B52" s="17" t="s">
        <v>156</v>
      </c>
      <c r="C52" s="419">
        <v>10495374</v>
      </c>
      <c r="D52" s="419">
        <v>6953</v>
      </c>
      <c r="E52" s="419">
        <f>'- 3 -'!G52</f>
        <v>10603118</v>
      </c>
      <c r="F52" s="419">
        <f>ROUND(E52/'- 7 -'!G52,0)</f>
        <v>7064</v>
      </c>
    </row>
    <row r="53" spans="1:6" ht="12.75">
      <c r="A53" s="370">
        <v>47</v>
      </c>
      <c r="B53" s="15" t="s">
        <v>157</v>
      </c>
      <c r="C53" s="418">
        <v>8985338</v>
      </c>
      <c r="D53" s="418">
        <v>6184</v>
      </c>
      <c r="E53" s="418">
        <f>'- 3 -'!G53</f>
        <v>9396491</v>
      </c>
      <c r="F53" s="418">
        <f>ROUND(E53/'- 7 -'!G53,0)</f>
        <v>6622</v>
      </c>
    </row>
    <row r="54" spans="1:6" ht="12.75">
      <c r="A54" s="371">
        <v>48</v>
      </c>
      <c r="B54" s="17" t="s">
        <v>158</v>
      </c>
      <c r="C54" s="419">
        <v>56802257</v>
      </c>
      <c r="D54" s="419">
        <v>10834</v>
      </c>
      <c r="E54" s="419">
        <f>'- 3 -'!G54</f>
        <v>61458635</v>
      </c>
      <c r="F54" s="419">
        <f>ROUND(E54/'- 7 -'!G54,0)</f>
        <v>11842</v>
      </c>
    </row>
    <row r="55" spans="1:6" ht="12.75">
      <c r="A55" s="370">
        <v>49</v>
      </c>
      <c r="B55" s="15" t="s">
        <v>159</v>
      </c>
      <c r="C55" s="418">
        <v>36750842</v>
      </c>
      <c r="D55" s="418">
        <v>8473</v>
      </c>
      <c r="E55" s="418">
        <f>'- 3 -'!G55</f>
        <v>40015148</v>
      </c>
      <c r="F55" s="418">
        <f>ROUND(E55/'- 7 -'!G55,0)</f>
        <v>9241</v>
      </c>
    </row>
    <row r="56" spans="1:6" ht="12.75">
      <c r="A56" s="371">
        <v>50</v>
      </c>
      <c r="B56" s="382" t="s">
        <v>340</v>
      </c>
      <c r="C56" s="419">
        <v>14591600</v>
      </c>
      <c r="D56" s="419">
        <v>8071</v>
      </c>
      <c r="E56" s="419">
        <f>'- 3 -'!G56</f>
        <v>14413500</v>
      </c>
      <c r="F56" s="419">
        <f>ROUND(E56/'- 7 -'!G56,0)</f>
        <v>8373</v>
      </c>
    </row>
    <row r="57" spans="1:6" ht="12.75">
      <c r="A57" s="370">
        <v>2264</v>
      </c>
      <c r="B57" s="15" t="s">
        <v>160</v>
      </c>
      <c r="C57" s="418">
        <v>1889143</v>
      </c>
      <c r="D57" s="418">
        <v>10295</v>
      </c>
      <c r="E57" s="418">
        <f>'- 3 -'!G57</f>
        <v>1998644</v>
      </c>
      <c r="F57" s="418">
        <f>ROUND(E57/'- 7 -'!G57,0)</f>
        <v>9702</v>
      </c>
    </row>
    <row r="58" spans="1:6" ht="12.75">
      <c r="A58" s="371">
        <v>2309</v>
      </c>
      <c r="B58" s="17" t="s">
        <v>161</v>
      </c>
      <c r="C58" s="419">
        <v>2013489</v>
      </c>
      <c r="D58" s="419">
        <v>7715</v>
      </c>
      <c r="E58" s="419">
        <f>'- 3 -'!G58</f>
        <v>2105251</v>
      </c>
      <c r="F58" s="419">
        <f>ROUND(E58/'- 7 -'!G58,0)</f>
        <v>8045</v>
      </c>
    </row>
    <row r="59" spans="1:6" ht="12.75">
      <c r="A59" s="370">
        <v>2312</v>
      </c>
      <c r="B59" s="15" t="s">
        <v>162</v>
      </c>
      <c r="C59" s="418">
        <v>1720389</v>
      </c>
      <c r="D59" s="418">
        <v>9325</v>
      </c>
      <c r="E59" s="418">
        <f>'- 3 -'!G59</f>
        <v>1559268</v>
      </c>
      <c r="F59" s="418">
        <f>ROUND(E59/'- 7 -'!G59,0)</f>
        <v>8987</v>
      </c>
    </row>
    <row r="60" spans="1:6" ht="12.75">
      <c r="A60" s="371">
        <v>2355</v>
      </c>
      <c r="B60" s="17" t="s">
        <v>163</v>
      </c>
      <c r="C60" s="419">
        <v>24597441</v>
      </c>
      <c r="D60" s="419">
        <v>6977</v>
      </c>
      <c r="E60" s="419">
        <f>'- 3 -'!G60</f>
        <v>25653051</v>
      </c>
      <c r="F60" s="419">
        <f>ROUND(E60/'- 7 -'!G60,0)</f>
        <v>7659</v>
      </c>
    </row>
    <row r="61" spans="1:6" ht="12.75">
      <c r="A61" s="370">
        <v>2439</v>
      </c>
      <c r="B61" s="15" t="s">
        <v>164</v>
      </c>
      <c r="C61" s="418">
        <v>1275469</v>
      </c>
      <c r="D61" s="418">
        <v>9209</v>
      </c>
      <c r="E61" s="418">
        <f>'- 3 -'!G61</f>
        <v>1358529</v>
      </c>
      <c r="F61" s="418">
        <f>ROUND(E61/'- 7 -'!G61,0)</f>
        <v>8571</v>
      </c>
    </row>
    <row r="62" spans="1:6" ht="12.75">
      <c r="A62" s="371">
        <v>2460</v>
      </c>
      <c r="B62" s="17" t="s">
        <v>165</v>
      </c>
      <c r="C62" s="419">
        <v>2918760</v>
      </c>
      <c r="D62" s="419">
        <v>9421</v>
      </c>
      <c r="E62" s="419">
        <f>'- 3 -'!G62</f>
        <v>2150984</v>
      </c>
      <c r="F62" s="419">
        <f>ROUND(E62/'- 7 -'!G62,0)</f>
        <v>7902</v>
      </c>
    </row>
    <row r="63" spans="1:6" ht="12.75">
      <c r="A63" s="370">
        <v>3000</v>
      </c>
      <c r="B63" s="15" t="s">
        <v>363</v>
      </c>
      <c r="C63" s="418">
        <v>4769103</v>
      </c>
      <c r="D63" s="418">
        <v>7475</v>
      </c>
      <c r="E63" s="418">
        <f>'- 3 -'!G63</f>
        <v>6314866</v>
      </c>
      <c r="F63" s="418">
        <f>ROUND(E63/'- 7 -'!G63,0)</f>
        <v>7892</v>
      </c>
    </row>
    <row r="64" spans="1:6" ht="4.5" customHeight="1">
      <c r="A64" s="372"/>
      <c r="C64" s="420"/>
      <c r="D64" s="420"/>
      <c r="E64" s="420"/>
      <c r="F64" s="420"/>
    </row>
    <row r="65" spans="1:6" ht="12.75">
      <c r="A65" s="373"/>
      <c r="B65" s="21" t="s">
        <v>166</v>
      </c>
      <c r="C65" s="421">
        <v>1286005898.0525</v>
      </c>
      <c r="D65" s="421">
        <v>7075</v>
      </c>
      <c r="E65" s="421">
        <f>SUM(E11:E63)</f>
        <v>1339160743.5175</v>
      </c>
      <c r="F65" s="421">
        <f>ROUND(E65/'- 7 -'!G65,0)</f>
        <v>7403</v>
      </c>
    </row>
    <row r="66" spans="1:6" ht="4.5" customHeight="1">
      <c r="A66" s="372"/>
      <c r="C66" s="420"/>
      <c r="D66" s="420"/>
      <c r="E66" s="420"/>
      <c r="F66" s="420"/>
    </row>
    <row r="67" spans="1:6" ht="12.75">
      <c r="A67" s="371">
        <v>2155</v>
      </c>
      <c r="B67" s="17" t="s">
        <v>167</v>
      </c>
      <c r="C67" s="419">
        <v>1249188</v>
      </c>
      <c r="D67" s="419">
        <v>8797</v>
      </c>
      <c r="E67" s="419">
        <f>'- 3 -'!G67</f>
        <v>1326384</v>
      </c>
      <c r="F67" s="419">
        <f>ROUND(E67/'- 7 -'!G67,0)</f>
        <v>9341</v>
      </c>
    </row>
    <row r="68" spans="1:6" ht="12.75">
      <c r="A68" s="370">
        <v>2408</v>
      </c>
      <c r="B68" s="15" t="s">
        <v>169</v>
      </c>
      <c r="C68" s="418">
        <v>2364105</v>
      </c>
      <c r="D68" s="418">
        <v>8838</v>
      </c>
      <c r="E68" s="418">
        <f>'- 3 -'!G68</f>
        <v>2294065</v>
      </c>
      <c r="F68" s="418">
        <f>ROUND(E68/'- 7 -'!G68,0)</f>
        <v>9402</v>
      </c>
    </row>
    <row r="69" ht="6.75" customHeight="1"/>
    <row r="70" spans="1:6" ht="12" customHeight="1">
      <c r="A70" s="396" t="s">
        <v>351</v>
      </c>
      <c r="B70" s="271" t="s">
        <v>455</v>
      </c>
      <c r="C70" s="123"/>
      <c r="D70" s="123"/>
      <c r="E70" s="123"/>
      <c r="F70" s="123"/>
    </row>
    <row r="71" spans="1:6" ht="12" customHeight="1">
      <c r="A71" s="7"/>
      <c r="B71" s="271" t="s">
        <v>454</v>
      </c>
      <c r="C71" s="123"/>
      <c r="D71" s="123"/>
      <c r="E71" s="123"/>
      <c r="F71" s="123"/>
    </row>
    <row r="72" spans="1:6" ht="12" customHeight="1">
      <c r="A72" s="7"/>
      <c r="B72" s="271" t="s">
        <v>474</v>
      </c>
      <c r="C72" s="123"/>
      <c r="D72" s="123"/>
      <c r="E72" s="123"/>
      <c r="F72" s="123"/>
    </row>
    <row r="73" spans="1:6" ht="12" customHeight="1">
      <c r="A73" s="7"/>
      <c r="B73" s="271"/>
      <c r="C73" s="123"/>
      <c r="D73" s="123"/>
      <c r="E73" s="123"/>
      <c r="F73" s="123"/>
    </row>
    <row r="74" spans="1:6" ht="12" customHeight="1">
      <c r="A74" s="377"/>
      <c r="B74" s="272"/>
      <c r="C74"/>
      <c r="D74"/>
      <c r="E74"/>
      <c r="F74"/>
    </row>
    <row r="75" spans="2:6" ht="12" customHeight="1">
      <c r="B75" s="359"/>
      <c r="C75"/>
      <c r="D75"/>
      <c r="E75"/>
      <c r="F7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G8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6.83203125" style="82" customWidth="1"/>
    <col min="6" max="6" width="15.83203125" style="82" customWidth="1"/>
    <col min="7" max="7" width="30.83203125" style="82" customWidth="1"/>
    <col min="8" max="16384" width="15.83203125" style="82" customWidth="1"/>
  </cols>
  <sheetData>
    <row r="1" spans="1:7" ht="6.75" customHeight="1">
      <c r="A1" s="18"/>
      <c r="B1" s="80"/>
      <c r="C1" s="142"/>
      <c r="D1" s="142"/>
      <c r="E1" s="142"/>
      <c r="F1" s="142"/>
      <c r="G1" s="142"/>
    </row>
    <row r="2" spans="1:7" ht="12.75">
      <c r="A2" s="9"/>
      <c r="B2" s="83"/>
      <c r="C2" s="200" t="s">
        <v>0</v>
      </c>
      <c r="D2" s="200"/>
      <c r="E2" s="200"/>
      <c r="F2" s="200"/>
      <c r="G2" s="219" t="s">
        <v>429</v>
      </c>
    </row>
    <row r="3" spans="1:7" ht="12.75">
      <c r="A3" s="10"/>
      <c r="B3" s="86"/>
      <c r="C3" s="203" t="str">
        <f>YEAR</f>
        <v>OPERATING FUND BUDGET 2002/2003</v>
      </c>
      <c r="D3" s="203"/>
      <c r="E3" s="203"/>
      <c r="F3" s="203"/>
      <c r="G3" s="220"/>
    </row>
    <row r="4" spans="1:7" ht="12.75">
      <c r="A4" s="11"/>
      <c r="C4" s="142"/>
      <c r="D4" s="142"/>
      <c r="E4" s="142"/>
      <c r="F4" s="142"/>
      <c r="G4" s="142"/>
    </row>
    <row r="5" spans="1:7" ht="12.75">
      <c r="A5" s="11"/>
      <c r="C5" s="57"/>
      <c r="D5" s="142"/>
      <c r="E5" s="142"/>
      <c r="F5" s="142"/>
      <c r="G5" s="142"/>
    </row>
    <row r="6" spans="1:7" ht="16.5">
      <c r="A6" s="11"/>
      <c r="C6" s="341" t="s">
        <v>28</v>
      </c>
      <c r="D6" s="221"/>
      <c r="E6" s="222"/>
      <c r="F6" s="223"/>
      <c r="G6"/>
    </row>
    <row r="7" spans="3:7" ht="12.75">
      <c r="C7" s="205"/>
      <c r="D7" s="67"/>
      <c r="E7" s="68" t="s">
        <v>61</v>
      </c>
      <c r="F7" s="67"/>
      <c r="G7"/>
    </row>
    <row r="8" spans="1:7" ht="12.75">
      <c r="A8" s="94"/>
      <c r="B8" s="46"/>
      <c r="C8" s="69" t="s">
        <v>83</v>
      </c>
      <c r="D8" s="71"/>
      <c r="E8" s="69" t="s">
        <v>84</v>
      </c>
      <c r="F8" s="71"/>
      <c r="G8"/>
    </row>
    <row r="9" spans="1:7" ht="12.75">
      <c r="A9" s="52" t="s">
        <v>100</v>
      </c>
      <c r="B9" s="53" t="s">
        <v>101</v>
      </c>
      <c r="C9" s="224" t="s">
        <v>102</v>
      </c>
      <c r="D9" s="133" t="s">
        <v>103</v>
      </c>
      <c r="E9" s="133" t="s">
        <v>102</v>
      </c>
      <c r="F9" s="133" t="s">
        <v>103</v>
      </c>
      <c r="G9"/>
    </row>
    <row r="10" spans="1:7" ht="4.5" customHeight="1">
      <c r="A10" s="77"/>
      <c r="B10" s="77"/>
      <c r="G10"/>
    </row>
    <row r="11" spans="1:7" ht="12.75">
      <c r="A11" s="14">
        <v>1</v>
      </c>
      <c r="B11" s="15" t="s">
        <v>115</v>
      </c>
      <c r="C11" s="15">
        <v>120000</v>
      </c>
      <c r="D11" s="360">
        <f>C11/'- 3 -'!E11</f>
        <v>0.0004721481758358498</v>
      </c>
      <c r="E11" s="15">
        <v>4214200</v>
      </c>
      <c r="F11" s="360">
        <f>E11/'- 3 -'!E11</f>
        <v>0.016581057021728653</v>
      </c>
      <c r="G11"/>
    </row>
    <row r="12" spans="1:7" ht="12.75">
      <c r="A12" s="16">
        <v>2</v>
      </c>
      <c r="B12" s="17" t="s">
        <v>116</v>
      </c>
      <c r="C12" s="17">
        <v>140000</v>
      </c>
      <c r="D12" s="361">
        <f>C12/'- 3 -'!E12</f>
        <v>0.002228874031426869</v>
      </c>
      <c r="E12" s="17">
        <v>1006459</v>
      </c>
      <c r="F12" s="361">
        <f>E12/'- 3 -'!E12</f>
        <v>0.016023359491398968</v>
      </c>
      <c r="G12"/>
    </row>
    <row r="13" spans="1:7" ht="12.75">
      <c r="A13" s="14">
        <v>3</v>
      </c>
      <c r="B13" s="15" t="s">
        <v>117</v>
      </c>
      <c r="C13" s="15">
        <v>30000</v>
      </c>
      <c r="D13" s="360">
        <f>C13/'- 3 -'!E13</f>
        <v>0.0006767737258031398</v>
      </c>
      <c r="E13" s="15">
        <v>705000</v>
      </c>
      <c r="F13" s="360">
        <f>E13/'- 3 -'!E13</f>
        <v>0.015904182556373787</v>
      </c>
      <c r="G13"/>
    </row>
    <row r="14" spans="1:7" ht="12.75">
      <c r="A14" s="16">
        <v>4</v>
      </c>
      <c r="B14" s="17" t="s">
        <v>118</v>
      </c>
      <c r="C14" s="17">
        <v>125000</v>
      </c>
      <c r="D14" s="361">
        <f>C14/'- 3 -'!E14</f>
        <v>0.002870356930721364</v>
      </c>
      <c r="E14" s="17">
        <v>645000</v>
      </c>
      <c r="F14" s="361">
        <f>E14/'- 3 -'!E14</f>
        <v>0.014811041762522237</v>
      </c>
      <c r="G14"/>
    </row>
    <row r="15" spans="1:7" ht="12.75">
      <c r="A15" s="14">
        <v>5</v>
      </c>
      <c r="B15" s="15" t="s">
        <v>119</v>
      </c>
      <c r="C15" s="15">
        <v>136915</v>
      </c>
      <c r="D15" s="360">
        <f>C15/'- 3 -'!E15</f>
        <v>0.0025258138395781405</v>
      </c>
      <c r="E15" s="15">
        <v>892677</v>
      </c>
      <c r="F15" s="360">
        <f>E15/'- 3 -'!E15</f>
        <v>0.016468143891269004</v>
      </c>
      <c r="G15"/>
    </row>
    <row r="16" spans="1:7" ht="12.75">
      <c r="A16" s="16">
        <v>6</v>
      </c>
      <c r="B16" s="17" t="s">
        <v>120</v>
      </c>
      <c r="C16" s="17">
        <v>140000</v>
      </c>
      <c r="D16" s="361">
        <f>C16/'- 3 -'!E16</f>
        <v>0.002246645253141877</v>
      </c>
      <c r="E16" s="17">
        <v>900000</v>
      </c>
      <c r="F16" s="361">
        <f>E16/'- 3 -'!E16</f>
        <v>0.014442719484483496</v>
      </c>
      <c r="G16"/>
    </row>
    <row r="17" spans="1:7" ht="12.75">
      <c r="A17" s="14">
        <v>9</v>
      </c>
      <c r="B17" s="15" t="s">
        <v>121</v>
      </c>
      <c r="C17" s="15">
        <v>20000</v>
      </c>
      <c r="D17" s="360">
        <f>C17/'- 3 -'!E17</f>
        <v>0.0002384192697511023</v>
      </c>
      <c r="E17" s="15">
        <v>1400000</v>
      </c>
      <c r="F17" s="360">
        <f>E17/'- 3 -'!E17</f>
        <v>0.016689348882577164</v>
      </c>
      <c r="G17"/>
    </row>
    <row r="18" spans="1:7" ht="12.75">
      <c r="A18" s="16">
        <v>10</v>
      </c>
      <c r="B18" s="17" t="s">
        <v>122</v>
      </c>
      <c r="C18" s="17">
        <v>120000</v>
      </c>
      <c r="D18" s="361">
        <f>C18/'- 3 -'!E18</f>
        <v>0.001937159357589528</v>
      </c>
      <c r="E18" s="17">
        <v>965000</v>
      </c>
      <c r="F18" s="361">
        <f>E18/'- 3 -'!E18</f>
        <v>0.015577989833949122</v>
      </c>
      <c r="G18"/>
    </row>
    <row r="19" spans="1:7" ht="12.75">
      <c r="A19" s="14">
        <v>11</v>
      </c>
      <c r="B19" s="15" t="s">
        <v>123</v>
      </c>
      <c r="C19" s="15">
        <v>75000</v>
      </c>
      <c r="D19" s="360">
        <f>C19/'- 3 -'!E19</f>
        <v>0.0022486308087005824</v>
      </c>
      <c r="E19" s="15">
        <v>555000</v>
      </c>
      <c r="F19" s="360">
        <f>E19/'- 3 -'!E19</f>
        <v>0.01663986798438431</v>
      </c>
      <c r="G19"/>
    </row>
    <row r="20" spans="1:7" ht="12.75">
      <c r="A20" s="16">
        <v>12</v>
      </c>
      <c r="B20" s="17" t="s">
        <v>124</v>
      </c>
      <c r="C20" s="17">
        <v>100000</v>
      </c>
      <c r="D20" s="361">
        <f>C20/'- 3 -'!E20</f>
        <v>0.0019102428827979649</v>
      </c>
      <c r="E20" s="17">
        <v>871573</v>
      </c>
      <c r="F20" s="361">
        <f>E20/'- 3 -'!E20</f>
        <v>0.016649161200888708</v>
      </c>
      <c r="G20"/>
    </row>
    <row r="21" spans="1:7" ht="12.75">
      <c r="A21" s="14">
        <v>13</v>
      </c>
      <c r="B21" s="15" t="s">
        <v>125</v>
      </c>
      <c r="C21" s="15">
        <v>135000</v>
      </c>
      <c r="D21" s="360">
        <f>C21/'- 3 -'!E21</f>
        <v>0.006424253718239084</v>
      </c>
      <c r="E21" s="15">
        <v>320000</v>
      </c>
      <c r="F21" s="360">
        <f>E21/'- 3 -'!E21</f>
        <v>0.015227860665455608</v>
      </c>
      <c r="G21"/>
    </row>
    <row r="22" spans="1:7" ht="12.75">
      <c r="A22" s="16">
        <v>14</v>
      </c>
      <c r="B22" s="17" t="s">
        <v>126</v>
      </c>
      <c r="C22" s="17">
        <v>55000</v>
      </c>
      <c r="D22" s="361">
        <f>C22/'- 3 -'!E22</f>
        <v>0.002310395599796971</v>
      </c>
      <c r="E22" s="17">
        <v>336393</v>
      </c>
      <c r="F22" s="361">
        <f>E22/'- 3 -'!E22</f>
        <v>0.01413092558186368</v>
      </c>
      <c r="G22"/>
    </row>
    <row r="23" spans="1:7" ht="12.75">
      <c r="A23" s="14">
        <v>15</v>
      </c>
      <c r="B23" s="15" t="s">
        <v>127</v>
      </c>
      <c r="C23" s="15">
        <v>120000</v>
      </c>
      <c r="D23" s="360">
        <f>C23/'- 3 -'!E23</f>
        <v>0.0035304963539534427</v>
      </c>
      <c r="E23" s="15">
        <v>559500</v>
      </c>
      <c r="F23" s="360">
        <f>E23/'- 3 -'!E23</f>
        <v>0.016460939250307925</v>
      </c>
      <c r="G23"/>
    </row>
    <row r="24" spans="1:7" ht="12.75">
      <c r="A24" s="16">
        <v>16</v>
      </c>
      <c r="B24" s="17" t="s">
        <v>128</v>
      </c>
      <c r="C24" s="17">
        <v>25000</v>
      </c>
      <c r="D24" s="361">
        <f>C24/'- 3 -'!E24</f>
        <v>0.00400600259428728</v>
      </c>
      <c r="E24" s="17">
        <v>87000</v>
      </c>
      <c r="F24" s="361">
        <f>E24/'- 3 -'!E24</f>
        <v>0.013940889028119735</v>
      </c>
      <c r="G24"/>
    </row>
    <row r="25" spans="1:7" ht="12.75">
      <c r="A25" s="14">
        <v>17</v>
      </c>
      <c r="B25" s="15" t="s">
        <v>129</v>
      </c>
      <c r="C25" s="15">
        <v>9000</v>
      </c>
      <c r="D25" s="360">
        <f>C25/'- 3 -'!E25</f>
        <v>0.002021386720702077</v>
      </c>
      <c r="E25" s="15">
        <v>65500</v>
      </c>
      <c r="F25" s="360">
        <f>E25/'- 3 -'!E25</f>
        <v>0.014711203356220672</v>
      </c>
      <c r="G25"/>
    </row>
    <row r="26" spans="1:7" ht="12.75">
      <c r="A26" s="16">
        <v>18</v>
      </c>
      <c r="B26" s="17" t="s">
        <v>130</v>
      </c>
      <c r="C26" s="17">
        <v>50000</v>
      </c>
      <c r="D26" s="361">
        <f>C26/'- 3 -'!E26</f>
        <v>0.005100797513848439</v>
      </c>
      <c r="E26" s="17">
        <v>145000</v>
      </c>
      <c r="F26" s="361">
        <f>E26/'- 3 -'!E26</f>
        <v>0.014792312790160475</v>
      </c>
      <c r="G26"/>
    </row>
    <row r="27" spans="1:7" ht="12.75">
      <c r="A27" s="14">
        <v>19</v>
      </c>
      <c r="B27" s="15" t="s">
        <v>131</v>
      </c>
      <c r="C27" s="15">
        <v>0</v>
      </c>
      <c r="D27" s="360">
        <f>C27/'- 3 -'!E27</f>
        <v>0</v>
      </c>
      <c r="E27" s="15">
        <v>233000</v>
      </c>
      <c r="F27" s="360">
        <f>E27/'- 3 -'!E27</f>
        <v>0.018763259604997147</v>
      </c>
      <c r="G27"/>
    </row>
    <row r="28" spans="1:7" ht="12.75">
      <c r="A28" s="16">
        <v>20</v>
      </c>
      <c r="B28" s="17" t="s">
        <v>132</v>
      </c>
      <c r="C28" s="17">
        <v>37300</v>
      </c>
      <c r="D28" s="361">
        <f>C28/'- 3 -'!E28</f>
        <v>0.004719697423108474</v>
      </c>
      <c r="E28" s="17">
        <v>122680</v>
      </c>
      <c r="F28" s="361">
        <f>E28/'- 3 -'!E28</f>
        <v>0.015523122784636663</v>
      </c>
      <c r="G28"/>
    </row>
    <row r="29" spans="1:7" ht="12.75">
      <c r="A29" s="14">
        <v>21</v>
      </c>
      <c r="B29" s="15" t="s">
        <v>133</v>
      </c>
      <c r="C29" s="15">
        <v>125000</v>
      </c>
      <c r="D29" s="360">
        <f>C29/'- 3 -'!E29</f>
        <v>0.005320054477357848</v>
      </c>
      <c r="E29" s="15">
        <v>375000</v>
      </c>
      <c r="F29" s="360">
        <f>E29/'- 3 -'!E29</f>
        <v>0.015960163432073543</v>
      </c>
      <c r="G29"/>
    </row>
    <row r="30" spans="1:7" ht="12.75">
      <c r="A30" s="16">
        <v>22</v>
      </c>
      <c r="B30" s="17" t="s">
        <v>134</v>
      </c>
      <c r="C30" s="17">
        <v>85000</v>
      </c>
      <c r="D30" s="361">
        <f>C30/'- 3 -'!E30</f>
        <v>0.00682527042725149</v>
      </c>
      <c r="E30" s="17">
        <v>190000</v>
      </c>
      <c r="F30" s="361">
        <f>E30/'- 3 -'!E30</f>
        <v>0.015256486837385683</v>
      </c>
      <c r="G30"/>
    </row>
    <row r="31" spans="1:7" ht="12.75">
      <c r="A31" s="14">
        <v>23</v>
      </c>
      <c r="B31" s="15" t="s">
        <v>135</v>
      </c>
      <c r="C31" s="15">
        <v>30000</v>
      </c>
      <c r="D31" s="360">
        <f>C31/'- 3 -'!E31</f>
        <v>0.0029331841189981066</v>
      </c>
      <c r="E31" s="15">
        <v>150000</v>
      </c>
      <c r="F31" s="360">
        <f>E31/'- 3 -'!E31</f>
        <v>0.014665920594990531</v>
      </c>
      <c r="G31"/>
    </row>
    <row r="32" spans="1:7" ht="12.75">
      <c r="A32" s="16">
        <v>24</v>
      </c>
      <c r="B32" s="17" t="s">
        <v>136</v>
      </c>
      <c r="C32" s="17">
        <v>30000</v>
      </c>
      <c r="D32" s="361">
        <f>C32/'- 3 -'!E32</f>
        <v>0.0012830908598124439</v>
      </c>
      <c r="E32" s="17">
        <v>378351</v>
      </c>
      <c r="F32" s="361">
        <f>E32/'- 3 -'!E32</f>
        <v>0.016181956996696598</v>
      </c>
      <c r="G32"/>
    </row>
    <row r="33" spans="1:7" ht="12.75">
      <c r="A33" s="14">
        <v>25</v>
      </c>
      <c r="B33" s="15" t="s">
        <v>137</v>
      </c>
      <c r="C33" s="15">
        <v>29000</v>
      </c>
      <c r="D33" s="360">
        <f>C33/'- 3 -'!E33</f>
        <v>0.0027267545584284264</v>
      </c>
      <c r="E33" s="15">
        <v>167000</v>
      </c>
      <c r="F33" s="360">
        <f>E33/'- 3 -'!E33</f>
        <v>0.01570234521577749</v>
      </c>
      <c r="G33"/>
    </row>
    <row r="34" spans="1:7" ht="12.75">
      <c r="A34" s="16">
        <v>26</v>
      </c>
      <c r="B34" s="17" t="s">
        <v>138</v>
      </c>
      <c r="C34" s="17">
        <v>24000</v>
      </c>
      <c r="D34" s="361">
        <f>C34/'- 3 -'!E34</f>
        <v>0.0013839433736502948</v>
      </c>
      <c r="E34" s="17">
        <v>290000</v>
      </c>
      <c r="F34" s="361">
        <f>E34/'- 3 -'!E34</f>
        <v>0.016722649098274395</v>
      </c>
      <c r="G34"/>
    </row>
    <row r="35" spans="1:7" ht="12.75">
      <c r="A35" s="14">
        <v>28</v>
      </c>
      <c r="B35" s="15" t="s">
        <v>139</v>
      </c>
      <c r="C35" s="15">
        <v>12000</v>
      </c>
      <c r="D35" s="360">
        <f>C35/'- 3 -'!E35</f>
        <v>0.001873931858840461</v>
      </c>
      <c r="E35" s="15">
        <v>95000</v>
      </c>
      <c r="F35" s="360">
        <f>E35/'- 3 -'!E35</f>
        <v>0.014835293882486982</v>
      </c>
      <c r="G35"/>
    </row>
    <row r="36" spans="1:7" ht="12.75">
      <c r="A36" s="16">
        <v>30</v>
      </c>
      <c r="B36" s="17" t="s">
        <v>140</v>
      </c>
      <c r="C36" s="17">
        <v>5000</v>
      </c>
      <c r="D36" s="361">
        <f>C36/'- 3 -'!E36</f>
        <v>0.0005105051233783677</v>
      </c>
      <c r="E36" s="17">
        <v>156004</v>
      </c>
      <c r="F36" s="361">
        <f>E36/'- 3 -'!E36</f>
        <v>0.015928168253503776</v>
      </c>
      <c r="G36"/>
    </row>
    <row r="37" spans="1:7" ht="12.75">
      <c r="A37" s="14">
        <v>31</v>
      </c>
      <c r="B37" s="15" t="s">
        <v>141</v>
      </c>
      <c r="C37" s="15">
        <v>13000</v>
      </c>
      <c r="D37" s="360">
        <f>C37/'- 3 -'!E37</f>
        <v>0.0011870860379871184</v>
      </c>
      <c r="E37" s="15">
        <v>172000</v>
      </c>
      <c r="F37" s="360">
        <f>E37/'- 3 -'!E37</f>
        <v>0.01570606142567572</v>
      </c>
      <c r="G37"/>
    </row>
    <row r="38" spans="1:7" ht="12.75">
      <c r="A38" s="16">
        <v>32</v>
      </c>
      <c r="B38" s="17" t="s">
        <v>142</v>
      </c>
      <c r="C38" s="17">
        <v>5000</v>
      </c>
      <c r="D38" s="361">
        <f>C38/'- 3 -'!E38</f>
        <v>0.0007273065800880913</v>
      </c>
      <c r="E38" s="17">
        <v>107240</v>
      </c>
      <c r="F38" s="361">
        <f>E38/'- 3 -'!E38</f>
        <v>0.015599271529729383</v>
      </c>
      <c r="G38"/>
    </row>
    <row r="39" spans="1:7" ht="12.75">
      <c r="A39" s="14">
        <v>33</v>
      </c>
      <c r="B39" s="15" t="s">
        <v>143</v>
      </c>
      <c r="C39" s="15">
        <v>42500</v>
      </c>
      <c r="D39" s="360">
        <f>C39/'- 3 -'!E39</f>
        <v>0.003103513644798555</v>
      </c>
      <c r="E39" s="15">
        <v>219003</v>
      </c>
      <c r="F39" s="360">
        <f>E39/'- 3 -'!E39</f>
        <v>0.015992442323572185</v>
      </c>
      <c r="G39"/>
    </row>
    <row r="40" spans="1:7" ht="12.75">
      <c r="A40" s="16">
        <v>34</v>
      </c>
      <c r="B40" s="17" t="s">
        <v>144</v>
      </c>
      <c r="C40" s="17">
        <v>0</v>
      </c>
      <c r="D40" s="361">
        <f>C40/'- 3 -'!E40</f>
        <v>0</v>
      </c>
      <c r="E40" s="17">
        <v>85000</v>
      </c>
      <c r="F40" s="361">
        <f>E40/'- 3 -'!E40</f>
        <v>0.014749219028852423</v>
      </c>
      <c r="G40"/>
    </row>
    <row r="41" spans="1:7" ht="12.75">
      <c r="A41" s="14">
        <v>35</v>
      </c>
      <c r="B41" s="15" t="s">
        <v>145</v>
      </c>
      <c r="C41" s="15">
        <v>4000</v>
      </c>
      <c r="D41" s="360">
        <f>C41/'- 3 -'!E41</f>
        <v>0.0002717404596000741</v>
      </c>
      <c r="E41" s="15">
        <v>226000</v>
      </c>
      <c r="F41" s="360">
        <f>E41/'- 3 -'!E41</f>
        <v>0.015353335967404189</v>
      </c>
      <c r="G41"/>
    </row>
    <row r="42" spans="1:7" ht="12.75">
      <c r="A42" s="16">
        <v>36</v>
      </c>
      <c r="B42" s="17" t="s">
        <v>146</v>
      </c>
      <c r="C42" s="17">
        <v>9712</v>
      </c>
      <c r="D42" s="361">
        <f>C42/'- 3 -'!E42</f>
        <v>0.0012715370515841843</v>
      </c>
      <c r="E42" s="17">
        <v>121038</v>
      </c>
      <c r="F42" s="361">
        <f>E42/'- 3 -'!E42</f>
        <v>0.015846818538884526</v>
      </c>
      <c r="G42"/>
    </row>
    <row r="43" spans="1:7" ht="12.75">
      <c r="A43" s="14">
        <v>37</v>
      </c>
      <c r="B43" s="15" t="s">
        <v>147</v>
      </c>
      <c r="C43" s="15">
        <v>3000</v>
      </c>
      <c r="D43" s="360">
        <f>C43/'- 3 -'!E43</f>
        <v>0.0004332023618192766</v>
      </c>
      <c r="E43" s="15">
        <v>97000</v>
      </c>
      <c r="F43" s="360">
        <f>E43/'- 3 -'!E43</f>
        <v>0.014006876365489945</v>
      </c>
      <c r="G43"/>
    </row>
    <row r="44" spans="1:7" ht="12.75">
      <c r="A44" s="16">
        <v>38</v>
      </c>
      <c r="B44" s="17" t="s">
        <v>148</v>
      </c>
      <c r="C44" s="17">
        <v>40500</v>
      </c>
      <c r="D44" s="361">
        <f>C44/'- 3 -'!E44</f>
        <v>0.0045220384053930385</v>
      </c>
      <c r="E44" s="17">
        <v>139141</v>
      </c>
      <c r="F44" s="361">
        <f>E44/'- 3 -'!E44</f>
        <v>0.015535825821352909</v>
      </c>
      <c r="G44"/>
    </row>
    <row r="45" spans="1:7" ht="12.75">
      <c r="A45" s="14">
        <v>39</v>
      </c>
      <c r="B45" s="15" t="s">
        <v>149</v>
      </c>
      <c r="C45" s="15">
        <v>104000</v>
      </c>
      <c r="D45" s="360">
        <f>C45/'- 3 -'!E45</f>
        <v>0.00653055073264616</v>
      </c>
      <c r="E45" s="15">
        <v>265000</v>
      </c>
      <c r="F45" s="360">
        <f>E45/'- 3 -'!E45</f>
        <v>0.016640345616838775</v>
      </c>
      <c r="G45"/>
    </row>
    <row r="46" spans="1:7" ht="12.75">
      <c r="A46" s="16">
        <v>40</v>
      </c>
      <c r="B46" s="17" t="s">
        <v>150</v>
      </c>
      <c r="C46" s="17">
        <v>11000</v>
      </c>
      <c r="D46" s="361">
        <f>C46/'- 3 -'!E46</f>
        <v>0.00023541245331878057</v>
      </c>
      <c r="E46" s="17">
        <v>794900</v>
      </c>
      <c r="F46" s="361">
        <f>E46/'- 3 -'!E46</f>
        <v>0.01701175992209988</v>
      </c>
      <c r="G46"/>
    </row>
    <row r="47" spans="1:7" ht="12.75">
      <c r="A47" s="14">
        <v>41</v>
      </c>
      <c r="B47" s="15" t="s">
        <v>151</v>
      </c>
      <c r="C47" s="15">
        <v>61000</v>
      </c>
      <c r="D47" s="360">
        <f>C47/'- 3 -'!E47</f>
        <v>0.004966453641086282</v>
      </c>
      <c r="E47" s="15">
        <v>197000</v>
      </c>
      <c r="F47" s="360">
        <f>E47/'- 3 -'!E47</f>
        <v>0.01603920274252455</v>
      </c>
      <c r="G47"/>
    </row>
    <row r="48" spans="1:7" ht="12.75">
      <c r="A48" s="16">
        <v>42</v>
      </c>
      <c r="B48" s="17" t="s">
        <v>152</v>
      </c>
      <c r="C48" s="17">
        <v>31415</v>
      </c>
      <c r="D48" s="361">
        <f>C48/'- 3 -'!E48</f>
        <v>0.00391359031766668</v>
      </c>
      <c r="E48" s="17">
        <v>127838</v>
      </c>
      <c r="F48" s="361">
        <f>E48/'- 3 -'!E48</f>
        <v>0.015925690244465163</v>
      </c>
      <c r="G48"/>
    </row>
    <row r="49" spans="1:7" ht="12.75">
      <c r="A49" s="14">
        <v>43</v>
      </c>
      <c r="B49" s="15" t="s">
        <v>153</v>
      </c>
      <c r="C49" s="15">
        <v>35000</v>
      </c>
      <c r="D49" s="360">
        <f>C49/'- 3 -'!E49</f>
        <v>0.005466187724504139</v>
      </c>
      <c r="E49" s="15">
        <v>94000</v>
      </c>
      <c r="F49" s="360">
        <f>E49/'- 3 -'!E49</f>
        <v>0.01468061846009683</v>
      </c>
      <c r="G49"/>
    </row>
    <row r="50" spans="1:7" ht="12.75">
      <c r="A50" s="16">
        <v>44</v>
      </c>
      <c r="B50" s="17" t="s">
        <v>154</v>
      </c>
      <c r="C50" s="17">
        <v>35000</v>
      </c>
      <c r="D50" s="361">
        <f>C50/'- 3 -'!E50</f>
        <v>0.003790020723833318</v>
      </c>
      <c r="E50" s="17">
        <v>135000</v>
      </c>
      <c r="F50" s="361">
        <f>E50/'- 3 -'!E50</f>
        <v>0.014618651363357084</v>
      </c>
      <c r="G50"/>
    </row>
    <row r="51" spans="1:7" ht="12.75">
      <c r="A51" s="14">
        <v>45</v>
      </c>
      <c r="B51" s="15" t="s">
        <v>155</v>
      </c>
      <c r="C51" s="15">
        <v>35000</v>
      </c>
      <c r="D51" s="360">
        <f>C51/'- 3 -'!E51</f>
        <v>0.0029037910153221435</v>
      </c>
      <c r="E51" s="15">
        <v>215000</v>
      </c>
      <c r="F51" s="360">
        <f>E51/'- 3 -'!E51</f>
        <v>0.017837573379836026</v>
      </c>
      <c r="G51"/>
    </row>
    <row r="52" spans="1:7" ht="12.75">
      <c r="A52" s="16">
        <v>46</v>
      </c>
      <c r="B52" s="17" t="s">
        <v>156</v>
      </c>
      <c r="C52" s="17">
        <v>51000</v>
      </c>
      <c r="D52" s="361">
        <f>C52/'- 3 -'!E52</f>
        <v>0.004809905916354038</v>
      </c>
      <c r="E52" s="17">
        <v>175000</v>
      </c>
      <c r="F52" s="361">
        <f>E52/'- 3 -'!E52</f>
        <v>0.016504579124744248</v>
      </c>
      <c r="G52"/>
    </row>
    <row r="53" spans="1:7" ht="12.75">
      <c r="A53" s="14">
        <v>47</v>
      </c>
      <c r="B53" s="15" t="s">
        <v>157</v>
      </c>
      <c r="C53" s="15">
        <v>22650</v>
      </c>
      <c r="D53" s="360">
        <f>C53/'- 3 -'!E53</f>
        <v>0.0023651669489377684</v>
      </c>
      <c r="E53" s="15">
        <v>149021</v>
      </c>
      <c r="F53" s="360">
        <f>E53/'- 3 -'!E53</f>
        <v>0.015561127765900892</v>
      </c>
      <c r="G53"/>
    </row>
    <row r="54" spans="1:7" ht="12.75">
      <c r="A54" s="16">
        <v>48</v>
      </c>
      <c r="B54" s="17" t="s">
        <v>158</v>
      </c>
      <c r="C54" s="17">
        <v>50000</v>
      </c>
      <c r="D54" s="361">
        <f>C54/'- 3 -'!E54</f>
        <v>0.0008055301383945887</v>
      </c>
      <c r="E54" s="17">
        <v>869923</v>
      </c>
      <c r="F54" s="361">
        <f>E54/'- 3 -'!E54</f>
        <v>0.014014983891652717</v>
      </c>
      <c r="G54"/>
    </row>
    <row r="55" spans="1:7" ht="12.75">
      <c r="A55" s="14">
        <v>49</v>
      </c>
      <c r="B55" s="15" t="s">
        <v>159</v>
      </c>
      <c r="C55" s="15">
        <v>80000</v>
      </c>
      <c r="D55" s="360">
        <f>C55/'- 3 -'!E55</f>
        <v>0.001992417953100374</v>
      </c>
      <c r="E55" s="15">
        <v>500000</v>
      </c>
      <c r="F55" s="360">
        <f>E55/'- 3 -'!E55</f>
        <v>0.012452612206877338</v>
      </c>
      <c r="G55"/>
    </row>
    <row r="56" spans="1:7" ht="12.75">
      <c r="A56" s="16">
        <v>50</v>
      </c>
      <c r="B56" s="17" t="s">
        <v>340</v>
      </c>
      <c r="C56" s="17">
        <v>30000</v>
      </c>
      <c r="D56" s="361">
        <f>C56/'- 3 -'!E56</f>
        <v>0.002081382037673015</v>
      </c>
      <c r="E56" s="17">
        <v>220000</v>
      </c>
      <c r="F56" s="361">
        <f>E56/'- 3 -'!E56</f>
        <v>0.015263468276268776</v>
      </c>
      <c r="G56"/>
    </row>
    <row r="57" spans="1:7" ht="12.75">
      <c r="A57" s="14">
        <v>2264</v>
      </c>
      <c r="B57" s="15" t="s">
        <v>160</v>
      </c>
      <c r="C57" s="15">
        <v>6000</v>
      </c>
      <c r="D57" s="360">
        <f>C57/'- 3 -'!E57</f>
        <v>0.0029671037210447764</v>
      </c>
      <c r="E57" s="15">
        <v>6843</v>
      </c>
      <c r="F57" s="360">
        <f>E57/'- 3 -'!E57</f>
        <v>0.0033839817938515677</v>
      </c>
      <c r="G57"/>
    </row>
    <row r="58" spans="1:7" ht="12.75">
      <c r="A58" s="16">
        <v>2309</v>
      </c>
      <c r="B58" s="17" t="s">
        <v>161</v>
      </c>
      <c r="C58" s="17">
        <v>0</v>
      </c>
      <c r="D58" s="361">
        <f>C58/'- 3 -'!E58</f>
        <v>0</v>
      </c>
      <c r="E58" s="17">
        <v>21000</v>
      </c>
      <c r="F58" s="361">
        <f>E58/'- 3 -'!E58</f>
        <v>0.009975057605957674</v>
      </c>
      <c r="G58"/>
    </row>
    <row r="59" spans="1:7" ht="12.75">
      <c r="A59" s="14">
        <v>2312</v>
      </c>
      <c r="B59" s="15" t="s">
        <v>162</v>
      </c>
      <c r="C59" s="15">
        <v>900</v>
      </c>
      <c r="D59" s="360">
        <f>C59/'- 3 -'!E59</f>
        <v>0.0005771939140673701</v>
      </c>
      <c r="E59" s="15">
        <v>15000</v>
      </c>
      <c r="F59" s="360">
        <f>E59/'- 3 -'!E59</f>
        <v>0.009619898567789501</v>
      </c>
      <c r="G59"/>
    </row>
    <row r="60" spans="1:7" ht="12.75">
      <c r="A60" s="16">
        <v>2355</v>
      </c>
      <c r="B60" s="17" t="s">
        <v>163</v>
      </c>
      <c r="C60" s="17">
        <v>193000</v>
      </c>
      <c r="D60" s="361">
        <f>C60/'- 3 -'!E60</f>
        <v>0.007522861312894434</v>
      </c>
      <c r="E60" s="17">
        <v>350000</v>
      </c>
      <c r="F60" s="361">
        <f>E60/'- 3 -'!E60</f>
        <v>0.013642494608875917</v>
      </c>
      <c r="G60"/>
    </row>
    <row r="61" spans="1:7" ht="12.75">
      <c r="A61" s="14">
        <v>2439</v>
      </c>
      <c r="B61" s="15" t="s">
        <v>164</v>
      </c>
      <c r="C61" s="15">
        <v>0</v>
      </c>
      <c r="D61" s="360">
        <f>C61/'- 3 -'!E61</f>
        <v>0</v>
      </c>
      <c r="E61" s="15">
        <v>0</v>
      </c>
      <c r="F61" s="360">
        <f>E61/'- 3 -'!E61</f>
        <v>0</v>
      </c>
      <c r="G61"/>
    </row>
    <row r="62" spans="1:7" ht="12.75">
      <c r="A62" s="16">
        <v>2460</v>
      </c>
      <c r="B62" s="17" t="s">
        <v>165</v>
      </c>
      <c r="C62" s="17">
        <v>0</v>
      </c>
      <c r="D62" s="361">
        <f>C62/'- 3 -'!E62</f>
        <v>0</v>
      </c>
      <c r="E62" s="17">
        <v>35000</v>
      </c>
      <c r="F62" s="361">
        <f>E62/'- 3 -'!E62</f>
        <v>0.016271622662000274</v>
      </c>
      <c r="G62"/>
    </row>
    <row r="63" spans="1:7" ht="12.75">
      <c r="A63" s="14">
        <v>3000</v>
      </c>
      <c r="B63" s="15" t="s">
        <v>363</v>
      </c>
      <c r="C63" s="15">
        <v>19200</v>
      </c>
      <c r="D63" s="360">
        <f>C63/'- 3 -'!E63</f>
        <v>0.002654841192792493</v>
      </c>
      <c r="E63" s="15">
        <v>99575</v>
      </c>
      <c r="F63" s="360">
        <f>E63/'- 3 -'!E63</f>
        <v>0.013768531863141278</v>
      </c>
      <c r="G63"/>
    </row>
    <row r="64" spans="1:7" ht="4.5" customHeight="1">
      <c r="A64" s="18"/>
      <c r="B64" s="18"/>
      <c r="C64" s="18"/>
      <c r="D64" s="198"/>
      <c r="E64" s="18"/>
      <c r="F64" s="198"/>
      <c r="G64"/>
    </row>
    <row r="65" spans="1:7" ht="12.75">
      <c r="A65" s="20"/>
      <c r="B65" s="21" t="s">
        <v>166</v>
      </c>
      <c r="C65" s="21">
        <f>SUM(C11:C63)</f>
        <v>2661092</v>
      </c>
      <c r="D65" s="103">
        <f>C65/'- 3 -'!E65</f>
        <v>0.0019692307554342783</v>
      </c>
      <c r="E65" s="21">
        <f>SUM(E11:E63)</f>
        <v>21261859</v>
      </c>
      <c r="F65" s="103">
        <f>E65/'- 3 -'!E65</f>
        <v>0.015733956834452587</v>
      </c>
      <c r="G65"/>
    </row>
    <row r="66" spans="1:7" ht="4.5" customHeight="1">
      <c r="A66" s="18"/>
      <c r="B66" s="18"/>
      <c r="C66" s="18"/>
      <c r="D66" s="198"/>
      <c r="E66" s="18"/>
      <c r="F66" s="198"/>
      <c r="G66"/>
    </row>
    <row r="67" spans="1:7" ht="12.75">
      <c r="A67" s="16">
        <v>2155</v>
      </c>
      <c r="B67" s="17" t="s">
        <v>167</v>
      </c>
      <c r="C67" s="17">
        <v>0</v>
      </c>
      <c r="D67" s="361">
        <f>C67/'- 3 -'!E67</f>
        <v>0</v>
      </c>
      <c r="E67" s="17">
        <v>0</v>
      </c>
      <c r="F67" s="361">
        <f>E67/'- 3 -'!E67</f>
        <v>0</v>
      </c>
      <c r="G67"/>
    </row>
    <row r="68" spans="1:7" ht="12.75">
      <c r="A68" s="14">
        <v>2408</v>
      </c>
      <c r="B68" s="15" t="s">
        <v>169</v>
      </c>
      <c r="C68" s="15">
        <v>0</v>
      </c>
      <c r="D68" s="360">
        <f>C68/'- 3 -'!E68</f>
        <v>0</v>
      </c>
      <c r="E68" s="15">
        <v>9000</v>
      </c>
      <c r="F68" s="360">
        <f>E68/'- 3 -'!E68</f>
        <v>0.003917190590908201</v>
      </c>
      <c r="G68"/>
    </row>
    <row r="69" ht="6.75" customHeight="1">
      <c r="G69"/>
    </row>
    <row r="70" spans="1:7" ht="12" customHeight="1">
      <c r="A70" s="55"/>
      <c r="B70" s="7"/>
      <c r="D70" s="129"/>
      <c r="E70" s="18"/>
      <c r="F70" s="18"/>
      <c r="G70"/>
    </row>
    <row r="71" spans="1:7" ht="12" customHeight="1">
      <c r="A71" s="7"/>
      <c r="B71" s="7"/>
      <c r="C71" s="18"/>
      <c r="D71" s="129"/>
      <c r="E71" s="18"/>
      <c r="F71" s="18"/>
      <c r="G71"/>
    </row>
    <row r="72" spans="1:7" ht="12" customHeight="1">
      <c r="A72" s="7"/>
      <c r="B72" s="7"/>
      <c r="C72" s="18"/>
      <c r="D72" s="18"/>
      <c r="E72" s="18"/>
      <c r="F72" s="18"/>
      <c r="G72"/>
    </row>
    <row r="73" spans="1:7" ht="12" customHeight="1">
      <c r="A73" s="7"/>
      <c r="B73" s="7"/>
      <c r="C73" s="18"/>
      <c r="D73" s="18"/>
      <c r="E73" s="18"/>
      <c r="F73" s="18"/>
      <c r="G73"/>
    </row>
    <row r="74" spans="1:7" ht="12" customHeight="1">
      <c r="A74" s="7"/>
      <c r="B74" s="7"/>
      <c r="C74" s="18"/>
      <c r="D74" s="18"/>
      <c r="E74" s="18"/>
      <c r="F74" s="18"/>
      <c r="G74"/>
    </row>
    <row r="75" spans="3:7" ht="12" customHeight="1">
      <c r="C75" s="18"/>
      <c r="D75" s="18"/>
      <c r="E75" s="18"/>
      <c r="F75" s="18"/>
      <c r="G75"/>
    </row>
    <row r="76" ht="12.75">
      <c r="G76"/>
    </row>
    <row r="77" ht="12.75">
      <c r="G77"/>
    </row>
    <row r="78" ht="12.75">
      <c r="G78"/>
    </row>
    <row r="79" ht="12.75">
      <c r="G79"/>
    </row>
    <row r="80" ht="12.75">
      <c r="G80"/>
    </row>
    <row r="81" ht="12.75">
      <c r="G81"/>
    </row>
    <row r="82" ht="12.75">
      <c r="G82"/>
    </row>
    <row r="83" ht="12.75">
      <c r="G83"/>
    </row>
    <row r="84" ht="12.75">
      <c r="G84"/>
    </row>
    <row r="85" ht="12.75">
      <c r="G8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I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18.83203125" style="82" customWidth="1"/>
    <col min="5" max="5" width="10.83203125" style="82" customWidth="1"/>
    <col min="6" max="6" width="14.83203125" style="82" customWidth="1"/>
    <col min="7" max="7" width="11.83203125" style="82" customWidth="1"/>
    <col min="8" max="8" width="14.83203125" style="82" customWidth="1"/>
    <col min="9" max="9" width="11.83203125" style="82" customWidth="1"/>
    <col min="10" max="16384" width="15.83203125" style="82" customWidth="1"/>
  </cols>
  <sheetData>
    <row r="1" spans="1:9" ht="6.75" customHeight="1">
      <c r="A1" s="18"/>
      <c r="B1" s="80"/>
      <c r="C1" s="142"/>
      <c r="D1" s="142"/>
      <c r="E1" s="142"/>
      <c r="F1" s="142"/>
      <c r="G1" s="142"/>
      <c r="H1" s="142"/>
      <c r="I1" s="142"/>
    </row>
    <row r="2" spans="1:9" ht="12.75">
      <c r="A2" s="9"/>
      <c r="B2" s="83"/>
      <c r="C2" s="200" t="s">
        <v>9</v>
      </c>
      <c r="D2" s="200"/>
      <c r="E2" s="200"/>
      <c r="F2" s="200"/>
      <c r="G2" s="215"/>
      <c r="H2" s="215"/>
      <c r="I2" s="215"/>
    </row>
    <row r="3" spans="1:9" ht="12.75">
      <c r="A3" s="10"/>
      <c r="B3" s="86"/>
      <c r="C3" s="203" t="str">
        <f>YEAR</f>
        <v>OPERATING FUND BUDGET 2002/2003</v>
      </c>
      <c r="D3" s="203"/>
      <c r="E3" s="203"/>
      <c r="F3" s="203"/>
      <c r="G3" s="216"/>
      <c r="H3" s="216"/>
      <c r="I3" s="216"/>
    </row>
    <row r="4" spans="1:9" ht="12.75">
      <c r="A4" s="11"/>
      <c r="C4" s="142"/>
      <c r="D4" s="142"/>
      <c r="E4" s="142"/>
      <c r="F4" s="142"/>
      <c r="G4" s="142"/>
      <c r="H4" s="142"/>
      <c r="I4" s="142"/>
    </row>
    <row r="5" spans="1:9" ht="12.75">
      <c r="A5" s="11"/>
      <c r="C5" s="57"/>
      <c r="D5" s="142"/>
      <c r="E5" s="142"/>
      <c r="F5" s="142"/>
      <c r="G5" s="142"/>
      <c r="H5" s="142"/>
      <c r="I5" s="142"/>
    </row>
    <row r="6" spans="1:9" ht="12.75">
      <c r="A6" s="11"/>
      <c r="C6" s="68" t="s">
        <v>33</v>
      </c>
      <c r="D6" s="66"/>
      <c r="E6" s="130"/>
      <c r="F6" s="130"/>
      <c r="G6" s="130"/>
      <c r="H6" s="130"/>
      <c r="I6" s="206"/>
    </row>
    <row r="7" spans="3:9" ht="12.75">
      <c r="C7" s="69" t="s">
        <v>70</v>
      </c>
      <c r="D7" s="70"/>
      <c r="E7" s="217"/>
      <c r="F7" s="217"/>
      <c r="G7" s="217"/>
      <c r="H7" s="217"/>
      <c r="I7" s="211"/>
    </row>
    <row r="8" spans="1:9" ht="12.75">
      <c r="A8" s="94"/>
      <c r="B8" s="46"/>
      <c r="C8" s="218"/>
      <c r="D8" s="208" t="s">
        <v>367</v>
      </c>
      <c r="E8" s="207" t="s">
        <v>75</v>
      </c>
      <c r="F8" s="213" t="s">
        <v>92</v>
      </c>
      <c r="G8" s="213" t="s">
        <v>93</v>
      </c>
      <c r="H8" s="213" t="s">
        <v>94</v>
      </c>
      <c r="I8" s="213" t="s">
        <v>93</v>
      </c>
    </row>
    <row r="9" spans="1:9" ht="12.75">
      <c r="A9" s="52" t="s">
        <v>100</v>
      </c>
      <c r="B9" s="53" t="s">
        <v>101</v>
      </c>
      <c r="C9" s="75" t="s">
        <v>102</v>
      </c>
      <c r="D9" s="76" t="s">
        <v>108</v>
      </c>
      <c r="E9" s="76" t="s">
        <v>104</v>
      </c>
      <c r="F9" s="76" t="s">
        <v>109</v>
      </c>
      <c r="G9" s="76" t="s">
        <v>110</v>
      </c>
      <c r="H9" s="76" t="s">
        <v>111</v>
      </c>
      <c r="I9" s="76" t="s">
        <v>110</v>
      </c>
    </row>
    <row r="10" spans="1:2" ht="4.5" customHeight="1">
      <c r="A10" s="77"/>
      <c r="B10" s="77"/>
    </row>
    <row r="11" spans="1:9" ht="12.75">
      <c r="A11" s="14">
        <v>1</v>
      </c>
      <c r="B11" s="15" t="s">
        <v>115</v>
      </c>
      <c r="C11" s="15">
        <f>'- 30 -'!E11</f>
        <v>2552400</v>
      </c>
      <c r="D11" s="15">
        <v>1964</v>
      </c>
      <c r="E11" s="15">
        <f ca="1">IF(AND(CELL("type",D11)="v",D11&gt;0),C11/D11,"")</f>
        <v>1299.59266802444</v>
      </c>
      <c r="F11" s="15">
        <v>1041040</v>
      </c>
      <c r="G11" s="366">
        <f ca="1">IF(AND(CELL("type",F11)="v",F11&gt;0),C11/F11,"")</f>
        <v>2.4517789902405287</v>
      </c>
      <c r="H11" s="15">
        <v>656020</v>
      </c>
      <c r="I11" s="366">
        <f ca="1">IF(AND(CELL("type",H11)="v",H11&gt;0),C11/H11,"")</f>
        <v>3.8907350385658974</v>
      </c>
    </row>
    <row r="12" spans="1:9" ht="12.75">
      <c r="A12" s="16">
        <v>2</v>
      </c>
      <c r="B12" s="17" t="s">
        <v>116</v>
      </c>
      <c r="C12" s="17">
        <f>'- 30 -'!E12</f>
        <v>969719</v>
      </c>
      <c r="D12" s="17">
        <v>2099</v>
      </c>
      <c r="E12" s="17">
        <f aca="true" ca="1" t="shared" si="0" ref="E12:E63">IF(AND(CELL("type",D12)="v",D12&gt;0),C12/D12,"")</f>
        <v>461.9909480705098</v>
      </c>
      <c r="F12" s="17">
        <v>371298</v>
      </c>
      <c r="G12" s="367">
        <f aca="true" ca="1" t="shared" si="1" ref="G12:G63">IF(AND(CELL("type",F12)="v",F12&gt;0),C12/F12,"")</f>
        <v>2.61170003608961</v>
      </c>
      <c r="H12" s="17">
        <v>231724</v>
      </c>
      <c r="I12" s="367">
        <f aca="true" ca="1" t="shared" si="2" ref="I12:I63">IF(AND(CELL("type",H12)="v",H12&gt;0),C12/H12,"")</f>
        <v>4.184801746905801</v>
      </c>
    </row>
    <row r="13" spans="1:9" ht="12.75">
      <c r="A13" s="14">
        <v>3</v>
      </c>
      <c r="B13" s="15" t="s">
        <v>117</v>
      </c>
      <c r="C13" s="15">
        <f>'- 30 -'!E13</f>
        <v>567000</v>
      </c>
      <c r="D13" s="15">
        <v>660</v>
      </c>
      <c r="E13" s="15">
        <f ca="1" t="shared" si="0"/>
        <v>859.0909090909091</v>
      </c>
      <c r="F13" s="15">
        <v>184000</v>
      </c>
      <c r="G13" s="366">
        <f ca="1" t="shared" si="1"/>
        <v>3.0815217391304346</v>
      </c>
      <c r="H13" s="15">
        <v>117000</v>
      </c>
      <c r="I13" s="366">
        <f ca="1" t="shared" si="2"/>
        <v>4.846153846153846</v>
      </c>
    </row>
    <row r="14" spans="1:9" ht="12.75">
      <c r="A14" s="16">
        <v>4</v>
      </c>
      <c r="B14" s="17" t="s">
        <v>118</v>
      </c>
      <c r="C14" s="17">
        <f>'- 30 -'!E14</f>
        <v>420045</v>
      </c>
      <c r="D14" s="17">
        <v>1000</v>
      </c>
      <c r="E14" s="17">
        <f ca="1" t="shared" si="0"/>
        <v>420.045</v>
      </c>
      <c r="F14" s="17">
        <v>115000</v>
      </c>
      <c r="G14" s="367">
        <f ca="1" t="shared" si="1"/>
        <v>3.652565217391304</v>
      </c>
      <c r="H14" s="17">
        <v>70000</v>
      </c>
      <c r="I14" s="367">
        <f ca="1" t="shared" si="2"/>
        <v>6.000642857142857</v>
      </c>
    </row>
    <row r="15" spans="1:9" ht="12.75">
      <c r="A15" s="14">
        <v>5</v>
      </c>
      <c r="B15" s="15" t="s">
        <v>119</v>
      </c>
      <c r="C15" s="15">
        <f>'- 30 -'!E15</f>
        <v>657426</v>
      </c>
      <c r="D15" s="15">
        <v>675</v>
      </c>
      <c r="E15" s="15">
        <f ca="1" t="shared" si="0"/>
        <v>973.9644444444444</v>
      </c>
      <c r="F15" s="15">
        <v>171600</v>
      </c>
      <c r="G15" s="366">
        <f ca="1" t="shared" si="1"/>
        <v>3.831153846153846</v>
      </c>
      <c r="H15" s="15">
        <v>109600</v>
      </c>
      <c r="I15" s="366">
        <f ca="1" t="shared" si="2"/>
        <v>5.998412408759124</v>
      </c>
    </row>
    <row r="16" spans="1:9" ht="12.75">
      <c r="A16" s="16">
        <v>6</v>
      </c>
      <c r="B16" s="17" t="s">
        <v>120</v>
      </c>
      <c r="C16" s="17">
        <f>'- 30 -'!E16</f>
        <v>780862</v>
      </c>
      <c r="D16" s="17">
        <v>1168</v>
      </c>
      <c r="E16" s="17">
        <f ca="1" t="shared" si="0"/>
        <v>668.5462328767123</v>
      </c>
      <c r="F16" s="17">
        <v>280000</v>
      </c>
      <c r="G16" s="367">
        <f ca="1" t="shared" si="1"/>
        <v>2.788792857142857</v>
      </c>
      <c r="H16" s="17">
        <v>184080</v>
      </c>
      <c r="I16" s="367">
        <f ca="1" t="shared" si="2"/>
        <v>4.24197088222512</v>
      </c>
    </row>
    <row r="17" spans="1:9" ht="12.75">
      <c r="A17" s="14">
        <v>9</v>
      </c>
      <c r="B17" s="15" t="s">
        <v>121</v>
      </c>
      <c r="C17" s="15">
        <f>'- 30 -'!E17</f>
        <v>1657350</v>
      </c>
      <c r="D17" s="15">
        <v>2800</v>
      </c>
      <c r="E17" s="15">
        <f ca="1" t="shared" si="0"/>
        <v>591.9107142857143</v>
      </c>
      <c r="F17" s="15">
        <v>731250</v>
      </c>
      <c r="G17" s="366">
        <f ca="1" t="shared" si="1"/>
        <v>2.2664615384615385</v>
      </c>
      <c r="H17" s="15">
        <v>408525</v>
      </c>
      <c r="I17" s="366">
        <f ca="1" t="shared" si="2"/>
        <v>4.056912061685331</v>
      </c>
    </row>
    <row r="18" spans="1:9" ht="12.75">
      <c r="A18" s="16">
        <v>10</v>
      </c>
      <c r="B18" s="17" t="s">
        <v>122</v>
      </c>
      <c r="C18" s="17">
        <f>'- 30 -'!E18</f>
        <v>1382040</v>
      </c>
      <c r="D18" s="17">
        <v>3034</v>
      </c>
      <c r="E18" s="17">
        <f ca="1" t="shared" si="0"/>
        <v>455.5174686882004</v>
      </c>
      <c r="F18" s="17">
        <v>507200</v>
      </c>
      <c r="G18" s="367">
        <f ca="1" t="shared" si="1"/>
        <v>2.7248422712933755</v>
      </c>
      <c r="H18" s="17">
        <v>380200</v>
      </c>
      <c r="I18" s="367">
        <f ca="1" t="shared" si="2"/>
        <v>3.6350341925302474</v>
      </c>
    </row>
    <row r="19" spans="1:9" ht="12.75">
      <c r="A19" s="14">
        <v>11</v>
      </c>
      <c r="B19" s="15" t="s">
        <v>123</v>
      </c>
      <c r="C19" s="15">
        <f>'- 30 -'!E19</f>
        <v>1556420</v>
      </c>
      <c r="D19" s="15">
        <v>3013</v>
      </c>
      <c r="E19" s="15">
        <f ca="1" t="shared" si="0"/>
        <v>516.5682044473946</v>
      </c>
      <c r="F19" s="15">
        <v>1038147</v>
      </c>
      <c r="G19" s="366">
        <f ca="1" t="shared" si="1"/>
        <v>1.4992289145949467</v>
      </c>
      <c r="H19" s="15">
        <v>688045</v>
      </c>
      <c r="I19" s="366">
        <f ca="1" t="shared" si="2"/>
        <v>2.262090415597817</v>
      </c>
    </row>
    <row r="20" spans="1:9" ht="12.75">
      <c r="A20" s="16">
        <v>12</v>
      </c>
      <c r="B20" s="17" t="s">
        <v>124</v>
      </c>
      <c r="C20" s="17">
        <f>'- 30 -'!E20</f>
        <v>1868005</v>
      </c>
      <c r="D20" s="17">
        <v>2618</v>
      </c>
      <c r="E20" s="17">
        <f ca="1" t="shared" si="0"/>
        <v>713.5236822001527</v>
      </c>
      <c r="F20" s="17">
        <v>1140800</v>
      </c>
      <c r="G20" s="367">
        <f ca="1" t="shared" si="1"/>
        <v>1.6374517882187938</v>
      </c>
      <c r="H20" s="17">
        <v>743730</v>
      </c>
      <c r="I20" s="367">
        <f ca="1" t="shared" si="2"/>
        <v>2.5116709020746777</v>
      </c>
    </row>
    <row r="21" spans="1:9" ht="12.75">
      <c r="A21" s="14">
        <v>13</v>
      </c>
      <c r="B21" s="15" t="s">
        <v>125</v>
      </c>
      <c r="C21" s="15">
        <f>'- 30 -'!E21</f>
        <v>1389503</v>
      </c>
      <c r="D21" s="15">
        <v>1803</v>
      </c>
      <c r="E21" s="15">
        <f ca="1" t="shared" si="0"/>
        <v>770.6616749861342</v>
      </c>
      <c r="F21" s="15">
        <v>1345000</v>
      </c>
      <c r="G21" s="366">
        <f ca="1" t="shared" si="1"/>
        <v>1.0330877323420073</v>
      </c>
      <c r="H21" s="15">
        <v>905920</v>
      </c>
      <c r="I21" s="366">
        <f ca="1" t="shared" si="2"/>
        <v>1.5338032055810669</v>
      </c>
    </row>
    <row r="22" spans="1:9" ht="12.75">
      <c r="A22" s="16">
        <v>14</v>
      </c>
      <c r="B22" s="17" t="s">
        <v>126</v>
      </c>
      <c r="C22" s="17">
        <f>'- 30 -'!E22</f>
        <v>1611735</v>
      </c>
      <c r="D22" s="17">
        <v>2136</v>
      </c>
      <c r="E22" s="17">
        <f ca="1" t="shared" si="0"/>
        <v>754.5575842696629</v>
      </c>
      <c r="F22" s="17">
        <v>1144180</v>
      </c>
      <c r="G22" s="367">
        <f ca="1" t="shared" si="1"/>
        <v>1.408637626946809</v>
      </c>
      <c r="H22" s="17">
        <v>758480</v>
      </c>
      <c r="I22" s="367">
        <f ca="1" t="shared" si="2"/>
        <v>2.1249538550785783</v>
      </c>
    </row>
    <row r="23" spans="1:9" ht="12.75">
      <c r="A23" s="14">
        <v>15</v>
      </c>
      <c r="B23" s="15" t="s">
        <v>127</v>
      </c>
      <c r="C23" s="15">
        <f>'- 30 -'!E23</f>
        <v>1772288</v>
      </c>
      <c r="D23" s="15">
        <v>4090</v>
      </c>
      <c r="E23" s="15">
        <f ca="1" t="shared" si="0"/>
        <v>433.32224938875305</v>
      </c>
      <c r="F23" s="15">
        <v>1139100</v>
      </c>
      <c r="G23" s="366">
        <f ca="1" t="shared" si="1"/>
        <v>1.5558669124747608</v>
      </c>
      <c r="H23" s="15">
        <v>738340</v>
      </c>
      <c r="I23" s="366">
        <f ca="1" t="shared" si="2"/>
        <v>2.40036839396484</v>
      </c>
    </row>
    <row r="24" spans="1:9" ht="12.75">
      <c r="A24" s="16">
        <v>16</v>
      </c>
      <c r="B24" s="17" t="s">
        <v>128</v>
      </c>
      <c r="C24" s="17">
        <f>'- 30 -'!E24</f>
        <v>584628</v>
      </c>
      <c r="D24" s="17">
        <v>523</v>
      </c>
      <c r="E24" s="17">
        <f ca="1" t="shared" si="0"/>
        <v>1117.8355640535374</v>
      </c>
      <c r="F24" s="17">
        <v>629000</v>
      </c>
      <c r="G24" s="367">
        <f ca="1" t="shared" si="1"/>
        <v>0.929456279809221</v>
      </c>
      <c r="H24" s="17">
        <v>410020</v>
      </c>
      <c r="I24" s="367">
        <f ca="1" t="shared" si="2"/>
        <v>1.4258523974440271</v>
      </c>
    </row>
    <row r="25" spans="1:9" ht="12.75">
      <c r="A25" s="14">
        <v>17</v>
      </c>
      <c r="B25" s="15" t="s">
        <v>129</v>
      </c>
      <c r="C25" s="15">
        <f>'- 30 -'!E25</f>
        <v>391750</v>
      </c>
      <c r="D25" s="15">
        <v>429</v>
      </c>
      <c r="E25" s="15">
        <f ca="1" t="shared" si="0"/>
        <v>913.1701631701632</v>
      </c>
      <c r="F25" s="15">
        <v>426483</v>
      </c>
      <c r="G25" s="366">
        <f ca="1" t="shared" si="1"/>
        <v>0.918559473648422</v>
      </c>
      <c r="H25" s="15">
        <v>302474</v>
      </c>
      <c r="I25" s="366">
        <f ca="1" t="shared" si="2"/>
        <v>1.2951526412187493</v>
      </c>
    </row>
    <row r="26" spans="1:9" ht="12.75">
      <c r="A26" s="16">
        <v>18</v>
      </c>
      <c r="B26" s="17" t="s">
        <v>130</v>
      </c>
      <c r="C26" s="17">
        <f>'- 30 -'!E26</f>
        <v>613264.34</v>
      </c>
      <c r="D26" s="17">
        <v>812</v>
      </c>
      <c r="E26" s="17">
        <f ca="1" t="shared" si="0"/>
        <v>755.2516502463054</v>
      </c>
      <c r="F26" s="17">
        <v>425000</v>
      </c>
      <c r="G26" s="367">
        <f ca="1" t="shared" si="1"/>
        <v>1.4429749176470588</v>
      </c>
      <c r="H26" s="17">
        <v>378000</v>
      </c>
      <c r="I26" s="367">
        <f ca="1" t="shared" si="2"/>
        <v>1.6223924338624338</v>
      </c>
    </row>
    <row r="27" spans="1:9" ht="12.75">
      <c r="A27" s="14">
        <v>19</v>
      </c>
      <c r="B27" s="15" t="s">
        <v>131</v>
      </c>
      <c r="C27" s="15">
        <f>'- 30 -'!E27</f>
        <v>1069000</v>
      </c>
      <c r="D27" s="15">
        <v>1157</v>
      </c>
      <c r="E27" s="15">
        <f ca="1" t="shared" si="0"/>
        <v>923.9412273120138</v>
      </c>
      <c r="F27" s="15">
        <v>882000</v>
      </c>
      <c r="G27" s="366">
        <f ca="1" t="shared" si="1"/>
        <v>1.2120181405895691</v>
      </c>
      <c r="H27" s="15">
        <v>554000</v>
      </c>
      <c r="I27" s="366">
        <f ca="1" t="shared" si="2"/>
        <v>1.9296028880866427</v>
      </c>
    </row>
    <row r="28" spans="1:9" ht="12.75">
      <c r="A28" s="16">
        <v>20</v>
      </c>
      <c r="B28" s="17" t="s">
        <v>132</v>
      </c>
      <c r="C28" s="17">
        <f>'- 30 -'!E28</f>
        <v>579150</v>
      </c>
      <c r="D28" s="17">
        <v>614</v>
      </c>
      <c r="E28" s="17">
        <f ca="1" t="shared" si="0"/>
        <v>943.2410423452769</v>
      </c>
      <c r="F28" s="17">
        <v>420941</v>
      </c>
      <c r="G28" s="367">
        <f ca="1" t="shared" si="1"/>
        <v>1.3758460211763643</v>
      </c>
      <c r="H28" s="17">
        <v>370637</v>
      </c>
      <c r="I28" s="367">
        <f ca="1" t="shared" si="2"/>
        <v>1.5625800985870273</v>
      </c>
    </row>
    <row r="29" spans="1:9" ht="12.75">
      <c r="A29" s="14">
        <v>21</v>
      </c>
      <c r="B29" s="15" t="s">
        <v>133</v>
      </c>
      <c r="C29" s="15">
        <f>'- 30 -'!E29</f>
        <v>1514000</v>
      </c>
      <c r="D29" s="15">
        <v>1971</v>
      </c>
      <c r="E29" s="15">
        <f ca="1" t="shared" si="0"/>
        <v>768.1380010147134</v>
      </c>
      <c r="F29" s="15">
        <v>1175000</v>
      </c>
      <c r="G29" s="366">
        <f ca="1" t="shared" si="1"/>
        <v>1.2885106382978724</v>
      </c>
      <c r="H29" s="15">
        <v>702000</v>
      </c>
      <c r="I29" s="366">
        <f ca="1" t="shared" si="2"/>
        <v>2.156695156695157</v>
      </c>
    </row>
    <row r="30" spans="1:9" ht="12.75">
      <c r="A30" s="16">
        <v>22</v>
      </c>
      <c r="B30" s="17" t="s">
        <v>134</v>
      </c>
      <c r="C30" s="17">
        <f>'- 30 -'!E30</f>
        <v>877400</v>
      </c>
      <c r="D30" s="17">
        <v>1033</v>
      </c>
      <c r="E30" s="17">
        <f ca="1" t="shared" si="0"/>
        <v>849.3707647628268</v>
      </c>
      <c r="F30" s="17">
        <v>680000</v>
      </c>
      <c r="G30" s="367">
        <f ca="1" t="shared" si="1"/>
        <v>1.2902941176470588</v>
      </c>
      <c r="H30" s="17">
        <v>512620</v>
      </c>
      <c r="I30" s="367">
        <f ca="1" t="shared" si="2"/>
        <v>1.7115992353010028</v>
      </c>
    </row>
    <row r="31" spans="1:9" ht="12.75">
      <c r="A31" s="14">
        <v>23</v>
      </c>
      <c r="B31" s="15" t="s">
        <v>135</v>
      </c>
      <c r="C31" s="15">
        <f>'- 30 -'!E31</f>
        <v>1146700</v>
      </c>
      <c r="D31" s="15">
        <v>1000</v>
      </c>
      <c r="E31" s="15">
        <f ca="1" t="shared" si="0"/>
        <v>1146.7</v>
      </c>
      <c r="F31" s="15">
        <v>1200000</v>
      </c>
      <c r="G31" s="366">
        <f ca="1" t="shared" si="1"/>
        <v>0.9555833333333333</v>
      </c>
      <c r="H31" s="15">
        <v>673455</v>
      </c>
      <c r="I31" s="366">
        <f ca="1" t="shared" si="2"/>
        <v>1.702712133698614</v>
      </c>
    </row>
    <row r="32" spans="1:9" ht="12.75">
      <c r="A32" s="16">
        <v>24</v>
      </c>
      <c r="B32" s="17" t="s">
        <v>136</v>
      </c>
      <c r="C32" s="17">
        <f>'- 30 -'!E32</f>
        <v>734155</v>
      </c>
      <c r="D32" s="17">
        <v>990</v>
      </c>
      <c r="E32" s="17">
        <f ca="1" t="shared" si="0"/>
        <v>741.570707070707</v>
      </c>
      <c r="F32" s="17">
        <v>720000</v>
      </c>
      <c r="G32" s="367">
        <f ca="1" t="shared" si="1"/>
        <v>1.0196597222222221</v>
      </c>
      <c r="H32" s="17">
        <v>445000</v>
      </c>
      <c r="I32" s="367">
        <f ca="1" t="shared" si="2"/>
        <v>1.6497865168539325</v>
      </c>
    </row>
    <row r="33" spans="1:9" ht="12.75">
      <c r="A33" s="14">
        <v>25</v>
      </c>
      <c r="B33" s="15" t="s">
        <v>137</v>
      </c>
      <c r="C33" s="15">
        <f>'- 30 -'!E33</f>
        <v>881200</v>
      </c>
      <c r="D33" s="15">
        <v>897</v>
      </c>
      <c r="E33" s="15">
        <f ca="1" t="shared" si="0"/>
        <v>982.3857302118172</v>
      </c>
      <c r="F33" s="15">
        <v>810000</v>
      </c>
      <c r="G33" s="366">
        <f ca="1" t="shared" si="1"/>
        <v>1.0879012345679013</v>
      </c>
      <c r="H33" s="15">
        <v>529340</v>
      </c>
      <c r="I33" s="366">
        <f ca="1" t="shared" si="2"/>
        <v>1.664714550194582</v>
      </c>
    </row>
    <row r="34" spans="1:9" ht="12.75">
      <c r="A34" s="16">
        <v>26</v>
      </c>
      <c r="B34" s="17" t="s">
        <v>138</v>
      </c>
      <c r="C34" s="17">
        <f>'- 30 -'!E34</f>
        <v>636900</v>
      </c>
      <c r="D34" s="17">
        <v>1482</v>
      </c>
      <c r="E34" s="17">
        <f ca="1" t="shared" si="0"/>
        <v>429.7570850202429</v>
      </c>
      <c r="F34" s="17">
        <v>455000</v>
      </c>
      <c r="G34" s="367">
        <f ca="1" t="shared" si="1"/>
        <v>1.3997802197802198</v>
      </c>
      <c r="H34" s="17">
        <v>290000</v>
      </c>
      <c r="I34" s="367">
        <f ca="1" t="shared" si="2"/>
        <v>2.196206896551724</v>
      </c>
    </row>
    <row r="35" spans="1:9" ht="12.75">
      <c r="A35" s="14">
        <v>28</v>
      </c>
      <c r="B35" s="15" t="s">
        <v>139</v>
      </c>
      <c r="C35" s="15">
        <f>'- 30 -'!E35</f>
        <v>462127</v>
      </c>
      <c r="D35" s="15">
        <v>477</v>
      </c>
      <c r="E35" s="15">
        <f ca="1" t="shared" si="0"/>
        <v>968.8197064989517</v>
      </c>
      <c r="F35" s="15">
        <v>512430</v>
      </c>
      <c r="G35" s="366">
        <f ca="1" t="shared" si="1"/>
        <v>0.9018343968932342</v>
      </c>
      <c r="H35" s="15">
        <v>309966</v>
      </c>
      <c r="I35" s="366">
        <f ca="1" t="shared" si="2"/>
        <v>1.4908957756657182</v>
      </c>
    </row>
    <row r="36" spans="1:9" ht="12.75">
      <c r="A36" s="16">
        <v>30</v>
      </c>
      <c r="B36" s="17" t="s">
        <v>140</v>
      </c>
      <c r="C36" s="17">
        <f>'- 30 -'!E36</f>
        <v>874178</v>
      </c>
      <c r="D36" s="17">
        <v>837</v>
      </c>
      <c r="E36" s="17">
        <f ca="1" t="shared" si="0"/>
        <v>1044.4181600955794</v>
      </c>
      <c r="F36" s="17">
        <v>971584</v>
      </c>
      <c r="G36" s="367">
        <f ca="1" t="shared" si="1"/>
        <v>0.8997451584217113</v>
      </c>
      <c r="H36" s="17">
        <v>616284</v>
      </c>
      <c r="I36" s="367">
        <f ca="1" t="shared" si="2"/>
        <v>1.4184661617046685</v>
      </c>
    </row>
    <row r="37" spans="1:9" ht="12.75">
      <c r="A37" s="14">
        <v>31</v>
      </c>
      <c r="B37" s="15" t="s">
        <v>141</v>
      </c>
      <c r="C37" s="15">
        <f>'- 30 -'!E37</f>
        <v>684523</v>
      </c>
      <c r="D37" s="15">
        <v>900</v>
      </c>
      <c r="E37" s="15">
        <f ca="1" t="shared" si="0"/>
        <v>760.5811111111111</v>
      </c>
      <c r="F37" s="15">
        <v>725000</v>
      </c>
      <c r="G37" s="366">
        <f ca="1" t="shared" si="1"/>
        <v>0.9441696551724138</v>
      </c>
      <c r="H37" s="15">
        <v>500000</v>
      </c>
      <c r="I37" s="366">
        <f ca="1" t="shared" si="2"/>
        <v>1.369046</v>
      </c>
    </row>
    <row r="38" spans="1:9" ht="12.75">
      <c r="A38" s="16">
        <v>32</v>
      </c>
      <c r="B38" s="17" t="s">
        <v>142</v>
      </c>
      <c r="C38" s="17">
        <f>'- 30 -'!E38</f>
        <v>655543</v>
      </c>
      <c r="D38" s="17">
        <v>558</v>
      </c>
      <c r="E38" s="17">
        <f ca="1" t="shared" si="0"/>
        <v>1174.8082437275987</v>
      </c>
      <c r="F38" s="17">
        <v>730000</v>
      </c>
      <c r="G38" s="367">
        <f ca="1" t="shared" si="1"/>
        <v>0.8980041095890411</v>
      </c>
      <c r="H38" s="17">
        <v>557642</v>
      </c>
      <c r="I38" s="367">
        <f ca="1" t="shared" si="2"/>
        <v>1.1755624576341093</v>
      </c>
    </row>
    <row r="39" spans="1:9" ht="12.75">
      <c r="A39" s="14">
        <v>33</v>
      </c>
      <c r="B39" s="15" t="s">
        <v>143</v>
      </c>
      <c r="C39" s="15">
        <f>'- 30 -'!E39</f>
        <v>558927</v>
      </c>
      <c r="D39" s="15">
        <v>896</v>
      </c>
      <c r="E39" s="15">
        <f ca="1" t="shared" si="0"/>
        <v>623.8024553571429</v>
      </c>
      <c r="F39" s="15">
        <v>446880</v>
      </c>
      <c r="G39" s="366">
        <f ca="1" t="shared" si="1"/>
        <v>1.2507317400644469</v>
      </c>
      <c r="H39" s="15">
        <v>392520</v>
      </c>
      <c r="I39" s="366">
        <f ca="1" t="shared" si="2"/>
        <v>1.4239452766738</v>
      </c>
    </row>
    <row r="40" spans="1:9" ht="12.75">
      <c r="A40" s="16">
        <v>34</v>
      </c>
      <c r="B40" s="17" t="s">
        <v>144</v>
      </c>
      <c r="C40" s="17">
        <f>'- 30 -'!E40</f>
        <v>552250</v>
      </c>
      <c r="D40" s="17">
        <v>540</v>
      </c>
      <c r="E40" s="17">
        <f ca="1" t="shared" si="0"/>
        <v>1022.6851851851852</v>
      </c>
      <c r="F40" s="17">
        <v>438000</v>
      </c>
      <c r="G40" s="367">
        <f ca="1" t="shared" si="1"/>
        <v>1.2608447488584476</v>
      </c>
      <c r="H40" s="17">
        <v>405000</v>
      </c>
      <c r="I40" s="367">
        <f ca="1" t="shared" si="2"/>
        <v>1.3635802469135803</v>
      </c>
    </row>
    <row r="41" spans="1:9" ht="12.75">
      <c r="A41" s="14">
        <v>35</v>
      </c>
      <c r="B41" s="15" t="s">
        <v>145</v>
      </c>
      <c r="C41" s="15">
        <f>'- 30 -'!E41</f>
        <v>1055437</v>
      </c>
      <c r="D41" s="15">
        <v>1600</v>
      </c>
      <c r="E41" s="15">
        <f ca="1" t="shared" si="0"/>
        <v>659.648125</v>
      </c>
      <c r="F41" s="15">
        <v>888113</v>
      </c>
      <c r="G41" s="366">
        <f ca="1" t="shared" si="1"/>
        <v>1.1884039531005626</v>
      </c>
      <c r="H41" s="15">
        <v>702280</v>
      </c>
      <c r="I41" s="366">
        <f ca="1" t="shared" si="2"/>
        <v>1.5028720738167112</v>
      </c>
    </row>
    <row r="42" spans="1:9" ht="12.75">
      <c r="A42" s="16">
        <v>36</v>
      </c>
      <c r="B42" s="17" t="s">
        <v>146</v>
      </c>
      <c r="C42" s="17">
        <f>'- 30 -'!E42</f>
        <v>749497</v>
      </c>
      <c r="D42" s="17">
        <v>569</v>
      </c>
      <c r="E42" s="17">
        <f ca="1" t="shared" si="0"/>
        <v>1317.2179261862918</v>
      </c>
      <c r="F42" s="17">
        <v>602130</v>
      </c>
      <c r="G42" s="367">
        <f ca="1" t="shared" si="1"/>
        <v>1.2447428296215104</v>
      </c>
      <c r="H42" s="17">
        <v>537130</v>
      </c>
      <c r="I42" s="367">
        <f ca="1" t="shared" si="2"/>
        <v>1.395373559473498</v>
      </c>
    </row>
    <row r="43" spans="1:9" ht="12.75">
      <c r="A43" s="14">
        <v>37</v>
      </c>
      <c r="B43" s="15" t="s">
        <v>147</v>
      </c>
      <c r="C43" s="15">
        <f>'- 30 -'!E43</f>
        <v>775498</v>
      </c>
      <c r="D43" s="15">
        <v>556</v>
      </c>
      <c r="E43" s="15">
        <f ca="1" t="shared" si="0"/>
        <v>1394.7805755395684</v>
      </c>
      <c r="F43" s="15">
        <v>674500</v>
      </c>
      <c r="G43" s="366">
        <f ca="1" t="shared" si="1"/>
        <v>1.1497375833951076</v>
      </c>
      <c r="H43" s="15">
        <v>461700</v>
      </c>
      <c r="I43" s="366">
        <f ca="1" t="shared" si="2"/>
        <v>1.6796577864414122</v>
      </c>
    </row>
    <row r="44" spans="1:9" ht="12.75">
      <c r="A44" s="16">
        <v>38</v>
      </c>
      <c r="B44" s="17" t="s">
        <v>148</v>
      </c>
      <c r="C44" s="17">
        <f>'- 30 -'!E44</f>
        <v>903215</v>
      </c>
      <c r="D44" s="17">
        <v>671</v>
      </c>
      <c r="E44" s="17">
        <f ca="1" t="shared" si="0"/>
        <v>1346.0730253353204</v>
      </c>
      <c r="F44" s="17">
        <v>946580</v>
      </c>
      <c r="G44" s="367">
        <f ca="1" t="shared" si="1"/>
        <v>0.9541877073253185</v>
      </c>
      <c r="H44" s="17">
        <v>618450</v>
      </c>
      <c r="I44" s="367">
        <f ca="1" t="shared" si="2"/>
        <v>1.460449510873959</v>
      </c>
    </row>
    <row r="45" spans="1:9" ht="12.75">
      <c r="A45" s="14">
        <v>39</v>
      </c>
      <c r="B45" s="15" t="s">
        <v>149</v>
      </c>
      <c r="C45" s="15">
        <f>'- 30 -'!E45</f>
        <v>1048650</v>
      </c>
      <c r="D45" s="15">
        <v>1200</v>
      </c>
      <c r="E45" s="15">
        <f ca="1" t="shared" si="0"/>
        <v>873.875</v>
      </c>
      <c r="F45" s="15">
        <v>1130200</v>
      </c>
      <c r="G45" s="366">
        <f ca="1" t="shared" si="1"/>
        <v>0.9278446292691559</v>
      </c>
      <c r="H45" s="15">
        <v>735000</v>
      </c>
      <c r="I45" s="366">
        <f ca="1" t="shared" si="2"/>
        <v>1.426734693877551</v>
      </c>
    </row>
    <row r="46" spans="1:9" ht="12.75">
      <c r="A46" s="16">
        <v>40</v>
      </c>
      <c r="B46" s="17" t="s">
        <v>150</v>
      </c>
      <c r="C46" s="17">
        <f>'- 30 -'!E46</f>
        <v>1148800</v>
      </c>
      <c r="D46" s="17">
        <v>1619</v>
      </c>
      <c r="E46" s="17">
        <f ca="1" t="shared" si="0"/>
        <v>709.573810994441</v>
      </c>
      <c r="F46" s="17">
        <v>799680</v>
      </c>
      <c r="G46" s="367">
        <f ca="1" t="shared" si="1"/>
        <v>1.4365746298519408</v>
      </c>
      <c r="H46" s="17">
        <v>458444</v>
      </c>
      <c r="I46" s="367">
        <f ca="1" t="shared" si="2"/>
        <v>2.5058676741325003</v>
      </c>
    </row>
    <row r="47" spans="1:9" ht="12.75">
      <c r="A47" s="14">
        <v>41</v>
      </c>
      <c r="B47" s="15" t="s">
        <v>151</v>
      </c>
      <c r="C47" s="15">
        <f>'- 30 -'!E47</f>
        <v>983310</v>
      </c>
      <c r="D47" s="15">
        <v>833</v>
      </c>
      <c r="E47" s="15">
        <f ca="1" t="shared" si="0"/>
        <v>1180.4441776710685</v>
      </c>
      <c r="F47" s="15">
        <v>1100000</v>
      </c>
      <c r="G47" s="366">
        <f ca="1" t="shared" si="1"/>
        <v>0.8939181818181818</v>
      </c>
      <c r="H47" s="15">
        <v>765510</v>
      </c>
      <c r="I47" s="366">
        <f ca="1" t="shared" si="2"/>
        <v>1.2845162048830192</v>
      </c>
    </row>
    <row r="48" spans="1:9" ht="12.75">
      <c r="A48" s="16">
        <v>42</v>
      </c>
      <c r="B48" s="17" t="s">
        <v>152</v>
      </c>
      <c r="C48" s="17">
        <f>'- 30 -'!E48</f>
        <v>677132</v>
      </c>
      <c r="D48" s="17">
        <v>510</v>
      </c>
      <c r="E48" s="17">
        <f ca="1" t="shared" si="0"/>
        <v>1327.7098039215687</v>
      </c>
      <c r="F48" s="17">
        <v>725000</v>
      </c>
      <c r="G48" s="367">
        <f ca="1" t="shared" si="1"/>
        <v>0.9339751724137931</v>
      </c>
      <c r="H48" s="17">
        <v>490618</v>
      </c>
      <c r="I48" s="367">
        <f ca="1" t="shared" si="2"/>
        <v>1.3801613475249583</v>
      </c>
    </row>
    <row r="49" spans="1:9" ht="12.75">
      <c r="A49" s="14">
        <v>43</v>
      </c>
      <c r="B49" s="15" t="s">
        <v>153</v>
      </c>
      <c r="C49" s="15">
        <f>'- 30 -'!E49</f>
        <v>574900</v>
      </c>
      <c r="D49" s="15">
        <v>454</v>
      </c>
      <c r="E49" s="15">
        <f ca="1" t="shared" si="0"/>
        <v>1266.2995594713657</v>
      </c>
      <c r="F49" s="15">
        <v>600000</v>
      </c>
      <c r="G49" s="366">
        <f ca="1" t="shared" si="1"/>
        <v>0.9581666666666667</v>
      </c>
      <c r="H49" s="15">
        <v>403750</v>
      </c>
      <c r="I49" s="366">
        <f ca="1" t="shared" si="2"/>
        <v>1.4239009287925697</v>
      </c>
    </row>
    <row r="50" spans="1:9" ht="12.75">
      <c r="A50" s="16">
        <v>44</v>
      </c>
      <c r="B50" s="17" t="s">
        <v>154</v>
      </c>
      <c r="C50" s="17">
        <f>'- 30 -'!E50</f>
        <v>718779</v>
      </c>
      <c r="D50" s="17">
        <v>684</v>
      </c>
      <c r="E50" s="17">
        <f ca="1" t="shared" si="0"/>
        <v>1050.8464912280701</v>
      </c>
      <c r="F50" s="17">
        <v>794101</v>
      </c>
      <c r="G50" s="367">
        <f ca="1" t="shared" si="1"/>
        <v>0.9051480856969075</v>
      </c>
      <c r="H50" s="17">
        <v>515660</v>
      </c>
      <c r="I50" s="367">
        <f ca="1" t="shared" si="2"/>
        <v>1.3939010200519721</v>
      </c>
    </row>
    <row r="51" spans="1:9" ht="12.75">
      <c r="A51" s="14">
        <v>45</v>
      </c>
      <c r="B51" s="15" t="s">
        <v>155</v>
      </c>
      <c r="C51" s="15">
        <f>'- 30 -'!E51</f>
        <v>371360</v>
      </c>
      <c r="D51" s="15">
        <v>494</v>
      </c>
      <c r="E51" s="15">
        <f ca="1" t="shared" si="0"/>
        <v>751.7408906882591</v>
      </c>
      <c r="F51" s="15">
        <v>256304</v>
      </c>
      <c r="G51" s="366">
        <f ca="1" t="shared" si="1"/>
        <v>1.448904425994132</v>
      </c>
      <c r="H51" s="15">
        <v>151312</v>
      </c>
      <c r="I51" s="366">
        <f ca="1" t="shared" si="2"/>
        <v>2.4542666807655706</v>
      </c>
    </row>
    <row r="52" spans="1:9" ht="12.75">
      <c r="A52" s="16">
        <v>46</v>
      </c>
      <c r="B52" s="17" t="s">
        <v>156</v>
      </c>
      <c r="C52" s="17">
        <f>'- 30 -'!E52</f>
        <v>134076</v>
      </c>
      <c r="D52" s="411" t="s">
        <v>344</v>
      </c>
      <c r="E52" s="17">
        <f ca="1" t="shared" si="0"/>
      </c>
      <c r="F52" s="411" t="s">
        <v>344</v>
      </c>
      <c r="G52" s="367">
        <f ca="1" t="shared" si="1"/>
      </c>
      <c r="H52" s="411" t="s">
        <v>344</v>
      </c>
      <c r="I52" s="367">
        <f ca="1" t="shared" si="2"/>
      </c>
    </row>
    <row r="53" spans="1:9" ht="12.75">
      <c r="A53" s="14">
        <v>47</v>
      </c>
      <c r="B53" s="15" t="s">
        <v>157</v>
      </c>
      <c r="C53" s="15">
        <f>'- 30 -'!E53</f>
        <v>339667</v>
      </c>
      <c r="D53" s="15">
        <v>738</v>
      </c>
      <c r="E53" s="15">
        <f ca="1" t="shared" si="0"/>
        <v>460.25338753387535</v>
      </c>
      <c r="F53" s="15">
        <v>249853</v>
      </c>
      <c r="G53" s="366">
        <f ca="1" t="shared" si="1"/>
        <v>1.3594673668116852</v>
      </c>
      <c r="H53" s="15">
        <v>161927</v>
      </c>
      <c r="I53" s="366">
        <f ca="1" t="shared" si="2"/>
        <v>2.0976551161943346</v>
      </c>
    </row>
    <row r="54" spans="1:9" ht="12.75">
      <c r="A54" s="16">
        <v>48</v>
      </c>
      <c r="B54" s="17" t="s">
        <v>158</v>
      </c>
      <c r="C54" s="17">
        <f>'- 30 -'!E54</f>
        <v>2568417</v>
      </c>
      <c r="D54" s="17">
        <v>3039</v>
      </c>
      <c r="E54" s="17">
        <f ca="1" t="shared" si="0"/>
        <v>845.1520236920039</v>
      </c>
      <c r="F54" s="17">
        <v>852300</v>
      </c>
      <c r="G54" s="367">
        <f ca="1" t="shared" si="1"/>
        <v>3.0135128475888773</v>
      </c>
      <c r="H54" s="17">
        <v>576180</v>
      </c>
      <c r="I54" s="367">
        <f ca="1" t="shared" si="2"/>
        <v>4.457664271581797</v>
      </c>
    </row>
    <row r="55" spans="1:9" ht="12.75">
      <c r="A55" s="14">
        <v>49</v>
      </c>
      <c r="B55" s="15" t="s">
        <v>159</v>
      </c>
      <c r="C55" s="15">
        <f>'- 30 -'!E55</f>
        <v>2809371</v>
      </c>
      <c r="D55" s="15">
        <v>2794</v>
      </c>
      <c r="E55" s="15">
        <f ca="1" t="shared" si="0"/>
        <v>1005.5014316392269</v>
      </c>
      <c r="F55" s="15">
        <v>1650000</v>
      </c>
      <c r="G55" s="366">
        <f ca="1" t="shared" si="1"/>
        <v>1.702649090909091</v>
      </c>
      <c r="H55" s="15">
        <v>1191300</v>
      </c>
      <c r="I55" s="366">
        <f ca="1" t="shared" si="2"/>
        <v>2.358239738101234</v>
      </c>
    </row>
    <row r="56" spans="1:9" ht="12.75">
      <c r="A56" s="16">
        <v>50</v>
      </c>
      <c r="B56" s="17" t="s">
        <v>340</v>
      </c>
      <c r="C56" s="17">
        <f>'- 30 -'!E56</f>
        <v>1215500</v>
      </c>
      <c r="D56" s="17">
        <v>1056</v>
      </c>
      <c r="E56" s="17">
        <f ca="1" t="shared" si="0"/>
        <v>1151.0416666666667</v>
      </c>
      <c r="F56" s="17">
        <v>1350000</v>
      </c>
      <c r="G56" s="367">
        <f ca="1" t="shared" si="1"/>
        <v>0.9003703703703704</v>
      </c>
      <c r="H56" s="17">
        <v>905000</v>
      </c>
      <c r="I56" s="367">
        <f ca="1" t="shared" si="2"/>
        <v>1.3430939226519336</v>
      </c>
    </row>
    <row r="57" spans="1:9" ht="12.75">
      <c r="A57" s="14">
        <v>2264</v>
      </c>
      <c r="B57" s="15" t="s">
        <v>160</v>
      </c>
      <c r="C57" s="15">
        <f>'- 30 -'!E57</f>
        <v>45000</v>
      </c>
      <c r="D57" s="410" t="s">
        <v>344</v>
      </c>
      <c r="E57" s="410" t="s">
        <v>494</v>
      </c>
      <c r="F57" s="410" t="s">
        <v>344</v>
      </c>
      <c r="G57" s="380" t="s">
        <v>494</v>
      </c>
      <c r="H57" s="410" t="s">
        <v>344</v>
      </c>
      <c r="I57" s="366">
        <f ca="1" t="shared" si="2"/>
      </c>
    </row>
    <row r="58" spans="1:9" ht="12.75">
      <c r="A58" s="16">
        <v>2309</v>
      </c>
      <c r="B58" s="17" t="s">
        <v>161</v>
      </c>
      <c r="C58" s="17">
        <f>'- 30 -'!E58</f>
        <v>39980</v>
      </c>
      <c r="D58" s="17">
        <v>53</v>
      </c>
      <c r="E58" s="17">
        <f ca="1" t="shared" si="0"/>
        <v>754.3396226415094</v>
      </c>
      <c r="F58" s="17">
        <v>26884</v>
      </c>
      <c r="G58" s="367">
        <f ca="1" t="shared" si="1"/>
        <v>1.4871298913852105</v>
      </c>
      <c r="H58" s="17">
        <v>17326</v>
      </c>
      <c r="I58" s="367">
        <f ca="1" t="shared" si="2"/>
        <v>2.3075147177652084</v>
      </c>
    </row>
    <row r="59" spans="1:9" ht="12.75">
      <c r="A59" s="14">
        <v>2312</v>
      </c>
      <c r="B59" s="15" t="s">
        <v>162</v>
      </c>
      <c r="C59" s="15">
        <f>'- 30 -'!E59</f>
        <v>0</v>
      </c>
      <c r="D59" s="15">
        <v>0</v>
      </c>
      <c r="E59" s="15">
        <f ca="1" t="shared" si="0"/>
      </c>
      <c r="F59" s="15">
        <v>0</v>
      </c>
      <c r="G59" s="366">
        <f ca="1" t="shared" si="1"/>
      </c>
      <c r="H59" s="15">
        <v>0</v>
      </c>
      <c r="I59" s="366">
        <f ca="1" t="shared" si="2"/>
      </c>
    </row>
    <row r="60" spans="1:9" ht="12.75">
      <c r="A60" s="16">
        <v>2355</v>
      </c>
      <c r="B60" s="17" t="s">
        <v>163</v>
      </c>
      <c r="C60" s="17">
        <f>'- 30 -'!E60</f>
        <v>36735</v>
      </c>
      <c r="D60" s="411" t="s">
        <v>344</v>
      </c>
      <c r="E60" s="17">
        <f ca="1">IF(AND(CELL("type",D60)="v",D60&gt;0),C60/D60,"")</f>
      </c>
      <c r="F60" s="411" t="s">
        <v>344</v>
      </c>
      <c r="G60" s="367">
        <f ca="1">IF(AND(CELL("type",F60)="v",F60&gt;0),C60/F60,"")</f>
      </c>
      <c r="H60" s="411" t="s">
        <v>344</v>
      </c>
      <c r="I60" s="367">
        <f ca="1" t="shared" si="2"/>
      </c>
    </row>
    <row r="61" spans="1:9" ht="12.75">
      <c r="A61" s="14">
        <v>2439</v>
      </c>
      <c r="B61" s="15" t="s">
        <v>164</v>
      </c>
      <c r="C61" s="15">
        <f>'- 30 -'!E61</f>
        <v>136059</v>
      </c>
      <c r="D61" s="15">
        <v>149</v>
      </c>
      <c r="E61" s="15">
        <f ca="1" t="shared" si="0"/>
        <v>913.1476510067114</v>
      </c>
      <c r="F61" s="15">
        <v>145542</v>
      </c>
      <c r="G61" s="366">
        <f ca="1" t="shared" si="1"/>
        <v>0.9348435503153729</v>
      </c>
      <c r="H61" s="15">
        <v>78692</v>
      </c>
      <c r="I61" s="366">
        <f ca="1" t="shared" si="2"/>
        <v>1.729006760534743</v>
      </c>
    </row>
    <row r="62" spans="1:9" ht="12.75">
      <c r="A62" s="16">
        <v>2460</v>
      </c>
      <c r="B62" s="17" t="s">
        <v>165</v>
      </c>
      <c r="C62" s="17">
        <f>'- 30 -'!E62</f>
        <v>0</v>
      </c>
      <c r="D62" s="17">
        <v>0</v>
      </c>
      <c r="E62" s="17">
        <f ca="1" t="shared" si="0"/>
      </c>
      <c r="F62" s="17">
        <v>0</v>
      </c>
      <c r="G62" s="367">
        <f ca="1" t="shared" si="1"/>
      </c>
      <c r="H62" s="17">
        <v>0</v>
      </c>
      <c r="I62" s="367">
        <f ca="1" t="shared" si="2"/>
      </c>
    </row>
    <row r="63" spans="1:9" ht="12.75">
      <c r="A63" s="14">
        <v>3000</v>
      </c>
      <c r="B63" s="15" t="s">
        <v>363</v>
      </c>
      <c r="C63" s="15">
        <f>'- 30 -'!E63</f>
        <v>0</v>
      </c>
      <c r="D63" s="15">
        <v>0</v>
      </c>
      <c r="E63" s="15">
        <f ca="1" t="shared" si="0"/>
      </c>
      <c r="F63" s="15">
        <v>0</v>
      </c>
      <c r="G63" s="366">
        <f ca="1" t="shared" si="1"/>
      </c>
      <c r="H63" s="15">
        <v>0</v>
      </c>
      <c r="I63" s="366">
        <f ca="1" t="shared" si="2"/>
      </c>
    </row>
    <row r="64" spans="1:9" ht="4.5" customHeight="1">
      <c r="A64" s="18"/>
      <c r="B64" s="18"/>
      <c r="C64" s="18"/>
      <c r="D64" s="18"/>
      <c r="E64" s="18"/>
      <c r="F64" s="18"/>
      <c r="G64" s="368"/>
      <c r="H64" s="18"/>
      <c r="I64" s="368"/>
    </row>
    <row r="65" spans="1:9" ht="12.75">
      <c r="A65" s="20"/>
      <c r="B65" s="21" t="s">
        <v>166</v>
      </c>
      <c r="C65" s="21">
        <f>SUM(C11:C63)</f>
        <v>46331871.34</v>
      </c>
      <c r="D65" s="21">
        <f>SUM(D11:D63)</f>
        <v>59195</v>
      </c>
      <c r="E65" s="21">
        <f>C65/D65</f>
        <v>782.699068164541</v>
      </c>
      <c r="F65" s="21">
        <f>SUM(F11:F63)</f>
        <v>33647120</v>
      </c>
      <c r="G65" s="369">
        <f>C65/F65</f>
        <v>1.376993672563952</v>
      </c>
      <c r="H65" s="21">
        <f>SUM(H11:H63)</f>
        <v>22710901</v>
      </c>
      <c r="I65" s="369">
        <f>C65/H65</f>
        <v>2.040071917005847</v>
      </c>
    </row>
    <row r="66" spans="1:9" ht="4.5" customHeight="1">
      <c r="A66" s="18"/>
      <c r="B66" s="18"/>
      <c r="C66" s="18"/>
      <c r="D66" s="18"/>
      <c r="E66" s="18"/>
      <c r="F66" s="18"/>
      <c r="G66" s="368"/>
      <c r="H66" s="18"/>
      <c r="I66" s="368"/>
    </row>
    <row r="67" spans="1:9" ht="12.75">
      <c r="A67" s="16">
        <v>2155</v>
      </c>
      <c r="B67" s="17" t="s">
        <v>167</v>
      </c>
      <c r="C67" s="17">
        <f>'- 30 -'!E67</f>
        <v>50667</v>
      </c>
      <c r="D67" s="17">
        <v>94</v>
      </c>
      <c r="E67" s="17">
        <f ca="1">IF(AND(CELL("type",D67)="v",D67&gt;0),C67/D67,"")</f>
        <v>539.0106382978723</v>
      </c>
      <c r="F67" s="17">
        <v>26460</v>
      </c>
      <c r="G67" s="367">
        <f ca="1">IF(AND(CELL("type",F67)="v",F67&gt;0),C67/F67,"")</f>
        <v>1.9148526077097505</v>
      </c>
      <c r="H67" s="17">
        <v>25320</v>
      </c>
      <c r="I67" s="367">
        <f ca="1">IF(AND(CELL("type",H67)="v",H67&gt;0),C67/H67,"")</f>
        <v>2.0010663507109006</v>
      </c>
    </row>
    <row r="68" spans="1:9" ht="12.75">
      <c r="A68" s="14">
        <v>2408</v>
      </c>
      <c r="B68" s="15" t="s">
        <v>169</v>
      </c>
      <c r="C68" s="15">
        <f>'- 30 -'!E68</f>
        <v>3500</v>
      </c>
      <c r="D68" s="410" t="s">
        <v>344</v>
      </c>
      <c r="E68" s="15">
        <f ca="1">IF(AND(CELL("type",D68)="v",D68&gt;0),C68/D68,"")</f>
      </c>
      <c r="F68" s="410" t="s">
        <v>344</v>
      </c>
      <c r="G68" s="366">
        <f ca="1">IF(AND(CELL("type",F68)="v",F68&gt;0),C68/F68,"")</f>
      </c>
      <c r="H68" s="410" t="s">
        <v>344</v>
      </c>
      <c r="I68" s="366">
        <f ca="1">IF(AND(CELL("type",H68)="v",H68&gt;0),C68/H68,"")</f>
      </c>
    </row>
    <row r="69" ht="6.75" customHeight="1"/>
    <row r="70" spans="1:9" ht="12" customHeight="1">
      <c r="A70" s="7"/>
      <c r="B70" s="7"/>
      <c r="C70" s="18"/>
      <c r="D70" s="18"/>
      <c r="E70" s="18"/>
      <c r="F70" s="18"/>
      <c r="H70" s="18"/>
      <c r="I70" s="18"/>
    </row>
    <row r="71" spans="1:9" ht="12" customHeight="1">
      <c r="A71" s="7"/>
      <c r="B71" s="7"/>
      <c r="C71" s="18"/>
      <c r="D71" s="18"/>
      <c r="E71" s="18"/>
      <c r="F71" s="18"/>
      <c r="G71" s="18"/>
      <c r="H71" s="18"/>
      <c r="I71" s="18"/>
    </row>
    <row r="72" spans="1:9" ht="12" customHeight="1">
      <c r="A72" s="7"/>
      <c r="B72" s="7"/>
      <c r="C72" s="18"/>
      <c r="D72" s="18"/>
      <c r="E72" s="18"/>
      <c r="F72" s="18"/>
      <c r="G72" s="18"/>
      <c r="H72" s="18"/>
      <c r="I72" s="18"/>
    </row>
    <row r="73" spans="1:9" ht="12" customHeight="1">
      <c r="A73" s="7"/>
      <c r="B73" s="7"/>
      <c r="C73" s="18"/>
      <c r="D73" s="18"/>
      <c r="E73" s="18"/>
      <c r="F73" s="18"/>
      <c r="G73" s="18"/>
      <c r="H73" s="18"/>
      <c r="I73" s="18"/>
    </row>
    <row r="74" spans="1:9" ht="12" customHeight="1">
      <c r="A74" s="7"/>
      <c r="B74" s="7"/>
      <c r="C74" s="18"/>
      <c r="D74" s="18"/>
      <c r="E74" s="18"/>
      <c r="F74" s="18"/>
      <c r="G74" s="18"/>
      <c r="H74" s="18"/>
      <c r="I74" s="18"/>
    </row>
    <row r="75" ht="12" customHeight="1"/>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F7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22.83203125" style="82" customWidth="1"/>
    <col min="4" max="5" width="15.83203125" style="82" customWidth="1"/>
    <col min="6" max="6" width="43.83203125" style="82" customWidth="1"/>
    <col min="7" max="16384" width="15.83203125" style="82" customWidth="1"/>
  </cols>
  <sheetData>
    <row r="1" spans="1:6" ht="6.75" customHeight="1">
      <c r="A1" s="18"/>
      <c r="B1" s="80"/>
      <c r="C1" s="142"/>
      <c r="D1" s="142"/>
      <c r="E1" s="142"/>
      <c r="F1" s="142"/>
    </row>
    <row r="2" spans="1:6" ht="12.75">
      <c r="A2" s="9"/>
      <c r="B2" s="83"/>
      <c r="C2" s="200" t="s">
        <v>314</v>
      </c>
      <c r="D2" s="200"/>
      <c r="E2" s="200"/>
      <c r="F2" s="209"/>
    </row>
    <row r="3" spans="1:6" ht="12.75">
      <c r="A3" s="10"/>
      <c r="B3" s="86"/>
      <c r="C3" s="203" t="str">
        <f>YEAR</f>
        <v>OPERATING FUND BUDGET 2002/2003</v>
      </c>
      <c r="D3" s="203"/>
      <c r="E3" s="203"/>
      <c r="F3" s="210"/>
    </row>
    <row r="4" spans="1:6" ht="12.75">
      <c r="A4" s="11"/>
      <c r="C4" s="142"/>
      <c r="D4" s="142"/>
      <c r="E4" s="142"/>
      <c r="F4" s="142"/>
    </row>
    <row r="5" spans="1:6" ht="12.75">
      <c r="A5" s="11"/>
      <c r="C5" s="57"/>
      <c r="D5" s="142"/>
      <c r="E5" s="142"/>
      <c r="F5" s="142"/>
    </row>
    <row r="6" spans="1:5" ht="12.75">
      <c r="A6" s="11"/>
      <c r="C6" s="68" t="s">
        <v>34</v>
      </c>
      <c r="D6" s="130"/>
      <c r="E6" s="206"/>
    </row>
    <row r="7" spans="3:5" ht="12.75">
      <c r="C7" s="69" t="s">
        <v>71</v>
      </c>
      <c r="D7" s="70"/>
      <c r="E7" s="211"/>
    </row>
    <row r="8" spans="1:5" ht="12.75">
      <c r="A8" s="94"/>
      <c r="B8" s="46"/>
      <c r="C8" s="212"/>
      <c r="D8" s="213" t="s">
        <v>92</v>
      </c>
      <c r="E8" s="207" t="s">
        <v>93</v>
      </c>
    </row>
    <row r="9" spans="1:5" ht="12.75">
      <c r="A9" s="52" t="s">
        <v>100</v>
      </c>
      <c r="B9" s="53" t="s">
        <v>101</v>
      </c>
      <c r="C9" s="75" t="s">
        <v>102</v>
      </c>
      <c r="D9" s="76" t="s">
        <v>112</v>
      </c>
      <c r="E9" s="76" t="s">
        <v>110</v>
      </c>
    </row>
    <row r="10" spans="1:2" ht="4.5" customHeight="1">
      <c r="A10" s="77"/>
      <c r="B10" s="77"/>
    </row>
    <row r="11" spans="1:6" ht="12.75">
      <c r="A11" s="14">
        <v>1</v>
      </c>
      <c r="B11" s="15" t="s">
        <v>115</v>
      </c>
      <c r="C11" s="15">
        <f>SUM('- 30 -'!C11,'- 30 -'!E11,'- 31 -'!E11)</f>
        <v>2997200</v>
      </c>
      <c r="D11" s="15">
        <v>1100000</v>
      </c>
      <c r="E11" s="366">
        <f ca="1">IF(AND(CELL("type",D11)="v",D11&gt;0),C11/D11,"")</f>
        <v>2.724727272727273</v>
      </c>
      <c r="F11" s="214"/>
    </row>
    <row r="12" spans="1:6" ht="12.75">
      <c r="A12" s="16">
        <v>2</v>
      </c>
      <c r="B12" s="17" t="s">
        <v>116</v>
      </c>
      <c r="C12" s="17">
        <f>SUM('- 30 -'!C12,'- 30 -'!E12,'- 31 -'!E12)</f>
        <v>1024274</v>
      </c>
      <c r="D12" s="17">
        <v>395450</v>
      </c>
      <c r="E12" s="367">
        <f aca="true" ca="1" t="shared" si="0" ref="E12:E63">IF(AND(CELL("type",D12)="v",D12&gt;0),C12/D12,"")</f>
        <v>2.590147932734859</v>
      </c>
      <c r="F12" s="214"/>
    </row>
    <row r="13" spans="1:6" ht="12.75">
      <c r="A13" s="14">
        <v>3</v>
      </c>
      <c r="B13" s="15" t="s">
        <v>117</v>
      </c>
      <c r="C13" s="15">
        <f>SUM('- 30 -'!C13,'- 30 -'!E13,'- 31 -'!E13)</f>
        <v>645340</v>
      </c>
      <c r="D13" s="15">
        <v>220000</v>
      </c>
      <c r="E13" s="366">
        <f ca="1" t="shared" si="0"/>
        <v>2.9333636363636364</v>
      </c>
      <c r="F13" s="214"/>
    </row>
    <row r="14" spans="1:6" ht="12.75">
      <c r="A14" s="16">
        <v>4</v>
      </c>
      <c r="B14" s="17" t="s">
        <v>118</v>
      </c>
      <c r="C14" s="17">
        <f>SUM('- 30 -'!C14,'- 30 -'!E14,'- 31 -'!E14)</f>
        <v>551072</v>
      </c>
      <c r="D14" s="17">
        <v>170000</v>
      </c>
      <c r="E14" s="367">
        <f ca="1" t="shared" si="0"/>
        <v>3.2416</v>
      </c>
      <c r="F14" s="214"/>
    </row>
    <row r="15" spans="1:6" ht="12.75">
      <c r="A15" s="14">
        <v>5</v>
      </c>
      <c r="B15" s="15" t="s">
        <v>119</v>
      </c>
      <c r="C15" s="15">
        <f>SUM('- 30 -'!C15,'- 30 -'!E15,'- 31 -'!E15)</f>
        <v>739230</v>
      </c>
      <c r="D15" s="15">
        <v>274560</v>
      </c>
      <c r="E15" s="366">
        <f ca="1" t="shared" si="0"/>
        <v>2.692416958041958</v>
      </c>
      <c r="F15" s="214"/>
    </row>
    <row r="16" spans="1:6" ht="12.75">
      <c r="A16" s="16">
        <v>6</v>
      </c>
      <c r="B16" s="17" t="s">
        <v>120</v>
      </c>
      <c r="C16" s="17">
        <f>SUM('- 30 -'!C16,'- 30 -'!E16,'- 31 -'!E16)</f>
        <v>909323</v>
      </c>
      <c r="D16" s="17">
        <v>359500</v>
      </c>
      <c r="E16" s="367">
        <f ca="1" t="shared" si="0"/>
        <v>2.5294102920723227</v>
      </c>
      <c r="F16" s="214"/>
    </row>
    <row r="17" spans="1:6" ht="12.75">
      <c r="A17" s="14">
        <v>9</v>
      </c>
      <c r="B17" s="15" t="s">
        <v>121</v>
      </c>
      <c r="C17" s="15">
        <f>SUM('- 30 -'!C17,'- 30 -'!E17,'- 31 -'!E17)</f>
        <v>1898050</v>
      </c>
      <c r="D17" s="15">
        <v>916500</v>
      </c>
      <c r="E17" s="366">
        <f ca="1" t="shared" si="0"/>
        <v>2.070976541189307</v>
      </c>
      <c r="F17" s="214"/>
    </row>
    <row r="18" spans="1:6" ht="12.75">
      <c r="A18" s="16">
        <v>10</v>
      </c>
      <c r="B18" s="17" t="s">
        <v>122</v>
      </c>
      <c r="C18" s="17">
        <f>SUM('- 30 -'!C18,'- 30 -'!E18,'- 31 -'!E18)</f>
        <v>1693696</v>
      </c>
      <c r="D18" s="17">
        <v>631340</v>
      </c>
      <c r="E18" s="367">
        <f ca="1" t="shared" si="0"/>
        <v>2.682700288275731</v>
      </c>
      <c r="F18" s="214"/>
    </row>
    <row r="19" spans="1:6" ht="12.75">
      <c r="A19" s="14">
        <v>11</v>
      </c>
      <c r="B19" s="15" t="s">
        <v>123</v>
      </c>
      <c r="C19" s="15">
        <f>SUM('- 30 -'!C19,'- 30 -'!E19,'- 31 -'!E19)</f>
        <v>1737155</v>
      </c>
      <c r="D19" s="15">
        <v>1100000</v>
      </c>
      <c r="E19" s="366">
        <f ca="1" t="shared" si="0"/>
        <v>1.5792318181818181</v>
      </c>
      <c r="F19" s="214"/>
    </row>
    <row r="20" spans="1:6" ht="12.75">
      <c r="A20" s="16">
        <v>12</v>
      </c>
      <c r="B20" s="17" t="s">
        <v>124</v>
      </c>
      <c r="C20" s="17">
        <f>SUM('- 30 -'!C20,'- 30 -'!E20,'- 31 -'!E20)</f>
        <v>2095408</v>
      </c>
      <c r="D20" s="17">
        <v>1270400</v>
      </c>
      <c r="E20" s="367">
        <f ca="1" t="shared" si="0"/>
        <v>1.6494080604534005</v>
      </c>
      <c r="F20" s="214"/>
    </row>
    <row r="21" spans="1:6" ht="12.75">
      <c r="A21" s="14">
        <v>13</v>
      </c>
      <c r="B21" s="15" t="s">
        <v>125</v>
      </c>
      <c r="C21" s="15">
        <f>SUM('- 30 -'!C21,'- 30 -'!E21,'- 31 -'!E21)</f>
        <v>1484808</v>
      </c>
      <c r="D21" s="15">
        <v>1356410</v>
      </c>
      <c r="E21" s="366">
        <f ca="1" t="shared" si="0"/>
        <v>1.0946601691229054</v>
      </c>
      <c r="F21" s="214"/>
    </row>
    <row r="22" spans="1:6" ht="12.75">
      <c r="A22" s="16">
        <v>14</v>
      </c>
      <c r="B22" s="17" t="s">
        <v>126</v>
      </c>
      <c r="C22" s="17">
        <f>SUM('- 30 -'!C22,'- 30 -'!E22,'- 31 -'!E22)</f>
        <v>1717417</v>
      </c>
      <c r="D22" s="17">
        <v>1200000</v>
      </c>
      <c r="E22" s="367">
        <f ca="1" t="shared" si="0"/>
        <v>1.4311808333333333</v>
      </c>
      <c r="F22" s="214"/>
    </row>
    <row r="23" spans="1:6" ht="12.75">
      <c r="A23" s="14">
        <v>15</v>
      </c>
      <c r="B23" s="15" t="s">
        <v>127</v>
      </c>
      <c r="C23" s="15">
        <f>SUM('- 30 -'!C23,'- 30 -'!E23,'- 31 -'!E23)</f>
        <v>1863218</v>
      </c>
      <c r="D23" s="15">
        <v>1390000</v>
      </c>
      <c r="E23" s="366">
        <f ca="1" t="shared" si="0"/>
        <v>1.3404446043165468</v>
      </c>
      <c r="F23" s="214"/>
    </row>
    <row r="24" spans="1:6" ht="12.75">
      <c r="A24" s="16">
        <v>16</v>
      </c>
      <c r="B24" s="17" t="s">
        <v>128</v>
      </c>
      <c r="C24" s="17">
        <f>SUM('- 30 -'!C24,'- 30 -'!E24,'- 31 -'!E24)</f>
        <v>617812</v>
      </c>
      <c r="D24" s="17">
        <v>689000</v>
      </c>
      <c r="E24" s="367">
        <f ca="1" t="shared" si="0"/>
        <v>0.8966792452830189</v>
      </c>
      <c r="F24" s="214"/>
    </row>
    <row r="25" spans="1:6" ht="12.75">
      <c r="A25" s="14">
        <v>17</v>
      </c>
      <c r="B25" s="15" t="s">
        <v>129</v>
      </c>
      <c r="C25" s="15">
        <f>SUM('- 30 -'!C25,'- 30 -'!E25,'- 31 -'!E25)</f>
        <v>417705</v>
      </c>
      <c r="D25" s="15">
        <v>437950</v>
      </c>
      <c r="E25" s="366">
        <f ca="1" t="shared" si="0"/>
        <v>0.9537732617878754</v>
      </c>
      <c r="F25" s="214"/>
    </row>
    <row r="26" spans="1:6" ht="12.75">
      <c r="A26" s="16">
        <v>18</v>
      </c>
      <c r="B26" s="17" t="s">
        <v>130</v>
      </c>
      <c r="C26" s="17">
        <f>SUM('- 30 -'!C26,'- 30 -'!E26,'- 31 -'!E26)</f>
        <v>653349.19</v>
      </c>
      <c r="D26" s="17">
        <v>450000</v>
      </c>
      <c r="E26" s="367">
        <f ca="1" t="shared" si="0"/>
        <v>1.4518870888888888</v>
      </c>
      <c r="F26" s="214"/>
    </row>
    <row r="27" spans="1:6" ht="12.75">
      <c r="A27" s="14">
        <v>19</v>
      </c>
      <c r="B27" s="15" t="s">
        <v>131</v>
      </c>
      <c r="C27" s="15">
        <f>SUM('- 30 -'!C27,'- 30 -'!E27,'- 31 -'!E27)</f>
        <v>1124000</v>
      </c>
      <c r="D27" s="15">
        <v>893000</v>
      </c>
      <c r="E27" s="366">
        <f ca="1" t="shared" si="0"/>
        <v>1.2586786114221724</v>
      </c>
      <c r="F27" s="214"/>
    </row>
    <row r="28" spans="1:6" ht="12.75">
      <c r="A28" s="16">
        <v>20</v>
      </c>
      <c r="B28" s="17" t="s">
        <v>132</v>
      </c>
      <c r="C28" s="17">
        <f>SUM('- 30 -'!C28,'- 30 -'!E28,'- 31 -'!E28)</f>
        <v>645075</v>
      </c>
      <c r="D28" s="17">
        <v>500000</v>
      </c>
      <c r="E28" s="367">
        <f ca="1" t="shared" si="0"/>
        <v>1.29015</v>
      </c>
      <c r="F28" s="214"/>
    </row>
    <row r="29" spans="1:6" ht="12.75">
      <c r="A29" s="14">
        <v>21</v>
      </c>
      <c r="B29" s="15" t="s">
        <v>133</v>
      </c>
      <c r="C29" s="15">
        <f>SUM('- 30 -'!C29,'- 30 -'!E29,'- 31 -'!E29)</f>
        <v>1675000</v>
      </c>
      <c r="D29" s="15">
        <v>1135000</v>
      </c>
      <c r="E29" s="366">
        <f ca="1" t="shared" si="0"/>
        <v>1.475770925110132</v>
      </c>
      <c r="F29" s="214"/>
    </row>
    <row r="30" spans="1:6" ht="12.75">
      <c r="A30" s="16">
        <v>22</v>
      </c>
      <c r="B30" s="17" t="s">
        <v>134</v>
      </c>
      <c r="C30" s="17">
        <f>SUM('- 30 -'!C30,'- 30 -'!E30,'- 31 -'!E30)</f>
        <v>960350</v>
      </c>
      <c r="D30" s="17">
        <v>700000</v>
      </c>
      <c r="E30" s="367">
        <f ca="1" t="shared" si="0"/>
        <v>1.3719285714285714</v>
      </c>
      <c r="F30" s="214"/>
    </row>
    <row r="31" spans="1:6" ht="12.75">
      <c r="A31" s="14">
        <v>23</v>
      </c>
      <c r="B31" s="15" t="s">
        <v>135</v>
      </c>
      <c r="C31" s="15">
        <f>SUM('- 30 -'!C31,'- 30 -'!E31,'- 31 -'!E31)</f>
        <v>1198200</v>
      </c>
      <c r="D31" s="15">
        <v>1100000</v>
      </c>
      <c r="E31" s="366">
        <f ca="1" t="shared" si="0"/>
        <v>1.0892727272727272</v>
      </c>
      <c r="F31" s="214"/>
    </row>
    <row r="32" spans="1:6" ht="12.75">
      <c r="A32" s="16">
        <v>24</v>
      </c>
      <c r="B32" s="17" t="s">
        <v>136</v>
      </c>
      <c r="C32" s="17">
        <f>SUM('- 30 -'!C32,'- 30 -'!E32,'- 31 -'!E32)</f>
        <v>787487</v>
      </c>
      <c r="D32" s="17">
        <v>742000</v>
      </c>
      <c r="E32" s="367">
        <f ca="1" t="shared" si="0"/>
        <v>1.0613032345013478</v>
      </c>
      <c r="F32" s="214"/>
    </row>
    <row r="33" spans="1:6" ht="12.75">
      <c r="A33" s="14">
        <v>25</v>
      </c>
      <c r="B33" s="15" t="s">
        <v>137</v>
      </c>
      <c r="C33" s="15">
        <f>SUM('- 30 -'!C33,'- 30 -'!E33,'- 31 -'!E33)</f>
        <v>914040</v>
      </c>
      <c r="D33" s="15">
        <v>835000</v>
      </c>
      <c r="E33" s="366">
        <f ca="1" t="shared" si="0"/>
        <v>1.0946586826347304</v>
      </c>
      <c r="F33" s="214"/>
    </row>
    <row r="34" spans="1:6" ht="12.75">
      <c r="A34" s="16">
        <v>26</v>
      </c>
      <c r="B34" s="17" t="s">
        <v>138</v>
      </c>
      <c r="C34" s="17">
        <f>SUM('- 30 -'!C34,'- 30 -'!E34,'- 31 -'!E34)</f>
        <v>709000</v>
      </c>
      <c r="D34" s="17">
        <v>470000</v>
      </c>
      <c r="E34" s="367">
        <f ca="1" t="shared" si="0"/>
        <v>1.5085106382978724</v>
      </c>
      <c r="F34" s="214"/>
    </row>
    <row r="35" spans="1:6" ht="12.75">
      <c r="A35" s="14">
        <v>28</v>
      </c>
      <c r="B35" s="15" t="s">
        <v>139</v>
      </c>
      <c r="C35" s="15">
        <f>SUM('- 30 -'!C35,'- 30 -'!E35,'- 31 -'!E35)</f>
        <v>511884</v>
      </c>
      <c r="D35" s="15">
        <v>512430</v>
      </c>
      <c r="E35" s="366">
        <f ca="1" t="shared" si="0"/>
        <v>0.9989344886130789</v>
      </c>
      <c r="F35" s="214"/>
    </row>
    <row r="36" spans="1:6" ht="12.75">
      <c r="A36" s="16">
        <v>30</v>
      </c>
      <c r="B36" s="17" t="s">
        <v>140</v>
      </c>
      <c r="C36" s="17">
        <f>SUM('- 30 -'!C36,'- 30 -'!E36,'- 31 -'!E36)</f>
        <v>931069</v>
      </c>
      <c r="D36" s="17">
        <v>1023582</v>
      </c>
      <c r="E36" s="367">
        <f ca="1" t="shared" si="0"/>
        <v>0.9096183793775193</v>
      </c>
      <c r="F36" s="214"/>
    </row>
    <row r="37" spans="1:6" ht="12.75">
      <c r="A37" s="14">
        <v>31</v>
      </c>
      <c r="B37" s="15" t="s">
        <v>141</v>
      </c>
      <c r="C37" s="15">
        <f>SUM('- 30 -'!C37,'- 30 -'!E37,'- 31 -'!E37)</f>
        <v>808891</v>
      </c>
      <c r="D37" s="15">
        <v>720000</v>
      </c>
      <c r="E37" s="366">
        <f ca="1" t="shared" si="0"/>
        <v>1.1234597222222222</v>
      </c>
      <c r="F37" s="214"/>
    </row>
    <row r="38" spans="1:6" ht="12.75">
      <c r="A38" s="16">
        <v>32</v>
      </c>
      <c r="B38" s="17" t="s">
        <v>142</v>
      </c>
      <c r="C38" s="17">
        <f>SUM('- 30 -'!C38,'- 30 -'!E38,'- 31 -'!E38)</f>
        <v>722863</v>
      </c>
      <c r="D38" s="17">
        <v>775000</v>
      </c>
      <c r="E38" s="367">
        <f ca="1" t="shared" si="0"/>
        <v>0.9327264516129032</v>
      </c>
      <c r="F38" s="214"/>
    </row>
    <row r="39" spans="1:6" ht="12.75">
      <c r="A39" s="14">
        <v>33</v>
      </c>
      <c r="B39" s="15" t="s">
        <v>143</v>
      </c>
      <c r="C39" s="15">
        <f>SUM('- 30 -'!C39,'- 30 -'!E39,'- 31 -'!E39)</f>
        <v>639696</v>
      </c>
      <c r="D39" s="15">
        <v>446880</v>
      </c>
      <c r="E39" s="366">
        <f ca="1" t="shared" si="0"/>
        <v>1.431471535982814</v>
      </c>
      <c r="F39" s="214"/>
    </row>
    <row r="40" spans="1:6" ht="12.75">
      <c r="A40" s="16">
        <v>34</v>
      </c>
      <c r="B40" s="17" t="s">
        <v>144</v>
      </c>
      <c r="C40" s="17">
        <f>SUM('- 30 -'!C40,'- 30 -'!E40,'- 31 -'!E40)</f>
        <v>584650</v>
      </c>
      <c r="D40" s="17">
        <v>454000</v>
      </c>
      <c r="E40" s="367">
        <f ca="1" t="shared" si="0"/>
        <v>1.2877753303964758</v>
      </c>
      <c r="F40" s="214"/>
    </row>
    <row r="41" spans="1:6" ht="12.75">
      <c r="A41" s="14">
        <v>35</v>
      </c>
      <c r="B41" s="15" t="s">
        <v>145</v>
      </c>
      <c r="C41" s="15">
        <f>SUM('- 30 -'!C41,'- 30 -'!E41,'- 31 -'!E41)</f>
        <v>1185256</v>
      </c>
      <c r="D41" s="15">
        <v>845000</v>
      </c>
      <c r="E41" s="366">
        <f ca="1" t="shared" si="0"/>
        <v>1.402669822485207</v>
      </c>
      <c r="F41" s="214"/>
    </row>
    <row r="42" spans="1:6" ht="12.75">
      <c r="A42" s="16">
        <v>36</v>
      </c>
      <c r="B42" s="17" t="s">
        <v>146</v>
      </c>
      <c r="C42" s="17">
        <f>SUM('- 30 -'!C42,'- 30 -'!E42,'- 31 -'!E42)</f>
        <v>836370</v>
      </c>
      <c r="D42" s="17">
        <v>622130</v>
      </c>
      <c r="E42" s="367">
        <f ca="1" t="shared" si="0"/>
        <v>1.3443653255750405</v>
      </c>
      <c r="F42" s="214"/>
    </row>
    <row r="43" spans="1:6" ht="12.75">
      <c r="A43" s="14">
        <v>37</v>
      </c>
      <c r="B43" s="15" t="s">
        <v>147</v>
      </c>
      <c r="C43" s="15">
        <f>SUM('- 30 -'!C43,'- 30 -'!E43,'- 31 -'!E43)</f>
        <v>814062</v>
      </c>
      <c r="D43" s="15">
        <v>700000</v>
      </c>
      <c r="E43" s="366">
        <f ca="1" t="shared" si="0"/>
        <v>1.1629457142857142</v>
      </c>
      <c r="F43" s="214"/>
    </row>
    <row r="44" spans="1:6" ht="12.75">
      <c r="A44" s="16">
        <v>38</v>
      </c>
      <c r="B44" s="17" t="s">
        <v>148</v>
      </c>
      <c r="C44" s="17">
        <f>SUM('- 30 -'!C44,'- 30 -'!E44,'- 31 -'!E44)</f>
        <v>958837</v>
      </c>
      <c r="D44" s="17">
        <v>1025000</v>
      </c>
      <c r="E44" s="367">
        <f ca="1" t="shared" si="0"/>
        <v>0.9354507317073171</v>
      </c>
      <c r="F44" s="214"/>
    </row>
    <row r="45" spans="1:6" ht="12.75">
      <c r="A45" s="14">
        <v>39</v>
      </c>
      <c r="B45" s="15" t="s">
        <v>149</v>
      </c>
      <c r="C45" s="15">
        <f>SUM('- 30 -'!C45,'- 30 -'!E45,'- 31 -'!E45)</f>
        <v>1153400</v>
      </c>
      <c r="D45" s="15">
        <v>1140000</v>
      </c>
      <c r="E45" s="366">
        <f ca="1" t="shared" si="0"/>
        <v>1.0117543859649123</v>
      </c>
      <c r="F45" s="214"/>
    </row>
    <row r="46" spans="1:6" ht="12.75">
      <c r="A46" s="16">
        <v>40</v>
      </c>
      <c r="B46" s="17" t="s">
        <v>150</v>
      </c>
      <c r="C46" s="17">
        <f>SUM('- 30 -'!C46,'- 30 -'!E46,'- 31 -'!E46)</f>
        <v>1255900</v>
      </c>
      <c r="D46" s="17">
        <v>799077</v>
      </c>
      <c r="E46" s="367">
        <f ca="1" t="shared" si="0"/>
        <v>1.5716883354169873</v>
      </c>
      <c r="F46" s="214"/>
    </row>
    <row r="47" spans="1:6" ht="12.75">
      <c r="A47" s="14">
        <v>41</v>
      </c>
      <c r="B47" s="15" t="s">
        <v>151</v>
      </c>
      <c r="C47" s="15">
        <f>SUM('- 30 -'!C47,'- 30 -'!E47,'- 31 -'!E47)</f>
        <v>1055660</v>
      </c>
      <c r="D47" s="15">
        <v>1050000</v>
      </c>
      <c r="E47" s="366">
        <f ca="1" t="shared" si="0"/>
        <v>1.0053904761904762</v>
      </c>
      <c r="F47" s="214"/>
    </row>
    <row r="48" spans="1:6" ht="12.75">
      <c r="A48" s="16">
        <v>42</v>
      </c>
      <c r="B48" s="17" t="s">
        <v>152</v>
      </c>
      <c r="C48" s="17">
        <f>SUM('- 30 -'!C48,'- 30 -'!E48,'- 31 -'!E48)</f>
        <v>701351</v>
      </c>
      <c r="D48" s="17">
        <v>725000</v>
      </c>
      <c r="E48" s="367">
        <f ca="1" t="shared" si="0"/>
        <v>0.9673806896551724</v>
      </c>
      <c r="F48" s="214"/>
    </row>
    <row r="49" spans="1:6" ht="12.75">
      <c r="A49" s="14">
        <v>43</v>
      </c>
      <c r="B49" s="15" t="s">
        <v>153</v>
      </c>
      <c r="C49" s="15">
        <f>SUM('- 30 -'!C49,'- 30 -'!E49,'- 31 -'!E49)</f>
        <v>615000</v>
      </c>
      <c r="D49" s="15">
        <v>620000</v>
      </c>
      <c r="E49" s="366">
        <f ca="1" t="shared" si="0"/>
        <v>0.9919354838709677</v>
      </c>
      <c r="F49" s="214"/>
    </row>
    <row r="50" spans="1:6" ht="12.75">
      <c r="A50" s="16">
        <v>44</v>
      </c>
      <c r="B50" s="17" t="s">
        <v>154</v>
      </c>
      <c r="C50" s="17">
        <f>SUM('- 30 -'!C50,'- 30 -'!E50,'- 31 -'!E50)</f>
        <v>742486</v>
      </c>
      <c r="D50" s="17">
        <v>829010</v>
      </c>
      <c r="E50" s="367">
        <f ca="1" t="shared" si="0"/>
        <v>0.8956297270237995</v>
      </c>
      <c r="F50" s="214"/>
    </row>
    <row r="51" spans="1:6" ht="12.75">
      <c r="A51" s="14">
        <v>45</v>
      </c>
      <c r="B51" s="15" t="s">
        <v>155</v>
      </c>
      <c r="C51" s="15">
        <f>SUM('- 30 -'!C51,'- 30 -'!E51,'- 31 -'!E51)</f>
        <v>469630</v>
      </c>
      <c r="D51" s="15">
        <v>259206</v>
      </c>
      <c r="E51" s="366">
        <f ca="1" t="shared" si="0"/>
        <v>1.8118021959368225</v>
      </c>
      <c r="F51" s="214"/>
    </row>
    <row r="52" spans="1:6" ht="12.75">
      <c r="A52" s="16">
        <v>46</v>
      </c>
      <c r="B52" s="17" t="s">
        <v>156</v>
      </c>
      <c r="C52" s="17">
        <f>SUM('- 30 -'!C52,'- 30 -'!E52,'- 31 -'!E52)</f>
        <v>187422</v>
      </c>
      <c r="D52" s="411" t="s">
        <v>344</v>
      </c>
      <c r="E52" s="367">
        <f ca="1" t="shared" si="0"/>
      </c>
      <c r="F52" s="214"/>
    </row>
    <row r="53" spans="1:6" ht="12.75">
      <c r="A53" s="14">
        <v>47</v>
      </c>
      <c r="B53" s="15" t="s">
        <v>157</v>
      </c>
      <c r="C53" s="15">
        <f>SUM('- 30 -'!C53,'- 30 -'!E53,'- 31 -'!E53)</f>
        <v>385143</v>
      </c>
      <c r="D53" s="15">
        <v>264734</v>
      </c>
      <c r="E53" s="366">
        <f ca="1" t="shared" si="0"/>
        <v>1.4548301313771559</v>
      </c>
      <c r="F53" s="214"/>
    </row>
    <row r="54" spans="1:6" ht="12.75">
      <c r="A54" s="16">
        <v>48</v>
      </c>
      <c r="B54" s="17" t="s">
        <v>158</v>
      </c>
      <c r="C54" s="17">
        <f>SUM('- 30 -'!C54,'- 30 -'!E54,'- 31 -'!E54)</f>
        <v>3060105</v>
      </c>
      <c r="D54" s="17">
        <v>1270824</v>
      </c>
      <c r="E54" s="367">
        <f ca="1" t="shared" si="0"/>
        <v>2.407969160166947</v>
      </c>
      <c r="F54" s="214"/>
    </row>
    <row r="55" spans="1:6" ht="12.75">
      <c r="A55" s="14">
        <v>49</v>
      </c>
      <c r="B55" s="15" t="s">
        <v>159</v>
      </c>
      <c r="C55" s="15">
        <f>SUM('- 30 -'!C55,'- 30 -'!E55,'- 31 -'!E55)</f>
        <v>3032349</v>
      </c>
      <c r="D55" s="410" t="s">
        <v>344</v>
      </c>
      <c r="E55" s="366">
        <f ca="1" t="shared" si="0"/>
      </c>
      <c r="F55" s="214"/>
    </row>
    <row r="56" spans="1:6" ht="12.75">
      <c r="A56" s="16">
        <v>50</v>
      </c>
      <c r="B56" s="17" t="s">
        <v>340</v>
      </c>
      <c r="C56" s="17">
        <f>SUM('- 30 -'!C56,'- 30 -'!E56,'- 31 -'!E56)</f>
        <v>1295000</v>
      </c>
      <c r="D56" s="17">
        <v>1300000</v>
      </c>
      <c r="E56" s="367">
        <f ca="1" t="shared" si="0"/>
        <v>0.9961538461538462</v>
      </c>
      <c r="F56" s="214"/>
    </row>
    <row r="57" spans="1:6" ht="12.75">
      <c r="A57" s="14">
        <v>2264</v>
      </c>
      <c r="B57" s="15" t="s">
        <v>160</v>
      </c>
      <c r="C57" s="15">
        <f>SUM('- 30 -'!C57,'- 30 -'!E57,'- 31 -'!E57)</f>
        <v>71585</v>
      </c>
      <c r="D57" s="410" t="s">
        <v>344</v>
      </c>
      <c r="E57" s="366">
        <f ca="1" t="shared" si="0"/>
      </c>
      <c r="F57" s="214"/>
    </row>
    <row r="58" spans="1:6" ht="12.75">
      <c r="A58" s="16">
        <v>2309</v>
      </c>
      <c r="B58" s="17" t="s">
        <v>161</v>
      </c>
      <c r="C58" s="17">
        <f>SUM('- 30 -'!C58,'- 30 -'!E58,'- 31 -'!E58)</f>
        <v>51680</v>
      </c>
      <c r="D58" s="17">
        <v>33385</v>
      </c>
      <c r="E58" s="367">
        <f ca="1" t="shared" si="0"/>
        <v>1.5480005990714392</v>
      </c>
      <c r="F58" s="214"/>
    </row>
    <row r="59" spans="1:6" ht="12.75">
      <c r="A59" s="14">
        <v>2312</v>
      </c>
      <c r="B59" s="15" t="s">
        <v>162</v>
      </c>
      <c r="C59" s="15">
        <f>SUM('- 30 -'!C59,'- 30 -'!E59,'- 31 -'!E59)</f>
        <v>15300</v>
      </c>
      <c r="D59" s="410" t="s">
        <v>344</v>
      </c>
      <c r="E59" s="366">
        <f ca="1" t="shared" si="0"/>
      </c>
      <c r="F59" s="214"/>
    </row>
    <row r="60" spans="1:6" ht="12.75">
      <c r="A60" s="16">
        <v>2355</v>
      </c>
      <c r="B60" s="17" t="s">
        <v>163</v>
      </c>
      <c r="C60" s="17">
        <f>SUM('- 30 -'!C60,'- 30 -'!E60,'- 31 -'!E60)</f>
        <v>83040</v>
      </c>
      <c r="D60" s="411" t="s">
        <v>344</v>
      </c>
      <c r="E60" s="367">
        <f ca="1" t="shared" si="0"/>
      </c>
      <c r="F60" s="214"/>
    </row>
    <row r="61" spans="1:6" ht="12.75">
      <c r="A61" s="14">
        <v>2439</v>
      </c>
      <c r="B61" s="15" t="s">
        <v>164</v>
      </c>
      <c r="C61" s="15">
        <f>SUM('- 30 -'!C61,'- 30 -'!E61,'- 31 -'!E61)</f>
        <v>134599</v>
      </c>
      <c r="D61" s="15">
        <v>145542</v>
      </c>
      <c r="E61" s="366">
        <f ca="1" t="shared" si="0"/>
        <v>0.9248120817358563</v>
      </c>
      <c r="F61" s="214"/>
    </row>
    <row r="62" spans="1:6" ht="12.75">
      <c r="A62" s="16">
        <v>2460</v>
      </c>
      <c r="B62" s="17" t="s">
        <v>165</v>
      </c>
      <c r="C62" s="17">
        <f>SUM('- 30 -'!C62,'- 30 -'!E62,'- 31 -'!E62)</f>
        <v>13000</v>
      </c>
      <c r="D62" s="411" t="s">
        <v>344</v>
      </c>
      <c r="E62" s="367">
        <f ca="1" t="shared" si="0"/>
      </c>
      <c r="F62" s="214"/>
    </row>
    <row r="63" spans="1:6" ht="12.75">
      <c r="A63" s="14">
        <v>3000</v>
      </c>
      <c r="B63" s="15" t="s">
        <v>363</v>
      </c>
      <c r="C63" s="15">
        <f>SUM('- 30 -'!C63,'- 30 -'!E63,'- 31 -'!E63)</f>
        <v>0</v>
      </c>
      <c r="D63" s="15">
        <v>0</v>
      </c>
      <c r="E63" s="366">
        <f ca="1" t="shared" si="0"/>
      </c>
      <c r="F63" s="214"/>
    </row>
    <row r="64" spans="1:6" ht="4.5" customHeight="1">
      <c r="A64" s="18"/>
      <c r="B64" s="18"/>
      <c r="C64" s="18"/>
      <c r="D64" s="18"/>
      <c r="E64" s="368"/>
      <c r="F64" s="214"/>
    </row>
    <row r="65" spans="1:6" ht="12.75">
      <c r="A65" s="20"/>
      <c r="B65" s="21" t="s">
        <v>166</v>
      </c>
      <c r="C65" s="21">
        <f>SUM(C11:C63)</f>
        <v>51374437.19</v>
      </c>
      <c r="D65" s="21">
        <f>SUM(D11:D63)</f>
        <v>33896910</v>
      </c>
      <c r="E65" s="369">
        <f>C65/D65</f>
        <v>1.5156082719634325</v>
      </c>
      <c r="F65" s="214"/>
    </row>
    <row r="66" spans="1:5" ht="4.5" customHeight="1">
      <c r="A66" s="18"/>
      <c r="B66" s="18"/>
      <c r="C66" s="18"/>
      <c r="D66" s="18"/>
      <c r="E66" s="368"/>
    </row>
    <row r="67" spans="1:6" ht="12.75">
      <c r="A67" s="16">
        <v>2155</v>
      </c>
      <c r="B67" s="17" t="s">
        <v>167</v>
      </c>
      <c r="C67" s="17">
        <f>SUM('- 30 -'!C67,'- 30 -'!E67,'- 31 -'!E67)</f>
        <v>54534</v>
      </c>
      <c r="D67" s="411" t="s">
        <v>344</v>
      </c>
      <c r="E67" s="367">
        <f ca="1">IF(AND(CELL("type",D67)="v",D67&gt;0),C67/D67,"")</f>
      </c>
      <c r="F67" s="214"/>
    </row>
    <row r="68" spans="1:6" ht="12.75">
      <c r="A68" s="14">
        <v>2408</v>
      </c>
      <c r="B68" s="15" t="s">
        <v>169</v>
      </c>
      <c r="C68" s="15">
        <f>SUM('- 30 -'!C68,'- 30 -'!E68,'- 31 -'!E68)</f>
        <v>27500</v>
      </c>
      <c r="D68" s="410" t="s">
        <v>344</v>
      </c>
      <c r="E68" s="366">
        <f ca="1">IF(AND(CELL("type",D68)="v",D68&gt;0),C68/D68,"")</f>
      </c>
      <c r="F68" s="214"/>
    </row>
    <row r="69" ht="6.75" customHeight="1"/>
    <row r="70" spans="1:5" ht="12" customHeight="1">
      <c r="A70" s="7"/>
      <c r="B70" s="7"/>
      <c r="C70" s="18"/>
      <c r="D70" s="18"/>
      <c r="E70" s="18"/>
    </row>
    <row r="71" spans="1:5" ht="12" customHeight="1">
      <c r="A71" s="7"/>
      <c r="B71" s="7"/>
      <c r="C71" s="18"/>
      <c r="D71" s="18"/>
      <c r="E71" s="18"/>
    </row>
    <row r="72" spans="1:5" ht="12" customHeight="1">
      <c r="A72" s="7"/>
      <c r="B72" s="7"/>
      <c r="C72" s="18"/>
      <c r="D72" s="18"/>
      <c r="E72" s="18"/>
    </row>
    <row r="73" spans="1:5" ht="12" customHeight="1">
      <c r="A73" s="7"/>
      <c r="B73" s="7"/>
      <c r="C73" s="18"/>
      <c r="D73" s="18"/>
      <c r="E73" s="18"/>
    </row>
    <row r="74" spans="1:5" ht="12" customHeight="1">
      <c r="A74" s="7"/>
      <c r="B74" s="7"/>
      <c r="C74" s="18"/>
      <c r="D74" s="18"/>
      <c r="E74" s="18"/>
    </row>
    <row r="75" spans="3:5" ht="12" customHeight="1">
      <c r="C75" s="18"/>
      <c r="D75" s="18"/>
      <c r="E75" s="18"/>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J7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7.83203125" style="82" customWidth="1"/>
    <col min="4" max="6" width="15.83203125" style="82" customWidth="1"/>
    <col min="7" max="7" width="17.83203125" style="82" customWidth="1"/>
    <col min="8" max="16384" width="15.83203125" style="82" customWidth="1"/>
  </cols>
  <sheetData>
    <row r="1" spans="1:7" ht="6.75" customHeight="1">
      <c r="A1" s="18"/>
      <c r="B1" s="80"/>
      <c r="C1" s="142"/>
      <c r="D1" s="142"/>
      <c r="E1" s="142"/>
      <c r="F1" s="142"/>
      <c r="G1" s="142"/>
    </row>
    <row r="2" spans="1:7" ht="12.75">
      <c r="A2" s="58" t="s">
        <v>304</v>
      </c>
      <c r="B2" s="199"/>
      <c r="C2" s="200"/>
      <c r="D2" s="201"/>
      <c r="E2" s="200"/>
      <c r="F2" s="200"/>
      <c r="G2" s="200"/>
    </row>
    <row r="3" spans="1:7" ht="12.75">
      <c r="A3" s="62" t="str">
        <f>YEAR</f>
        <v>OPERATING FUND BUDGET 2002/2003</v>
      </c>
      <c r="B3" s="202"/>
      <c r="C3" s="203"/>
      <c r="D3" s="204"/>
      <c r="E3" s="203"/>
      <c r="F3" s="203"/>
      <c r="G3" s="203"/>
    </row>
    <row r="4" spans="1:7" ht="12.75">
      <c r="A4" s="11"/>
      <c r="C4" s="142"/>
      <c r="D4" s="142"/>
      <c r="E4" s="182"/>
      <c r="F4" s="142"/>
      <c r="G4" s="142"/>
    </row>
    <row r="5" spans="1:7" ht="12.75">
      <c r="A5" s="11"/>
      <c r="C5" s="57"/>
      <c r="D5" s="142"/>
      <c r="E5" s="142"/>
      <c r="F5" s="142"/>
      <c r="G5" s="142"/>
    </row>
    <row r="6" spans="1:8" ht="12.75">
      <c r="A6" s="11"/>
      <c r="C6" s="205"/>
      <c r="D6" s="422"/>
      <c r="E6" s="130"/>
      <c r="F6" s="206"/>
      <c r="G6" s="66" t="s">
        <v>35</v>
      </c>
      <c r="H6" s="67"/>
    </row>
    <row r="7" spans="3:10" ht="12.75">
      <c r="C7" s="69" t="s">
        <v>67</v>
      </c>
      <c r="D7" s="70"/>
      <c r="E7" s="70"/>
      <c r="F7" s="71"/>
      <c r="G7" s="70" t="s">
        <v>72</v>
      </c>
      <c r="H7" s="71"/>
      <c r="J7" s="3" t="s">
        <v>69</v>
      </c>
    </row>
    <row r="8" spans="1:10" ht="12.75">
      <c r="A8" s="94"/>
      <c r="B8" s="46"/>
      <c r="C8" s="207" t="s">
        <v>3</v>
      </c>
      <c r="D8" s="229" t="s">
        <v>95</v>
      </c>
      <c r="E8" s="208" t="s">
        <v>95</v>
      </c>
      <c r="F8" s="208" t="s">
        <v>475</v>
      </c>
      <c r="G8" s="207" t="s">
        <v>3</v>
      </c>
      <c r="H8" s="207" t="s">
        <v>95</v>
      </c>
      <c r="J8" s="3" t="s">
        <v>99</v>
      </c>
    </row>
    <row r="9" spans="1:10" ht="16.5">
      <c r="A9" s="52" t="s">
        <v>100</v>
      </c>
      <c r="B9" s="53" t="s">
        <v>101</v>
      </c>
      <c r="C9" s="75" t="s">
        <v>102</v>
      </c>
      <c r="D9" s="76" t="s">
        <v>104</v>
      </c>
      <c r="E9" s="76" t="s">
        <v>476</v>
      </c>
      <c r="F9" s="76" t="s">
        <v>477</v>
      </c>
      <c r="G9" s="76" t="s">
        <v>102</v>
      </c>
      <c r="H9" s="76" t="s">
        <v>476</v>
      </c>
      <c r="J9" s="3" t="s">
        <v>384</v>
      </c>
    </row>
    <row r="10" spans="1:10" ht="4.5" customHeight="1">
      <c r="A10" s="77"/>
      <c r="B10" s="77"/>
      <c r="J10" s="7"/>
    </row>
    <row r="11" spans="1:10" ht="12.75">
      <c r="A11" s="14">
        <v>1</v>
      </c>
      <c r="B11" s="15" t="s">
        <v>115</v>
      </c>
      <c r="C11" s="423">
        <f>'- 32 -'!E11</f>
        <v>23463800</v>
      </c>
      <c r="D11" s="423">
        <f>C11/'- 7 -'!G11</f>
        <v>758.9041982016948</v>
      </c>
      <c r="E11" s="366">
        <f aca="true" t="shared" si="0" ref="E11:E42">C11/J11</f>
        <v>4.782035826851491</v>
      </c>
      <c r="F11" s="15">
        <f>J11/'- 7 -'!G11</f>
        <v>158.69897794165212</v>
      </c>
      <c r="G11" s="423">
        <f>'- 32 -'!G11</f>
        <v>7875000</v>
      </c>
      <c r="H11" s="366">
        <f aca="true" t="shared" si="1" ref="H11:H42">G11/J11</f>
        <v>1.6049630552790037</v>
      </c>
      <c r="J11">
        <v>4906655</v>
      </c>
    </row>
    <row r="12" spans="1:10" ht="12.75">
      <c r="A12" s="16">
        <v>2</v>
      </c>
      <c r="B12" s="17" t="s">
        <v>116</v>
      </c>
      <c r="C12" s="424">
        <f>'- 32 -'!E12</f>
        <v>5182244</v>
      </c>
      <c r="D12" s="424">
        <f>C12/'- 7 -'!G12</f>
        <v>566.6255548995167</v>
      </c>
      <c r="E12" s="367">
        <f t="shared" si="0"/>
        <v>3.5024817652433913</v>
      </c>
      <c r="F12" s="17">
        <f>J12/'- 7 -'!G12</f>
        <v>161.77830260884778</v>
      </c>
      <c r="G12" s="424">
        <f>'- 32 -'!G12</f>
        <v>654412</v>
      </c>
      <c r="H12" s="367">
        <f t="shared" si="1"/>
        <v>0.44229219947120557</v>
      </c>
      <c r="J12">
        <v>1479592</v>
      </c>
    </row>
    <row r="13" spans="1:10" ht="12.75">
      <c r="A13" s="14">
        <v>3</v>
      </c>
      <c r="B13" s="15" t="s">
        <v>117</v>
      </c>
      <c r="C13" s="423">
        <f>'- 32 -'!E13</f>
        <v>4099600</v>
      </c>
      <c r="D13" s="423">
        <f>C13/'- 7 -'!G13</f>
        <v>713.5323296492908</v>
      </c>
      <c r="E13" s="366">
        <f t="shared" si="0"/>
        <v>5.373346387906956</v>
      </c>
      <c r="F13" s="15">
        <f>J13/'- 7 -'!G13</f>
        <v>132.79105386824472</v>
      </c>
      <c r="G13" s="423">
        <f>'- 32 -'!G13</f>
        <v>650000</v>
      </c>
      <c r="H13" s="366">
        <f t="shared" si="1"/>
        <v>0.8519551058980197</v>
      </c>
      <c r="J13">
        <v>762951</v>
      </c>
    </row>
    <row r="14" spans="1:10" ht="12.75">
      <c r="A14" s="16">
        <v>4</v>
      </c>
      <c r="B14" s="17" t="s">
        <v>118</v>
      </c>
      <c r="C14" s="424">
        <f>'- 32 -'!E14</f>
        <v>4700890</v>
      </c>
      <c r="D14" s="424">
        <f>C14/'- 7 -'!G14</f>
        <v>754.6781184780864</v>
      </c>
      <c r="E14" s="367">
        <f t="shared" si="0"/>
        <v>4.858600161233644</v>
      </c>
      <c r="F14" s="17">
        <f>J14/'- 7 -'!G14</f>
        <v>155.32830309841066</v>
      </c>
      <c r="G14" s="424">
        <f>'- 32 -'!G14</f>
        <v>300000</v>
      </c>
      <c r="H14" s="367">
        <f t="shared" si="1"/>
        <v>0.3100647001674349</v>
      </c>
      <c r="J14">
        <v>967540</v>
      </c>
    </row>
    <row r="15" spans="1:10" ht="12.75">
      <c r="A15" s="14">
        <v>5</v>
      </c>
      <c r="B15" s="15" t="s">
        <v>119</v>
      </c>
      <c r="C15" s="423">
        <f>'- 32 -'!E15</f>
        <v>4206161</v>
      </c>
      <c r="D15" s="423">
        <f>C15/'- 7 -'!G15</f>
        <v>581.8857300961472</v>
      </c>
      <c r="E15" s="366">
        <f t="shared" si="0"/>
        <v>4.559919559419787</v>
      </c>
      <c r="F15" s="15">
        <f>J15/'- 7 -'!G15</f>
        <v>127.6087708376565</v>
      </c>
      <c r="G15" s="423">
        <f>'- 32 -'!G15</f>
        <v>589484</v>
      </c>
      <c r="H15" s="366">
        <f t="shared" si="1"/>
        <v>0.6390624661217232</v>
      </c>
      <c r="J15">
        <v>922420</v>
      </c>
    </row>
    <row r="16" spans="1:10" ht="12.75">
      <c r="A16" s="16">
        <v>6</v>
      </c>
      <c r="B16" s="17" t="s">
        <v>120</v>
      </c>
      <c r="C16" s="424">
        <f>'- 32 -'!E16</f>
        <v>6933043</v>
      </c>
      <c r="D16" s="424">
        <f>C16/'- 7 -'!G16</f>
        <v>780.0892264416315</v>
      </c>
      <c r="E16" s="367">
        <f t="shared" si="0"/>
        <v>5.631213444651924</v>
      </c>
      <c r="F16" s="17">
        <f>J16/'- 7 -'!G16</f>
        <v>138.52950773558368</v>
      </c>
      <c r="G16" s="424">
        <f>'- 32 -'!G16</f>
        <v>196558</v>
      </c>
      <c r="H16" s="367">
        <f t="shared" si="1"/>
        <v>0.15964996210955174</v>
      </c>
      <c r="J16">
        <v>1231181</v>
      </c>
    </row>
    <row r="17" spans="1:10" ht="12.75">
      <c r="A17" s="14">
        <v>9</v>
      </c>
      <c r="B17" s="15" t="s">
        <v>121</v>
      </c>
      <c r="C17" s="423">
        <f>'- 32 -'!E17</f>
        <v>8450070</v>
      </c>
      <c r="D17" s="423">
        <f>C17/'- 7 -'!G17</f>
        <v>681.1825876662637</v>
      </c>
      <c r="E17" s="366">
        <f t="shared" si="0"/>
        <v>5.354873052537523</v>
      </c>
      <c r="F17" s="15">
        <f>J17/'- 7 -'!G17</f>
        <v>127.20798065296252</v>
      </c>
      <c r="G17" s="423">
        <f>'- 32 -'!G17</f>
        <v>279770</v>
      </c>
      <c r="H17" s="366">
        <f t="shared" si="1"/>
        <v>0.1772923578039499</v>
      </c>
      <c r="J17">
        <v>1578015</v>
      </c>
    </row>
    <row r="18" spans="1:10" ht="12.75">
      <c r="A18" s="16">
        <v>10</v>
      </c>
      <c r="B18" s="17" t="s">
        <v>122</v>
      </c>
      <c r="C18" s="424">
        <f>'- 32 -'!E18</f>
        <v>6559814</v>
      </c>
      <c r="D18" s="424">
        <f>C18/'- 7 -'!G18</f>
        <v>760.6022378108876</v>
      </c>
      <c r="E18" s="367">
        <f t="shared" si="0"/>
        <v>6.0950709361867</v>
      </c>
      <c r="F18" s="17">
        <f>J18/'- 7 -'!G18</f>
        <v>124.78972694069222</v>
      </c>
      <c r="G18" s="424">
        <f>'- 32 -'!G18</f>
        <v>442000</v>
      </c>
      <c r="H18" s="367">
        <f t="shared" si="1"/>
        <v>0.4106856312990767</v>
      </c>
      <c r="J18">
        <v>1076249</v>
      </c>
    </row>
    <row r="19" spans="1:10" ht="12.75">
      <c r="A19" s="14">
        <v>11</v>
      </c>
      <c r="B19" s="15" t="s">
        <v>123</v>
      </c>
      <c r="C19" s="423">
        <f>'- 32 -'!E19</f>
        <v>3046965</v>
      </c>
      <c r="D19" s="423">
        <f>C19/'- 7 -'!G19</f>
        <v>648.7044922290823</v>
      </c>
      <c r="E19" s="366">
        <f t="shared" si="0"/>
        <v>4.802983968851968</v>
      </c>
      <c r="F19" s="15">
        <f>J19/'- 7 -'!G19</f>
        <v>135.06280604641262</v>
      </c>
      <c r="G19" s="423">
        <f>'- 32 -'!G19</f>
        <v>144155</v>
      </c>
      <c r="H19" s="366">
        <f t="shared" si="1"/>
        <v>0.22723403584545784</v>
      </c>
      <c r="J19">
        <v>634390</v>
      </c>
    </row>
    <row r="20" spans="1:10" ht="12.75">
      <c r="A20" s="16">
        <v>12</v>
      </c>
      <c r="B20" s="17" t="s">
        <v>124</v>
      </c>
      <c r="C20" s="424">
        <f>'- 32 -'!E20</f>
        <v>4318163</v>
      </c>
      <c r="D20" s="424">
        <f>C20/'- 7 -'!G20</f>
        <v>565.6488079643699</v>
      </c>
      <c r="E20" s="367">
        <f t="shared" si="0"/>
        <v>3.7329066903645716</v>
      </c>
      <c r="F20" s="17">
        <f>J20/'- 7 -'!G20</f>
        <v>151.5303903589206</v>
      </c>
      <c r="G20" s="424">
        <f>'- 32 -'!G20</f>
        <v>319300</v>
      </c>
      <c r="H20" s="367">
        <f t="shared" si="1"/>
        <v>0.27602411169597063</v>
      </c>
      <c r="J20">
        <v>1156783</v>
      </c>
    </row>
    <row r="21" spans="1:10" ht="12.75">
      <c r="A21" s="14">
        <v>13</v>
      </c>
      <c r="B21" s="15" t="s">
        <v>125</v>
      </c>
      <c r="C21" s="423">
        <f>'- 32 -'!E21</f>
        <v>1731009</v>
      </c>
      <c r="D21" s="423">
        <f>C21/'- 7 -'!G21</f>
        <v>660.6904580152672</v>
      </c>
      <c r="E21" s="366">
        <f t="shared" si="0"/>
        <v>4.524188995640492</v>
      </c>
      <c r="F21" s="15">
        <f>J21/'- 7 -'!G21</f>
        <v>146.0351145038168</v>
      </c>
      <c r="G21" s="423">
        <f>'- 32 -'!G21</f>
        <v>74525</v>
      </c>
      <c r="H21" s="366">
        <f t="shared" si="1"/>
        <v>0.19477956781282343</v>
      </c>
      <c r="J21">
        <v>382612</v>
      </c>
    </row>
    <row r="22" spans="1:10" ht="12.75">
      <c r="A22" s="16">
        <v>14</v>
      </c>
      <c r="B22" s="17" t="s">
        <v>126</v>
      </c>
      <c r="C22" s="424">
        <f>'- 32 -'!E22</f>
        <v>2442321</v>
      </c>
      <c r="D22" s="424">
        <f>C22/'- 7 -'!G22</f>
        <v>713.2946845794393</v>
      </c>
      <c r="E22" s="367">
        <f t="shared" si="0"/>
        <v>4.527881185622437</v>
      </c>
      <c r="F22" s="17">
        <f>J22/'- 7 -'!G22</f>
        <v>157.53387850467288</v>
      </c>
      <c r="G22" s="424">
        <f>'- 32 -'!G22</f>
        <v>156486</v>
      </c>
      <c r="H22" s="367">
        <f t="shared" si="1"/>
        <v>0.29011338608369364</v>
      </c>
      <c r="J22">
        <v>539396</v>
      </c>
    </row>
    <row r="23" spans="1:10" ht="12.75">
      <c r="A23" s="14">
        <v>15</v>
      </c>
      <c r="B23" s="15" t="s">
        <v>127</v>
      </c>
      <c r="C23" s="423">
        <f>'- 32 -'!E23</f>
        <v>3308987</v>
      </c>
      <c r="D23" s="423">
        <f>C23/'- 7 -'!G23</f>
        <v>544.9583333333334</v>
      </c>
      <c r="E23" s="366">
        <f t="shared" si="0"/>
        <v>4.491634315189358</v>
      </c>
      <c r="F23" s="15">
        <f>J23/'- 7 -'!G23</f>
        <v>121.32740447957839</v>
      </c>
      <c r="G23" s="423">
        <f>'- 32 -'!G23</f>
        <v>162000</v>
      </c>
      <c r="H23" s="366">
        <f t="shared" si="1"/>
        <v>0.21989955205646802</v>
      </c>
      <c r="J23">
        <v>736700</v>
      </c>
    </row>
    <row r="24" spans="1:10" ht="12.75">
      <c r="A24" s="16">
        <v>16</v>
      </c>
      <c r="B24" s="17" t="s">
        <v>128</v>
      </c>
      <c r="C24" s="424">
        <f>'- 32 -'!E24</f>
        <v>575912</v>
      </c>
      <c r="D24" s="424">
        <f>C24/'- 7 -'!G24</f>
        <v>692.2019230769231</v>
      </c>
      <c r="E24" s="367">
        <f t="shared" si="0"/>
        <v>4.012261561398375</v>
      </c>
      <c r="F24" s="17">
        <f>J24/'- 7 -'!G24</f>
        <v>172.5216346153846</v>
      </c>
      <c r="G24" s="424">
        <f>'- 32 -'!G24</f>
        <v>31400</v>
      </c>
      <c r="H24" s="367">
        <f t="shared" si="1"/>
        <v>0.21875740222101464</v>
      </c>
      <c r="J24">
        <v>143538</v>
      </c>
    </row>
    <row r="25" spans="1:10" ht="12.75">
      <c r="A25" s="14">
        <v>17</v>
      </c>
      <c r="B25" s="15" t="s">
        <v>129</v>
      </c>
      <c r="C25" s="423">
        <f>'- 32 -'!E25</f>
        <v>344100</v>
      </c>
      <c r="D25" s="423">
        <f>C25/'- 7 -'!G25</f>
        <v>702.3882424984691</v>
      </c>
      <c r="E25" s="366">
        <f t="shared" si="0"/>
        <v>4.05099950554496</v>
      </c>
      <c r="F25" s="15">
        <f>J25/'- 7 -'!G25</f>
        <v>173.38640538885488</v>
      </c>
      <c r="G25" s="423">
        <f>'- 32 -'!G25</f>
        <v>131900</v>
      </c>
      <c r="H25" s="366">
        <f t="shared" si="1"/>
        <v>1.5528242800970073</v>
      </c>
      <c r="J25">
        <v>84942</v>
      </c>
    </row>
    <row r="26" spans="1:10" ht="12.75">
      <c r="A26" s="16">
        <v>18</v>
      </c>
      <c r="B26" s="17" t="s">
        <v>130</v>
      </c>
      <c r="C26" s="424">
        <f>'- 32 -'!E26</f>
        <v>836240</v>
      </c>
      <c r="D26" s="424">
        <f>C26/'- 7 -'!G26</f>
        <v>597.3142857142857</v>
      </c>
      <c r="E26" s="367">
        <f t="shared" si="0"/>
        <v>4.309826780256763</v>
      </c>
      <c r="F26" s="17">
        <f>J26/'- 7 -'!G26</f>
        <v>138.59357142857144</v>
      </c>
      <c r="G26" s="424">
        <f>'- 32 -'!G26</f>
        <v>76000</v>
      </c>
      <c r="H26" s="367">
        <f t="shared" si="1"/>
        <v>0.39168998768238067</v>
      </c>
      <c r="J26">
        <v>194031</v>
      </c>
    </row>
    <row r="27" spans="1:10" ht="12.75">
      <c r="A27" s="14">
        <v>19</v>
      </c>
      <c r="B27" s="15" t="s">
        <v>131</v>
      </c>
      <c r="C27" s="423">
        <f>'- 32 -'!E27</f>
        <v>1016000</v>
      </c>
      <c r="D27" s="423">
        <f>C27/'- 7 -'!G27</f>
        <v>560.2426247587538</v>
      </c>
      <c r="E27" s="366">
        <f t="shared" si="0"/>
        <v>3.525244008646563</v>
      </c>
      <c r="F27" s="15">
        <f>J27/'- 7 -'!G27</f>
        <v>158.92307692307693</v>
      </c>
      <c r="G27" s="423">
        <f>'- 32 -'!G27</f>
        <v>66000</v>
      </c>
      <c r="H27" s="366">
        <f t="shared" si="1"/>
        <v>0.2290020714278279</v>
      </c>
      <c r="J27">
        <v>288207</v>
      </c>
    </row>
    <row r="28" spans="1:10" ht="12.75">
      <c r="A28" s="16">
        <v>20</v>
      </c>
      <c r="B28" s="17" t="s">
        <v>132</v>
      </c>
      <c r="C28" s="424">
        <f>'- 32 -'!E28</f>
        <v>618250</v>
      </c>
      <c r="D28" s="424">
        <f>C28/'- 7 -'!G28</f>
        <v>648.8088991499632</v>
      </c>
      <c r="E28" s="367">
        <f t="shared" si="0"/>
        <v>3.46426470176225</v>
      </c>
      <c r="F28" s="17">
        <f>J28/'- 7 -'!G28</f>
        <v>187.2861790324273</v>
      </c>
      <c r="G28" s="424">
        <f>'- 32 -'!G28</f>
        <v>50000</v>
      </c>
      <c r="H28" s="367">
        <f t="shared" si="1"/>
        <v>0.2801669795197938</v>
      </c>
      <c r="J28">
        <v>178465</v>
      </c>
    </row>
    <row r="29" spans="1:10" ht="12.75">
      <c r="A29" s="14">
        <v>21</v>
      </c>
      <c r="B29" s="15" t="s">
        <v>133</v>
      </c>
      <c r="C29" s="423">
        <f>'- 32 -'!E29</f>
        <v>2021000</v>
      </c>
      <c r="D29" s="423">
        <f>C29/'- 7 -'!G29</f>
        <v>603.1035511787526</v>
      </c>
      <c r="E29" s="366">
        <f t="shared" si="0"/>
        <v>4.5720154647687865</v>
      </c>
      <c r="F29" s="15">
        <f>J29/'- 7 -'!G29</f>
        <v>131.91196657714116</v>
      </c>
      <c r="G29" s="423">
        <f>'- 32 -'!G29</f>
        <v>300000</v>
      </c>
      <c r="H29" s="366">
        <f t="shared" si="1"/>
        <v>0.6786762194114973</v>
      </c>
      <c r="J29">
        <v>442037</v>
      </c>
    </row>
    <row r="30" spans="1:10" ht="12.75">
      <c r="A30" s="16">
        <v>22</v>
      </c>
      <c r="B30" s="17" t="s">
        <v>134</v>
      </c>
      <c r="C30" s="424">
        <f>'- 32 -'!E30</f>
        <v>1258750</v>
      </c>
      <c r="D30" s="424">
        <f>C30/'- 7 -'!G30</f>
        <v>763.1100333434374</v>
      </c>
      <c r="E30" s="367">
        <f t="shared" si="0"/>
        <v>4.968207419452876</v>
      </c>
      <c r="F30" s="17">
        <f>J30/'- 7 -'!G30</f>
        <v>153.5986662625038</v>
      </c>
      <c r="G30" s="424">
        <f>'- 32 -'!G30</f>
        <v>132000</v>
      </c>
      <c r="H30" s="367">
        <f t="shared" si="1"/>
        <v>0.5209957333606988</v>
      </c>
      <c r="J30">
        <v>253361</v>
      </c>
    </row>
    <row r="31" spans="1:10" ht="12.75">
      <c r="A31" s="14">
        <v>23</v>
      </c>
      <c r="B31" s="15" t="s">
        <v>135</v>
      </c>
      <c r="C31" s="423">
        <f>'- 32 -'!E31</f>
        <v>825550</v>
      </c>
      <c r="D31" s="423">
        <f>C31/'- 7 -'!G31</f>
        <v>583.8401697312588</v>
      </c>
      <c r="E31" s="366">
        <f t="shared" si="0"/>
        <v>3.7132075132237055</v>
      </c>
      <c r="F31" s="15">
        <f>J31/'- 7 -'!G31</f>
        <v>157.23338048090523</v>
      </c>
      <c r="G31" s="423">
        <f>'- 32 -'!G31</f>
        <v>84421</v>
      </c>
      <c r="H31" s="366">
        <f t="shared" si="1"/>
        <v>0.379713756252024</v>
      </c>
      <c r="J31">
        <v>222328</v>
      </c>
    </row>
    <row r="32" spans="1:10" ht="12.75">
      <c r="A32" s="16">
        <v>24</v>
      </c>
      <c r="B32" s="17" t="s">
        <v>136</v>
      </c>
      <c r="C32" s="424">
        <f>'- 32 -'!E32</f>
        <v>2500386</v>
      </c>
      <c r="D32" s="424">
        <f>C32/'- 7 -'!G32</f>
        <v>714.947530952449</v>
      </c>
      <c r="E32" s="367">
        <f t="shared" si="0"/>
        <v>3.984558236483676</v>
      </c>
      <c r="F32" s="17">
        <f>J32/'- 7 -'!G32</f>
        <v>179.42955994624424</v>
      </c>
      <c r="G32" s="424">
        <f>'- 32 -'!G32</f>
        <v>153885</v>
      </c>
      <c r="H32" s="367">
        <f t="shared" si="1"/>
        <v>0.24522763454174296</v>
      </c>
      <c r="J32">
        <v>627519</v>
      </c>
    </row>
    <row r="33" spans="1:10" ht="12.75">
      <c r="A33" s="14">
        <v>25</v>
      </c>
      <c r="B33" s="15" t="s">
        <v>137</v>
      </c>
      <c r="C33" s="423">
        <f>'- 32 -'!E33</f>
        <v>944610</v>
      </c>
      <c r="D33" s="423">
        <f>C33/'- 7 -'!G33</f>
        <v>675.68669527897</v>
      </c>
      <c r="E33" s="366">
        <f t="shared" si="0"/>
        <v>4.240559176857189</v>
      </c>
      <c r="F33" s="15">
        <f>J33/'- 7 -'!G33</f>
        <v>159.3390557939914</v>
      </c>
      <c r="G33" s="423">
        <f>'- 32 -'!G33</f>
        <v>125000</v>
      </c>
      <c r="H33" s="366">
        <f t="shared" si="1"/>
        <v>0.5611521126254736</v>
      </c>
      <c r="J33">
        <v>222756</v>
      </c>
    </row>
    <row r="34" spans="1:10" ht="12.75">
      <c r="A34" s="16">
        <v>26</v>
      </c>
      <c r="B34" s="17" t="s">
        <v>138</v>
      </c>
      <c r="C34" s="424">
        <f>'- 32 -'!E34</f>
        <v>1413700</v>
      </c>
      <c r="D34" s="424">
        <f>C34/'- 7 -'!G34</f>
        <v>477.60135135135135</v>
      </c>
      <c r="E34" s="367">
        <f t="shared" si="0"/>
        <v>4.322712818003914</v>
      </c>
      <c r="F34" s="17">
        <f>J34/'- 7 -'!G34</f>
        <v>110.48648648648648</v>
      </c>
      <c r="G34" s="424">
        <f>'- 32 -'!G34</f>
        <v>47000</v>
      </c>
      <c r="H34" s="367">
        <f t="shared" si="1"/>
        <v>0.1437133072407045</v>
      </c>
      <c r="J34">
        <v>327040</v>
      </c>
    </row>
    <row r="35" spans="1:10" ht="12.75">
      <c r="A35" s="14">
        <v>28</v>
      </c>
      <c r="B35" s="15" t="s">
        <v>139</v>
      </c>
      <c r="C35" s="423">
        <f>'- 32 -'!E35</f>
        <v>536597</v>
      </c>
      <c r="D35" s="423">
        <f>C35/'- 7 -'!G35</f>
        <v>654.7858450274558</v>
      </c>
      <c r="E35" s="366">
        <f t="shared" si="0"/>
        <v>3.729812952240611</v>
      </c>
      <c r="F35" s="15">
        <f>J35/'- 7 -'!G35</f>
        <v>175.55460646735816</v>
      </c>
      <c r="G35" s="423">
        <f>'- 32 -'!G35</f>
        <v>41000</v>
      </c>
      <c r="H35" s="366">
        <f t="shared" si="1"/>
        <v>0.2849854379392077</v>
      </c>
      <c r="J35">
        <v>143867</v>
      </c>
    </row>
    <row r="36" spans="1:10" ht="12.75">
      <c r="A36" s="16">
        <v>30</v>
      </c>
      <c r="B36" s="17" t="s">
        <v>140</v>
      </c>
      <c r="C36" s="424">
        <f>'- 32 -'!E36</f>
        <v>780315</v>
      </c>
      <c r="D36" s="424">
        <f>C36/'- 7 -'!G36</f>
        <v>599.5044560540873</v>
      </c>
      <c r="E36" s="367">
        <f t="shared" si="0"/>
        <v>3.734011245364278</v>
      </c>
      <c r="F36" s="17">
        <f>J36/'- 7 -'!G36</f>
        <v>160.5523970497849</v>
      </c>
      <c r="G36" s="424">
        <f>'- 32 -'!G36</f>
        <v>176020</v>
      </c>
      <c r="H36" s="367">
        <f t="shared" si="1"/>
        <v>0.8423017107309487</v>
      </c>
      <c r="J36">
        <v>208975</v>
      </c>
    </row>
    <row r="37" spans="1:10" ht="12.75">
      <c r="A37" s="14">
        <v>31</v>
      </c>
      <c r="B37" s="15" t="s">
        <v>141</v>
      </c>
      <c r="C37" s="423">
        <f>'- 32 -'!E37</f>
        <v>889264</v>
      </c>
      <c r="D37" s="423">
        <f>C37/'- 7 -'!G37</f>
        <v>548.9283950617285</v>
      </c>
      <c r="E37" s="366">
        <f t="shared" si="0"/>
        <v>3.6825270620584556</v>
      </c>
      <c r="F37" s="15">
        <f>J37/'- 7 -'!G37</f>
        <v>149.06296296296296</v>
      </c>
      <c r="G37" s="423">
        <f>'- 32 -'!G37</f>
        <v>223000</v>
      </c>
      <c r="H37" s="366">
        <f t="shared" si="1"/>
        <v>0.9234642747699622</v>
      </c>
      <c r="J37">
        <v>241482</v>
      </c>
    </row>
    <row r="38" spans="1:10" ht="12.75">
      <c r="A38" s="16">
        <v>32</v>
      </c>
      <c r="B38" s="17" t="s">
        <v>142</v>
      </c>
      <c r="C38" s="424">
        <f>'- 32 -'!E38</f>
        <v>664506</v>
      </c>
      <c r="D38" s="424">
        <f>C38/'- 7 -'!G38</f>
        <v>791.5497319833235</v>
      </c>
      <c r="E38" s="367">
        <f t="shared" si="0"/>
        <v>3.2094141966394427</v>
      </c>
      <c r="F38" s="17">
        <f>J38/'- 7 -'!G38</f>
        <v>246.63371054198927</v>
      </c>
      <c r="G38" s="424">
        <f>'- 32 -'!G38</f>
        <v>51175</v>
      </c>
      <c r="H38" s="367">
        <f t="shared" si="1"/>
        <v>0.24716371486942704</v>
      </c>
      <c r="J38">
        <v>207049</v>
      </c>
    </row>
    <row r="39" spans="1:10" ht="12.75">
      <c r="A39" s="14">
        <v>33</v>
      </c>
      <c r="B39" s="15" t="s">
        <v>143</v>
      </c>
      <c r="C39" s="423">
        <f>'- 32 -'!E39</f>
        <v>1317594</v>
      </c>
      <c r="D39" s="423">
        <f>C39/'- 7 -'!G39</f>
        <v>704.5580450243303</v>
      </c>
      <c r="E39" s="366">
        <f t="shared" si="0"/>
        <v>2.628579750507225</v>
      </c>
      <c r="F39" s="15">
        <f>J39/'- 7 -'!G39</f>
        <v>268.03753809956686</v>
      </c>
      <c r="G39" s="423">
        <f>'- 32 -'!G39</f>
        <v>77618</v>
      </c>
      <c r="H39" s="366">
        <f t="shared" si="1"/>
        <v>0.154846715357591</v>
      </c>
      <c r="J39">
        <v>501257</v>
      </c>
    </row>
    <row r="40" spans="1:10" ht="12.75">
      <c r="A40" s="16">
        <v>34</v>
      </c>
      <c r="B40" s="17" t="s">
        <v>144</v>
      </c>
      <c r="C40" s="424">
        <f>'- 32 -'!E40</f>
        <v>689811</v>
      </c>
      <c r="D40" s="424">
        <f>C40/'- 7 -'!G40</f>
        <v>944.299794661191</v>
      </c>
      <c r="E40" s="367">
        <f t="shared" si="0"/>
        <v>3.528679656447743</v>
      </c>
      <c r="F40" s="17">
        <f>J40/'- 7 -'!G40</f>
        <v>267.60711841204653</v>
      </c>
      <c r="G40" s="424">
        <f>'- 32 -'!G40</f>
        <v>41541</v>
      </c>
      <c r="H40" s="367">
        <f t="shared" si="1"/>
        <v>0.21250006394287088</v>
      </c>
      <c r="J40">
        <v>195487</v>
      </c>
    </row>
    <row r="41" spans="1:10" ht="12.75">
      <c r="A41" s="14">
        <v>35</v>
      </c>
      <c r="B41" s="15" t="s">
        <v>145</v>
      </c>
      <c r="C41" s="423">
        <f>'- 32 -'!E41</f>
        <v>1508904</v>
      </c>
      <c r="D41" s="423">
        <f>C41/'- 7 -'!G41</f>
        <v>788.0217255065803</v>
      </c>
      <c r="E41" s="366">
        <f t="shared" si="0"/>
        <v>4.491373870387789</v>
      </c>
      <c r="F41" s="15">
        <f>J41/'- 7 -'!G41</f>
        <v>175.45226655525383</v>
      </c>
      <c r="G41" s="423">
        <f>'- 32 -'!G41</f>
        <v>59309</v>
      </c>
      <c r="H41" s="366">
        <f t="shared" si="1"/>
        <v>0.17653799902368167</v>
      </c>
      <c r="J41">
        <v>335956</v>
      </c>
    </row>
    <row r="42" spans="1:10" ht="12.75">
      <c r="A42" s="16">
        <v>36</v>
      </c>
      <c r="B42" s="17" t="s">
        <v>146</v>
      </c>
      <c r="C42" s="424">
        <f>'- 32 -'!E42</f>
        <v>821309</v>
      </c>
      <c r="D42" s="424">
        <f>C42/'- 7 -'!G42</f>
        <v>878.4053475935829</v>
      </c>
      <c r="E42" s="367">
        <f t="shared" si="0"/>
        <v>3.280813463451268</v>
      </c>
      <c r="F42" s="17">
        <f>J42/'- 7 -'!G42</f>
        <v>267.74010695187167</v>
      </c>
      <c r="G42" s="424">
        <f>'- 32 -'!G42</f>
        <v>35750</v>
      </c>
      <c r="H42" s="367">
        <f t="shared" si="1"/>
        <v>0.1428074954960713</v>
      </c>
      <c r="J42">
        <v>250337</v>
      </c>
    </row>
    <row r="43" spans="1:10" ht="12.75">
      <c r="A43" s="14">
        <v>37</v>
      </c>
      <c r="B43" s="15" t="s">
        <v>147</v>
      </c>
      <c r="C43" s="423">
        <f>'- 32 -'!E43</f>
        <v>648394</v>
      </c>
      <c r="D43" s="423">
        <f>C43/'- 7 -'!G43</f>
        <v>703.2244070149561</v>
      </c>
      <c r="E43" s="366">
        <f aca="true" t="shared" si="2" ref="E43:E63">C43/J43</f>
        <v>3.51269327034553</v>
      </c>
      <c r="F43" s="15">
        <f>J43/'- 7 -'!G43</f>
        <v>200.19522141361995</v>
      </c>
      <c r="G43" s="423">
        <f>'- 32 -'!G43</f>
        <v>58000</v>
      </c>
      <c r="H43" s="366">
        <f aca="true" t="shared" si="3" ref="H43:H63">G43/J43</f>
        <v>0.31421667948815185</v>
      </c>
      <c r="J43">
        <v>184586</v>
      </c>
    </row>
    <row r="44" spans="1:10" ht="12.75">
      <c r="A44" s="16">
        <v>38</v>
      </c>
      <c r="B44" s="17" t="s">
        <v>148</v>
      </c>
      <c r="C44" s="424">
        <f>'- 32 -'!E44</f>
        <v>879531</v>
      </c>
      <c r="D44" s="424">
        <f>C44/'- 7 -'!G44</f>
        <v>753.0231164383562</v>
      </c>
      <c r="E44" s="367">
        <f t="shared" si="2"/>
        <v>3.723780975727477</v>
      </c>
      <c r="F44" s="17">
        <f>J44/'- 7 -'!G44</f>
        <v>202.22003424657535</v>
      </c>
      <c r="G44" s="424">
        <f>'- 32 -'!G44</f>
        <v>49839</v>
      </c>
      <c r="H44" s="367">
        <f t="shared" si="3"/>
        <v>0.21100964042118098</v>
      </c>
      <c r="J44">
        <v>236193</v>
      </c>
    </row>
    <row r="45" spans="1:10" ht="12.75">
      <c r="A45" s="14">
        <v>39</v>
      </c>
      <c r="B45" s="15" t="s">
        <v>149</v>
      </c>
      <c r="C45" s="423">
        <f>'- 32 -'!E45</f>
        <v>1541900</v>
      </c>
      <c r="D45" s="423">
        <f>C45/'- 7 -'!G45</f>
        <v>734.2380952380952</v>
      </c>
      <c r="E45" s="366">
        <f t="shared" si="2"/>
        <v>4.640014444561472</v>
      </c>
      <c r="F45" s="15">
        <f>J45/'- 7 -'!G45</f>
        <v>158.2404761904762</v>
      </c>
      <c r="G45" s="423">
        <f>'- 32 -'!G45</f>
        <v>80000</v>
      </c>
      <c r="H45" s="366">
        <f t="shared" si="3"/>
        <v>0.24074269120235928</v>
      </c>
      <c r="J45">
        <v>332305</v>
      </c>
    </row>
    <row r="46" spans="1:10" ht="12.75">
      <c r="A46" s="16">
        <v>40</v>
      </c>
      <c r="B46" s="17" t="s">
        <v>150</v>
      </c>
      <c r="C46" s="424">
        <f>'- 32 -'!E46</f>
        <v>3849900</v>
      </c>
      <c r="D46" s="424">
        <f>C46/'- 7 -'!G46</f>
        <v>520.151320678241</v>
      </c>
      <c r="E46" s="367">
        <f t="shared" si="2"/>
        <v>3.7162739380109406</v>
      </c>
      <c r="F46" s="17">
        <f>J46/'- 7 -'!G46</f>
        <v>139.96581773964738</v>
      </c>
      <c r="G46" s="424">
        <f>'- 32 -'!G46</f>
        <v>379400</v>
      </c>
      <c r="H46" s="367">
        <f t="shared" si="3"/>
        <v>0.36623141694105066</v>
      </c>
      <c r="J46">
        <v>1035957</v>
      </c>
    </row>
    <row r="47" spans="1:10" ht="12.75">
      <c r="A47" s="14">
        <v>41</v>
      </c>
      <c r="B47" s="15" t="s">
        <v>151</v>
      </c>
      <c r="C47" s="423">
        <f>'- 32 -'!E47</f>
        <v>1092329</v>
      </c>
      <c r="D47" s="423">
        <f>C47/'- 7 -'!G47</f>
        <v>692.0044345898004</v>
      </c>
      <c r="E47" s="366">
        <f t="shared" si="2"/>
        <v>3.8956654160544373</v>
      </c>
      <c r="F47" s="15">
        <f>J47/'- 7 -'!G47</f>
        <v>177.63446309787773</v>
      </c>
      <c r="G47" s="423">
        <f>'- 32 -'!G47</f>
        <v>130000</v>
      </c>
      <c r="H47" s="366">
        <f t="shared" si="3"/>
        <v>0.4636300089872894</v>
      </c>
      <c r="J47">
        <v>280396</v>
      </c>
    </row>
    <row r="48" spans="1:10" ht="12.75">
      <c r="A48" s="16">
        <v>42</v>
      </c>
      <c r="B48" s="17" t="s">
        <v>152</v>
      </c>
      <c r="C48" s="424">
        <f>'- 32 -'!E48</f>
        <v>749244</v>
      </c>
      <c r="D48" s="424">
        <f>C48/'- 7 -'!G48</f>
        <v>720.0807304180682</v>
      </c>
      <c r="E48" s="367">
        <f t="shared" si="2"/>
        <v>4.4372297961552585</v>
      </c>
      <c r="F48" s="17">
        <f>J48/'- 7 -'!G48</f>
        <v>162.28159538683326</v>
      </c>
      <c r="G48" s="424">
        <f>'- 32 -'!G48</f>
        <v>69987</v>
      </c>
      <c r="H48" s="367">
        <f t="shared" si="3"/>
        <v>0.41448233385054545</v>
      </c>
      <c r="J48">
        <v>168854</v>
      </c>
    </row>
    <row r="49" spans="1:10" ht="12.75">
      <c r="A49" s="14">
        <v>43</v>
      </c>
      <c r="B49" s="15" t="s">
        <v>153</v>
      </c>
      <c r="C49" s="423">
        <f>'- 32 -'!E49</f>
        <v>578900</v>
      </c>
      <c r="D49" s="423">
        <f>C49/'- 7 -'!G49</f>
        <v>745.524790727624</v>
      </c>
      <c r="E49" s="366">
        <f t="shared" si="2"/>
        <v>3.668056417989887</v>
      </c>
      <c r="F49" s="15">
        <f>J49/'- 7 -'!G49</f>
        <v>203.24790727623954</v>
      </c>
      <c r="G49" s="423">
        <f>'- 32 -'!G49</f>
        <v>80000</v>
      </c>
      <c r="H49" s="366">
        <f t="shared" si="3"/>
        <v>0.506900178682313</v>
      </c>
      <c r="J49">
        <v>157822</v>
      </c>
    </row>
    <row r="50" spans="1:10" ht="12.75">
      <c r="A50" s="16">
        <v>44</v>
      </c>
      <c r="B50" s="17" t="s">
        <v>154</v>
      </c>
      <c r="C50" s="424">
        <f>'- 32 -'!E50</f>
        <v>672979</v>
      </c>
      <c r="D50" s="424">
        <f>C50/'- 7 -'!G50</f>
        <v>553.6643356643357</v>
      </c>
      <c r="E50" s="367">
        <f t="shared" si="2"/>
        <v>3.4294719569493566</v>
      </c>
      <c r="F50" s="17">
        <f>J50/'- 7 -'!G50</f>
        <v>161.4430275606746</v>
      </c>
      <c r="G50" s="424">
        <f>'- 32 -'!G50</f>
        <v>168500</v>
      </c>
      <c r="H50" s="367">
        <f t="shared" si="3"/>
        <v>0.8586687322278505</v>
      </c>
      <c r="J50">
        <v>196234</v>
      </c>
    </row>
    <row r="51" spans="1:10" ht="12.75">
      <c r="A51" s="14">
        <v>45</v>
      </c>
      <c r="B51" s="15" t="s">
        <v>155</v>
      </c>
      <c r="C51" s="423">
        <f>'- 32 -'!E51</f>
        <v>1516150</v>
      </c>
      <c r="D51" s="423">
        <f>C51/'- 7 -'!G51</f>
        <v>802.6204340921122</v>
      </c>
      <c r="E51" s="366">
        <f t="shared" si="2"/>
        <v>4.4804413802886</v>
      </c>
      <c r="F51" s="15">
        <f>J51/'- 7 -'!G51</f>
        <v>179.1386977236633</v>
      </c>
      <c r="G51" s="423">
        <f>'- 32 -'!G51</f>
        <v>103000</v>
      </c>
      <c r="H51" s="366">
        <f t="shared" si="3"/>
        <v>0.30437981873147496</v>
      </c>
      <c r="J51">
        <v>338393</v>
      </c>
    </row>
    <row r="52" spans="1:10" ht="12.75">
      <c r="A52" s="16">
        <v>46</v>
      </c>
      <c r="B52" s="17" t="s">
        <v>156</v>
      </c>
      <c r="C52" s="424">
        <f>'- 32 -'!E52</f>
        <v>1342459</v>
      </c>
      <c r="D52" s="424">
        <f>C52/'- 7 -'!G52</f>
        <v>894.3764157228514</v>
      </c>
      <c r="E52" s="367">
        <f t="shared" si="2"/>
        <v>5.787159657200007</v>
      </c>
      <c r="F52" s="17">
        <f>J52/'- 7 -'!G52</f>
        <v>154.54497001998666</v>
      </c>
      <c r="G52" s="424">
        <f>'- 32 -'!G52</f>
        <v>80900</v>
      </c>
      <c r="H52" s="367">
        <f t="shared" si="3"/>
        <v>0.3487489869467005</v>
      </c>
      <c r="J52">
        <v>231972</v>
      </c>
    </row>
    <row r="53" spans="1:10" ht="12.75">
      <c r="A53" s="14">
        <v>47</v>
      </c>
      <c r="B53" s="15" t="s">
        <v>157</v>
      </c>
      <c r="C53" s="423">
        <f>'- 32 -'!E53</f>
        <v>813797</v>
      </c>
      <c r="D53" s="423">
        <f>C53/'- 7 -'!G53</f>
        <v>573.5003523608175</v>
      </c>
      <c r="E53" s="366">
        <f t="shared" si="2"/>
        <v>4.452257595071751</v>
      </c>
      <c r="F53" s="15">
        <f>J53/'- 7 -'!G53</f>
        <v>128.81113460183226</v>
      </c>
      <c r="G53" s="423">
        <f>'- 32 -'!G53</f>
        <v>152188</v>
      </c>
      <c r="H53" s="366">
        <f t="shared" si="3"/>
        <v>0.8326157246571071</v>
      </c>
      <c r="J53">
        <v>182783</v>
      </c>
    </row>
    <row r="54" spans="1:10" ht="12.75">
      <c r="A54" s="16">
        <v>48</v>
      </c>
      <c r="B54" s="17" t="s">
        <v>158</v>
      </c>
      <c r="C54" s="424">
        <f>'- 32 -'!E54</f>
        <v>8168671</v>
      </c>
      <c r="D54" s="424">
        <f>C54/'- 7 -'!G54</f>
        <v>1573.925048169557</v>
      </c>
      <c r="E54" s="367">
        <f t="shared" si="2"/>
        <v>7.399399799268816</v>
      </c>
      <c r="F54" s="17">
        <f>J54/'- 7 -'!G54</f>
        <v>212.70982658959537</v>
      </c>
      <c r="G54" s="424">
        <f>'- 32 -'!G54</f>
        <v>643090</v>
      </c>
      <c r="H54" s="367">
        <f t="shared" si="3"/>
        <v>0.5825280534510183</v>
      </c>
      <c r="J54">
        <v>1103964</v>
      </c>
    </row>
    <row r="55" spans="1:10" ht="12.75">
      <c r="A55" s="14">
        <v>49</v>
      </c>
      <c r="B55" s="15" t="s">
        <v>159</v>
      </c>
      <c r="C55" s="423">
        <f>'- 32 -'!E55</f>
        <v>3960588</v>
      </c>
      <c r="D55" s="423">
        <f>C55/'- 7 -'!G55</f>
        <v>914.6854503464203</v>
      </c>
      <c r="E55" s="366">
        <f t="shared" si="2"/>
        <v>6.32249516305146</v>
      </c>
      <c r="F55" s="15">
        <f>J55/'- 7 -'!G55</f>
        <v>144.6715935334873</v>
      </c>
      <c r="G55" s="423">
        <f>'- 32 -'!G55</f>
        <v>300000</v>
      </c>
      <c r="H55" s="366">
        <f t="shared" si="3"/>
        <v>0.47890579603721417</v>
      </c>
      <c r="J55">
        <v>626428</v>
      </c>
    </row>
    <row r="56" spans="1:10" ht="12.75">
      <c r="A56" s="16">
        <v>50</v>
      </c>
      <c r="B56" s="17" t="s">
        <v>340</v>
      </c>
      <c r="C56" s="424">
        <f>'- 32 -'!E56</f>
        <v>1497800</v>
      </c>
      <c r="D56" s="424">
        <f>C56/'- 7 -'!G56</f>
        <v>870.0551844321812</v>
      </c>
      <c r="E56" s="367">
        <f t="shared" si="2"/>
        <v>4.076988613938195</v>
      </c>
      <c r="F56" s="17">
        <f>J56/'- 7 -'!G56</f>
        <v>213.40633168748184</v>
      </c>
      <c r="G56" s="424">
        <f>'- 32 -'!G56</f>
        <v>129800</v>
      </c>
      <c r="H56" s="367">
        <f t="shared" si="3"/>
        <v>0.353313608017878</v>
      </c>
      <c r="J56">
        <v>367379</v>
      </c>
    </row>
    <row r="57" spans="1:10" ht="12.75">
      <c r="A57" s="14">
        <v>2264</v>
      </c>
      <c r="B57" s="15" t="s">
        <v>160</v>
      </c>
      <c r="C57" s="423">
        <f>'- 32 -'!E57</f>
        <v>314749</v>
      </c>
      <c r="D57" s="423">
        <f>C57/'- 7 -'!G57</f>
        <v>1527.9077669902913</v>
      </c>
      <c r="E57" s="366">
        <f t="shared" si="2"/>
        <v>4.0904117066070595</v>
      </c>
      <c r="F57" s="15">
        <f>J57/'- 7 -'!G57</f>
        <v>373.5339805825243</v>
      </c>
      <c r="G57" s="423">
        <f>'- 32 -'!G57</f>
        <v>8622</v>
      </c>
      <c r="H57" s="366">
        <f t="shared" si="3"/>
        <v>0.11204969589852888</v>
      </c>
      <c r="J57">
        <v>76948</v>
      </c>
    </row>
    <row r="58" spans="1:10" ht="12.75">
      <c r="A58" s="16">
        <v>2309</v>
      </c>
      <c r="B58" s="17" t="s">
        <v>161</v>
      </c>
      <c r="C58" s="424">
        <f>'- 32 -'!E58</f>
        <v>300030</v>
      </c>
      <c r="D58" s="424">
        <f>C58/'- 7 -'!G58</f>
        <v>1146.465418418036</v>
      </c>
      <c r="E58" s="367">
        <f t="shared" si="2"/>
        <v>4.976447172001991</v>
      </c>
      <c r="F58" s="17">
        <f>J58/'- 7 -'!G58</f>
        <v>230.3782957585021</v>
      </c>
      <c r="G58" s="424">
        <f>'- 32 -'!G58</f>
        <v>6246</v>
      </c>
      <c r="H58" s="367">
        <f t="shared" si="3"/>
        <v>0.10359927019406204</v>
      </c>
      <c r="J58">
        <v>60290</v>
      </c>
    </row>
    <row r="59" spans="1:10" ht="12.75">
      <c r="A59" s="14">
        <v>2312</v>
      </c>
      <c r="B59" s="15" t="s">
        <v>162</v>
      </c>
      <c r="C59" s="423">
        <f>'- 32 -'!E59</f>
        <v>250383</v>
      </c>
      <c r="D59" s="423">
        <f>C59/'- 7 -'!G59</f>
        <v>1443.1296829971182</v>
      </c>
      <c r="E59" s="366">
        <f t="shared" si="2"/>
        <v>4.222025495750708</v>
      </c>
      <c r="F59" s="15">
        <f>J59/'- 7 -'!G59</f>
        <v>341.8097982708934</v>
      </c>
      <c r="G59" s="423">
        <f>'- 32 -'!G59</f>
        <v>12769</v>
      </c>
      <c r="H59" s="366">
        <f t="shared" si="3"/>
        <v>0.2153143126939161</v>
      </c>
      <c r="J59">
        <v>59304</v>
      </c>
    </row>
    <row r="60" spans="1:10" ht="12.75">
      <c r="A60" s="16">
        <v>2355</v>
      </c>
      <c r="B60" s="17" t="s">
        <v>163</v>
      </c>
      <c r="C60" s="424">
        <f>'- 32 -'!E60</f>
        <v>2731073</v>
      </c>
      <c r="D60" s="424">
        <f>C60/'- 7 -'!G60</f>
        <v>815.36736826392</v>
      </c>
      <c r="E60" s="367">
        <f t="shared" si="2"/>
        <v>5.928222883066704</v>
      </c>
      <c r="F60" s="17">
        <f>J60/'- 7 -'!G60</f>
        <v>137.5399313330348</v>
      </c>
      <c r="G60" s="424">
        <f>'- 32 -'!G60</f>
        <v>119500</v>
      </c>
      <c r="H60" s="367">
        <f t="shared" si="3"/>
        <v>0.25939351841802516</v>
      </c>
      <c r="J60">
        <v>460690</v>
      </c>
    </row>
    <row r="61" spans="1:10" ht="12.75">
      <c r="A61" s="14">
        <v>2439</v>
      </c>
      <c r="B61" s="15" t="s">
        <v>164</v>
      </c>
      <c r="C61" s="423">
        <f>'- 32 -'!E61</f>
        <v>130453</v>
      </c>
      <c r="D61" s="423">
        <f>C61/'- 7 -'!G61</f>
        <v>823.0473186119874</v>
      </c>
      <c r="E61" s="366">
        <f t="shared" si="2"/>
        <v>4.702195148325703</v>
      </c>
      <c r="F61" s="15">
        <f>J61/'- 7 -'!G61</f>
        <v>175.0347003154574</v>
      </c>
      <c r="G61" s="423">
        <f>'- 32 -'!G61</f>
        <v>12100</v>
      </c>
      <c r="H61" s="366">
        <f t="shared" si="3"/>
        <v>0.4361460548606856</v>
      </c>
      <c r="J61">
        <v>27743</v>
      </c>
    </row>
    <row r="62" spans="1:10" ht="12.75">
      <c r="A62" s="16">
        <v>2460</v>
      </c>
      <c r="B62" s="17" t="s">
        <v>165</v>
      </c>
      <c r="C62" s="424">
        <f>'- 32 -'!E62</f>
        <v>368700</v>
      </c>
      <c r="D62" s="424">
        <f>C62/'- 7 -'!G62</f>
        <v>1354.5187362233653</v>
      </c>
      <c r="E62" s="367">
        <f t="shared" si="2"/>
        <v>4.472614787408261</v>
      </c>
      <c r="F62" s="17">
        <f>J62/'- 7 -'!G62</f>
        <v>302.8471711976488</v>
      </c>
      <c r="G62" s="424">
        <f>'- 32 -'!G62</f>
        <v>10000</v>
      </c>
      <c r="H62" s="367">
        <f t="shared" si="3"/>
        <v>0.12130769697337296</v>
      </c>
      <c r="J62">
        <v>82435</v>
      </c>
    </row>
    <row r="63" spans="1:10" ht="12.75">
      <c r="A63" s="14">
        <v>3000</v>
      </c>
      <c r="B63" s="15" t="s">
        <v>363</v>
      </c>
      <c r="C63" s="423">
        <f>'- 32 -'!E63</f>
        <v>616417</v>
      </c>
      <c r="D63" s="423">
        <f>C63/'- 7 -'!G63</f>
        <v>770.3286678330417</v>
      </c>
      <c r="E63" s="366">
        <f t="shared" si="2"/>
        <v>4.9027042074286165</v>
      </c>
      <c r="F63" s="15">
        <f>J63/'- 7 -'!G63</f>
        <v>157.1232191952012</v>
      </c>
      <c r="G63" s="423">
        <f>'- 32 -'!G63</f>
        <v>59510</v>
      </c>
      <c r="H63" s="366">
        <f t="shared" si="3"/>
        <v>0.47331583552055995</v>
      </c>
      <c r="J63">
        <v>125730</v>
      </c>
    </row>
    <row r="64" spans="1:10" ht="4.5" customHeight="1">
      <c r="A64" s="18"/>
      <c r="B64" s="18"/>
      <c r="C64" s="425"/>
      <c r="D64" s="425"/>
      <c r="E64" s="368"/>
      <c r="F64" s="18"/>
      <c r="G64" s="425"/>
      <c r="H64" s="368"/>
      <c r="J64" s="7"/>
    </row>
    <row r="65" spans="1:10" ht="12.75">
      <c r="A65" s="20"/>
      <c r="B65" s="21" t="s">
        <v>166</v>
      </c>
      <c r="C65" s="426">
        <f>SUM(C11:C63)</f>
        <v>130030312</v>
      </c>
      <c r="D65" s="426">
        <f>C65/'- 7 -'!G65</f>
        <v>718.8183744417257</v>
      </c>
      <c r="E65" s="369">
        <f>C65/J65</f>
        <v>4.680796978378751</v>
      </c>
      <c r="F65" s="21">
        <f>J65/'- 7 -'!G65</f>
        <v>153.56751804490713</v>
      </c>
      <c r="G65" s="426">
        <f>SUM(G11:G63)</f>
        <v>16400160</v>
      </c>
      <c r="H65" s="369">
        <f>G65/J65</f>
        <v>0.5903686470653708</v>
      </c>
      <c r="J65">
        <f>SUM(J11:J63)</f>
        <v>27779524</v>
      </c>
    </row>
    <row r="66" spans="1:10" ht="4.5" customHeight="1">
      <c r="A66" s="18"/>
      <c r="B66" s="18"/>
      <c r="C66" s="425"/>
      <c r="D66" s="425"/>
      <c r="E66" s="368"/>
      <c r="F66" s="18"/>
      <c r="G66" s="425"/>
      <c r="H66" s="368"/>
      <c r="J66" s="7"/>
    </row>
    <row r="67" spans="1:10" ht="12.75">
      <c r="A67" s="16">
        <v>2155</v>
      </c>
      <c r="B67" s="17" t="s">
        <v>167</v>
      </c>
      <c r="C67" s="424">
        <f>'- 32 -'!E67</f>
        <v>132530</v>
      </c>
      <c r="D67" s="424">
        <f>C67/'- 7 -'!G67</f>
        <v>933.3098591549295</v>
      </c>
      <c r="E67" s="379" t="s">
        <v>344</v>
      </c>
      <c r="F67" s="411" t="s">
        <v>344</v>
      </c>
      <c r="G67" s="424">
        <f>'- 32 -'!G67</f>
        <v>50000</v>
      </c>
      <c r="H67" s="379" t="s">
        <v>344</v>
      </c>
      <c r="J67" s="318" t="s">
        <v>168</v>
      </c>
    </row>
    <row r="68" spans="1:10" ht="12.75">
      <c r="A68" s="14">
        <v>2408</v>
      </c>
      <c r="B68" s="15" t="s">
        <v>169</v>
      </c>
      <c r="C68" s="423">
        <f>'- 32 -'!E68</f>
        <v>326487</v>
      </c>
      <c r="D68" s="423">
        <f>C68/'- 7 -'!G68</f>
        <v>1338.061475409836</v>
      </c>
      <c r="E68" s="380" t="s">
        <v>344</v>
      </c>
      <c r="F68" s="410" t="s">
        <v>344</v>
      </c>
      <c r="G68" s="423">
        <f>'- 32 -'!G68</f>
        <v>0</v>
      </c>
      <c r="H68" s="380" t="s">
        <v>344</v>
      </c>
      <c r="J68" s="318" t="s">
        <v>168</v>
      </c>
    </row>
    <row r="69" ht="6.75" customHeight="1"/>
    <row r="70" spans="1:7" ht="12" customHeight="1">
      <c r="A70" s="396" t="s">
        <v>351</v>
      </c>
      <c r="B70" s="272" t="s">
        <v>501</v>
      </c>
      <c r="C70" s="18"/>
      <c r="D70" s="18"/>
      <c r="E70" s="18"/>
      <c r="F70" s="18"/>
      <c r="G70" s="18"/>
    </row>
    <row r="71" spans="2:7" ht="12" customHeight="1">
      <c r="B71" s="272" t="s">
        <v>495</v>
      </c>
      <c r="C71" s="18"/>
      <c r="D71" s="18"/>
      <c r="E71" s="18"/>
      <c r="F71" s="18"/>
      <c r="G71" s="18"/>
    </row>
    <row r="72" spans="1:7" ht="12" customHeight="1">
      <c r="A72" s="396" t="s">
        <v>352</v>
      </c>
      <c r="B72" s="272" t="s">
        <v>478</v>
      </c>
      <c r="C72" s="18"/>
      <c r="D72" s="18"/>
      <c r="E72" s="18"/>
      <c r="F72" s="18"/>
      <c r="G72" s="18"/>
    </row>
    <row r="73" spans="1:7" ht="12" customHeight="1">
      <c r="A73" s="7"/>
      <c r="B73" s="7"/>
      <c r="C73" s="18"/>
      <c r="D73" s="18"/>
      <c r="E73" s="18"/>
      <c r="F73" s="18"/>
      <c r="G73" s="18"/>
    </row>
    <row r="74" spans="1:7" ht="12" customHeight="1">
      <c r="A74" s="7"/>
      <c r="B74" s="7"/>
      <c r="C74" s="18"/>
      <c r="D74" s="18"/>
      <c r="E74" s="18"/>
      <c r="F74" s="18"/>
      <c r="G74" s="18"/>
    </row>
    <row r="75" spans="3:7" ht="12" customHeight="1">
      <c r="C75" s="18"/>
      <c r="D75" s="18"/>
      <c r="E75" s="18"/>
      <c r="F75" s="18"/>
      <c r="G75" s="18"/>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8"/>
      <c r="B1" s="80"/>
      <c r="C1" s="142"/>
      <c r="D1" s="142"/>
      <c r="E1" s="142"/>
      <c r="F1" s="142"/>
      <c r="G1" s="142"/>
      <c r="H1" s="142"/>
      <c r="I1" s="142"/>
      <c r="J1" s="142"/>
      <c r="K1" s="142"/>
    </row>
    <row r="2" spans="1:11" ht="12.75">
      <c r="A2" s="9"/>
      <c r="B2" s="83"/>
      <c r="C2" s="200" t="s">
        <v>318</v>
      </c>
      <c r="D2" s="200"/>
      <c r="E2" s="200"/>
      <c r="F2" s="200"/>
      <c r="G2" s="200"/>
      <c r="H2" s="200"/>
      <c r="I2" s="215"/>
      <c r="J2" s="231"/>
      <c r="K2" s="219"/>
    </row>
    <row r="3" spans="1:11" ht="12.75">
      <c r="A3" s="10"/>
      <c r="B3" s="86"/>
      <c r="C3" s="203" t="str">
        <f>YEAR</f>
        <v>OPERATING FUND BUDGET 2002/2003</v>
      </c>
      <c r="D3" s="203"/>
      <c r="E3" s="203"/>
      <c r="F3" s="203"/>
      <c r="G3" s="203"/>
      <c r="H3" s="203"/>
      <c r="I3" s="216"/>
      <c r="J3" s="216"/>
      <c r="K3" s="220"/>
    </row>
    <row r="4" spans="1:11" ht="12.75">
      <c r="A4" s="11"/>
      <c r="C4" s="142"/>
      <c r="D4" s="142"/>
      <c r="E4" s="142"/>
      <c r="F4" s="142"/>
      <c r="G4" s="142"/>
      <c r="H4" s="142"/>
      <c r="I4" s="142"/>
      <c r="J4" s="142"/>
      <c r="K4" s="142"/>
    </row>
    <row r="5" ht="12.75">
      <c r="A5" s="11"/>
    </row>
    <row r="6" spans="1:11" ht="18.75">
      <c r="A6" s="11"/>
      <c r="C6" s="407" t="s">
        <v>402</v>
      </c>
      <c r="D6" s="344"/>
      <c r="E6" s="345"/>
      <c r="F6" s="345"/>
      <c r="G6" s="345"/>
      <c r="H6" s="345"/>
      <c r="I6" s="345"/>
      <c r="J6" s="345"/>
      <c r="K6" s="346"/>
    </row>
    <row r="7" spans="3:11" ht="12.75">
      <c r="C7" s="69" t="s">
        <v>253</v>
      </c>
      <c r="D7" s="70"/>
      <c r="E7" s="71"/>
      <c r="F7" s="69" t="s">
        <v>228</v>
      </c>
      <c r="G7" s="70"/>
      <c r="H7" s="71"/>
      <c r="I7" s="69" t="s">
        <v>234</v>
      </c>
      <c r="J7" s="70"/>
      <c r="K7" s="71"/>
    </row>
    <row r="8" spans="1:11" ht="12.75">
      <c r="A8" s="94"/>
      <c r="B8" s="46"/>
      <c r="C8" s="73"/>
      <c r="D8" s="228"/>
      <c r="E8" s="229" t="s">
        <v>75</v>
      </c>
      <c r="F8" s="73"/>
      <c r="G8" s="74"/>
      <c r="H8" s="229" t="s">
        <v>75</v>
      </c>
      <c r="I8" s="73"/>
      <c r="J8" s="74"/>
      <c r="K8" s="229" t="s">
        <v>75</v>
      </c>
    </row>
    <row r="9" spans="1:11" ht="12.75">
      <c r="A9" s="52" t="s">
        <v>100</v>
      </c>
      <c r="B9" s="53" t="s">
        <v>101</v>
      </c>
      <c r="C9" s="75" t="s">
        <v>102</v>
      </c>
      <c r="D9" s="76" t="s">
        <v>103</v>
      </c>
      <c r="E9" s="76" t="s">
        <v>104</v>
      </c>
      <c r="F9" s="76" t="s">
        <v>102</v>
      </c>
      <c r="G9" s="76" t="s">
        <v>103</v>
      </c>
      <c r="H9" s="76" t="s">
        <v>104</v>
      </c>
      <c r="I9" s="76" t="s">
        <v>102</v>
      </c>
      <c r="J9" s="76" t="s">
        <v>103</v>
      </c>
      <c r="K9" s="76" t="s">
        <v>104</v>
      </c>
    </row>
    <row r="10" spans="1:2" ht="4.5" customHeight="1">
      <c r="A10" s="77"/>
      <c r="B10" s="77"/>
    </row>
    <row r="11" spans="1:11" ht="12.75">
      <c r="A11" s="14">
        <v>1</v>
      </c>
      <c r="B11" s="15" t="s">
        <v>115</v>
      </c>
      <c r="C11" s="15">
        <v>702700</v>
      </c>
      <c r="D11" s="360">
        <f>C11/'- 3 -'!E11</f>
        <v>0.0027648210263320973</v>
      </c>
      <c r="E11" s="15">
        <f>C11/'- 7 -'!G11</f>
        <v>22.727860793065528</v>
      </c>
      <c r="F11" s="15">
        <v>687400</v>
      </c>
      <c r="G11" s="360">
        <f>F11/'- 3 -'!E11</f>
        <v>0.0027046221339130263</v>
      </c>
      <c r="H11" s="15">
        <f>F11/'- 7 -'!G11</f>
        <v>22.233003428423572</v>
      </c>
      <c r="I11" s="15">
        <v>1608900</v>
      </c>
      <c r="J11" s="360">
        <f>I11/'- 3 -'!E11</f>
        <v>0.006330326667519156</v>
      </c>
      <c r="K11" s="15">
        <f>I11/'- 7 -'!G11</f>
        <v>52.03764797205511</v>
      </c>
    </row>
    <row r="12" spans="1:11" ht="12.75">
      <c r="A12" s="16">
        <v>2</v>
      </c>
      <c r="B12" s="17" t="s">
        <v>116</v>
      </c>
      <c r="C12" s="17">
        <v>390351</v>
      </c>
      <c r="D12" s="361">
        <f>C12/'- 3 -'!E12</f>
        <v>0.006214594336010784</v>
      </c>
      <c r="E12" s="17">
        <f>C12/'- 7 -'!G12</f>
        <v>42.6809027094404</v>
      </c>
      <c r="F12" s="17">
        <v>42734</v>
      </c>
      <c r="G12" s="361">
        <f>F12/'- 3 -'!E12</f>
        <v>0.0006803478775642558</v>
      </c>
      <c r="H12" s="17">
        <f>F12/'- 7 -'!G12</f>
        <v>4.67252728028166</v>
      </c>
      <c r="I12" s="17">
        <v>1130279</v>
      </c>
      <c r="J12" s="361">
        <f>I12/'- 3 -'!E12</f>
        <v>0.017994639366908073</v>
      </c>
      <c r="K12" s="17">
        <f>I12/'- 7 -'!G12</f>
        <v>123.58448686828928</v>
      </c>
    </row>
    <row r="13" spans="1:11" ht="12.75">
      <c r="A13" s="14">
        <v>3</v>
      </c>
      <c r="B13" s="15" t="s">
        <v>117</v>
      </c>
      <c r="C13" s="15">
        <v>440800</v>
      </c>
      <c r="D13" s="360">
        <f>C13/'- 3 -'!E13</f>
        <v>0.009944061944467467</v>
      </c>
      <c r="E13" s="15">
        <f>C13/'- 7 -'!G13</f>
        <v>76.72091201810112</v>
      </c>
      <c r="F13" s="15">
        <v>621023</v>
      </c>
      <c r="G13" s="360">
        <f>F13/'- 3 -'!E13</f>
        <v>0.014009734983981443</v>
      </c>
      <c r="H13" s="15">
        <f>F13/'- 7 -'!G13</f>
        <v>108.08859107127317</v>
      </c>
      <c r="I13" s="15">
        <v>374600</v>
      </c>
      <c r="J13" s="360">
        <f>I13/'- 3 -'!E13</f>
        <v>0.008450647922861872</v>
      </c>
      <c r="K13" s="15">
        <f>I13/'- 7 -'!G13</f>
        <v>65.1988512749108</v>
      </c>
    </row>
    <row r="14" spans="1:11" ht="12.75">
      <c r="A14" s="16">
        <v>4</v>
      </c>
      <c r="B14" s="17" t="s">
        <v>118</v>
      </c>
      <c r="C14" s="17">
        <v>228051</v>
      </c>
      <c r="D14" s="361">
        <f>C14/'- 3 -'!E14</f>
        <v>0.005236702147263502</v>
      </c>
      <c r="E14" s="17">
        <f>C14/'- 7 -'!G14</f>
        <v>36.61117354310483</v>
      </c>
      <c r="F14" s="17">
        <v>297020</v>
      </c>
      <c r="G14" s="361">
        <f>F14/'- 3 -'!E14</f>
        <v>0.0068204273245028755</v>
      </c>
      <c r="H14" s="17">
        <f>F14/'- 7 -'!G14</f>
        <v>47.68341627869642</v>
      </c>
      <c r="I14" s="17">
        <v>556085</v>
      </c>
      <c r="J14" s="361">
        <f>I14/'- 3 -'!E14</f>
        <v>0.012769299470561516</v>
      </c>
      <c r="K14" s="17">
        <f>I14/'- 7 -'!G14</f>
        <v>89.27355915877348</v>
      </c>
    </row>
    <row r="15" spans="1:11" ht="12.75">
      <c r="A15" s="14">
        <v>5</v>
      </c>
      <c r="B15" s="15" t="s">
        <v>119</v>
      </c>
      <c r="C15" s="15">
        <v>316351</v>
      </c>
      <c r="D15" s="360">
        <f>C15/'- 3 -'!E15</f>
        <v>0.005836056925569765</v>
      </c>
      <c r="E15" s="15">
        <f>C15/'- 7 -'!G15</f>
        <v>43.764404786608566</v>
      </c>
      <c r="F15" s="15">
        <v>9727</v>
      </c>
      <c r="G15" s="360">
        <f>F15/'- 3 -'!E15</f>
        <v>0.00017944411655097377</v>
      </c>
      <c r="H15" s="15">
        <f>F15/'- 7 -'!G15</f>
        <v>1.3456457079615411</v>
      </c>
      <c r="I15" s="15">
        <v>922655</v>
      </c>
      <c r="J15" s="360">
        <f>I15/'- 3 -'!E15</f>
        <v>0.01702117933138056</v>
      </c>
      <c r="K15" s="15">
        <f>I15/'- 7 -'!G15</f>
        <v>127.64128104032649</v>
      </c>
    </row>
    <row r="16" spans="1:11" ht="12.75">
      <c r="A16" s="16">
        <v>6</v>
      </c>
      <c r="B16" s="17" t="s">
        <v>120</v>
      </c>
      <c r="C16" s="17">
        <v>231080</v>
      </c>
      <c r="D16" s="361">
        <f>C16/'- 3 -'!E16</f>
        <v>0.003708248464971607</v>
      </c>
      <c r="E16" s="17">
        <f>C16/'- 7 -'!G16</f>
        <v>26.00056258790436</v>
      </c>
      <c r="F16" s="17">
        <v>256825</v>
      </c>
      <c r="G16" s="361">
        <f>F16/'- 3 -'!E16</f>
        <v>0.0041213904795583045</v>
      </c>
      <c r="H16" s="17">
        <f>F16/'- 7 -'!G16</f>
        <v>28.89732770745429</v>
      </c>
      <c r="I16" s="17">
        <v>1124100</v>
      </c>
      <c r="J16" s="361">
        <f>I16/'- 3 -'!E16</f>
        <v>0.018038956636119888</v>
      </c>
      <c r="K16" s="17">
        <f>I16/'- 7 -'!G16</f>
        <v>126.48101265822785</v>
      </c>
    </row>
    <row r="17" spans="1:11" ht="12.75">
      <c r="A17" s="14">
        <v>9</v>
      </c>
      <c r="B17" s="15" t="s">
        <v>121</v>
      </c>
      <c r="C17" s="15">
        <v>315500</v>
      </c>
      <c r="D17" s="360">
        <f>C17/'- 3 -'!E17</f>
        <v>0.003761063980323639</v>
      </c>
      <c r="E17" s="15">
        <f>C17/'- 7 -'!G17</f>
        <v>25.43329302700524</v>
      </c>
      <c r="F17" s="15">
        <v>227250</v>
      </c>
      <c r="G17" s="360">
        <f>F17/'- 3 -'!E17</f>
        <v>0.0027090389525469003</v>
      </c>
      <c r="H17" s="15">
        <f>F17/'- 7 -'!G17</f>
        <v>18.319226118500605</v>
      </c>
      <c r="I17" s="15">
        <v>907000</v>
      </c>
      <c r="J17" s="360">
        <f>I17/'- 3 -'!E17</f>
        <v>0.01081231388321249</v>
      </c>
      <c r="K17" s="15">
        <f>I17/'- 7 -'!G17</f>
        <v>73.11567916162838</v>
      </c>
    </row>
    <row r="18" spans="1:11" ht="12.75">
      <c r="A18" s="16">
        <v>10</v>
      </c>
      <c r="B18" s="17" t="s">
        <v>122</v>
      </c>
      <c r="C18" s="17">
        <v>148845</v>
      </c>
      <c r="D18" s="361">
        <f>C18/'- 3 -'!E18</f>
        <v>0.002402804038170111</v>
      </c>
      <c r="E18" s="17">
        <f>C18/'- 7 -'!G18</f>
        <v>17.258391790828455</v>
      </c>
      <c r="F18" s="17">
        <v>263500</v>
      </c>
      <c r="G18" s="361">
        <f>F18/'- 3 -'!E18</f>
        <v>0.004253679089373672</v>
      </c>
      <c r="H18" s="17">
        <f>F18/'- 7 -'!G18</f>
        <v>30.552495796857787</v>
      </c>
      <c r="I18" s="17">
        <v>498075</v>
      </c>
      <c r="J18" s="361">
        <f>I18/'- 3 -'!E18</f>
        <v>0.008040422058595035</v>
      </c>
      <c r="K18" s="17">
        <f>I18/'- 7 -'!G18</f>
        <v>57.75117398110035</v>
      </c>
    </row>
    <row r="19" spans="1:11" ht="12.75">
      <c r="A19" s="14">
        <v>11</v>
      </c>
      <c r="B19" s="15" t="s">
        <v>123</v>
      </c>
      <c r="C19" s="15">
        <v>88710</v>
      </c>
      <c r="D19" s="360">
        <f>C19/'- 3 -'!E19</f>
        <v>0.0026596805205310486</v>
      </c>
      <c r="E19" s="15">
        <f>C19/'- 7 -'!G19</f>
        <v>18.88652331275282</v>
      </c>
      <c r="F19" s="15">
        <v>109450</v>
      </c>
      <c r="G19" s="360">
        <f>F19/'- 3 -'!E19</f>
        <v>0.00328150189349705</v>
      </c>
      <c r="H19" s="15">
        <f>F19/'- 7 -'!G19</f>
        <v>23.302107728337237</v>
      </c>
      <c r="I19" s="15">
        <v>441375</v>
      </c>
      <c r="J19" s="360">
        <f>I19/'- 3 -'!E19</f>
        <v>0.013233192309202927</v>
      </c>
      <c r="K19" s="15">
        <f>I19/'- 7 -'!G19</f>
        <v>93.9695550351288</v>
      </c>
    </row>
    <row r="20" spans="1:11" ht="12.75">
      <c r="A20" s="16">
        <v>12</v>
      </c>
      <c r="B20" s="17" t="s">
        <v>124</v>
      </c>
      <c r="C20" s="17">
        <v>183219</v>
      </c>
      <c r="D20" s="361">
        <f>C20/'- 3 -'!E20</f>
        <v>0.0034999279074336034</v>
      </c>
      <c r="E20" s="17">
        <f>C20/'- 7 -'!G20</f>
        <v>24.000392978779146</v>
      </c>
      <c r="F20" s="17">
        <v>75248</v>
      </c>
      <c r="G20" s="361">
        <f>F20/'- 3 -'!E20</f>
        <v>0.0014374195644478126</v>
      </c>
      <c r="H20" s="17">
        <f>F20/'- 7 -'!G20</f>
        <v>9.856955724390883</v>
      </c>
      <c r="I20" s="17">
        <v>371344</v>
      </c>
      <c r="J20" s="361">
        <f>I20/'- 3 -'!E20</f>
        <v>0.0070935723306972745</v>
      </c>
      <c r="K20" s="17">
        <f>I20/'- 7 -'!G20</f>
        <v>48.64343725438826</v>
      </c>
    </row>
    <row r="21" spans="1:11" ht="12.75">
      <c r="A21" s="14">
        <v>13</v>
      </c>
      <c r="B21" s="15" t="s">
        <v>125</v>
      </c>
      <c r="C21" s="15">
        <v>71232</v>
      </c>
      <c r="D21" s="360">
        <f>C21/'- 3 -'!E21</f>
        <v>0.003389721784130418</v>
      </c>
      <c r="E21" s="15">
        <f>C21/'- 7 -'!G21</f>
        <v>27.187786259541983</v>
      </c>
      <c r="F21" s="15">
        <v>44800</v>
      </c>
      <c r="G21" s="360">
        <f>F21/'- 3 -'!E21</f>
        <v>0.002131900493163785</v>
      </c>
      <c r="H21" s="15">
        <f>F21/'- 7 -'!G21</f>
        <v>17.099236641221374</v>
      </c>
      <c r="I21" s="15">
        <v>314857</v>
      </c>
      <c r="J21" s="360">
        <f>I21/'- 3 -'!E21</f>
        <v>0.014983120392322987</v>
      </c>
      <c r="K21" s="15">
        <f>I21/'- 7 -'!G21</f>
        <v>120.17442748091604</v>
      </c>
    </row>
    <row r="22" spans="1:11" ht="12.75">
      <c r="A22" s="16">
        <v>14</v>
      </c>
      <c r="B22" s="17" t="s">
        <v>126</v>
      </c>
      <c r="C22" s="17">
        <v>80007</v>
      </c>
      <c r="D22" s="361">
        <f>C22/'- 3 -'!E22</f>
        <v>0.003360869468235568</v>
      </c>
      <c r="E22" s="17">
        <f>C22/'- 7 -'!G22</f>
        <v>23.366530373831775</v>
      </c>
      <c r="F22" s="17">
        <v>24810</v>
      </c>
      <c r="G22" s="361">
        <f>F22/'- 3 -'!E22</f>
        <v>0.0010421984514720518</v>
      </c>
      <c r="H22" s="17">
        <f>F22/'- 7 -'!G22</f>
        <v>7.245911214953271</v>
      </c>
      <c r="I22" s="17">
        <v>139208</v>
      </c>
      <c r="J22" s="361">
        <f>I22/'- 3 -'!E22</f>
        <v>0.005847737284664304</v>
      </c>
      <c r="K22" s="17">
        <f>I22/'- 7 -'!G22</f>
        <v>40.65654205607477</v>
      </c>
    </row>
    <row r="23" spans="1:11" ht="12.75">
      <c r="A23" s="14">
        <v>15</v>
      </c>
      <c r="B23" s="15" t="s">
        <v>127</v>
      </c>
      <c r="C23" s="15">
        <v>200317</v>
      </c>
      <c r="D23" s="360">
        <f>C23/'- 3 -'!E23</f>
        <v>0.005893486984457431</v>
      </c>
      <c r="E23" s="15">
        <f>C23/'- 7 -'!G23</f>
        <v>32.99028326745718</v>
      </c>
      <c r="F23" s="15">
        <v>130229</v>
      </c>
      <c r="G23" s="360">
        <f>F23/'- 3 -'!E23</f>
        <v>0.003831441747325024</v>
      </c>
      <c r="H23" s="15">
        <f>F23/'- 7 -'!G23</f>
        <v>21.44746376811594</v>
      </c>
      <c r="I23" s="15">
        <v>384088</v>
      </c>
      <c r="J23" s="360">
        <f>I23/'- 3 -'!E23</f>
        <v>0.011300177363310581</v>
      </c>
      <c r="K23" s="15">
        <f>I23/'- 7 -'!G23</f>
        <v>63.255599472990774</v>
      </c>
    </row>
    <row r="24" spans="1:11" ht="12.75">
      <c r="A24" s="16">
        <v>16</v>
      </c>
      <c r="B24" s="17" t="s">
        <v>128</v>
      </c>
      <c r="C24" s="17">
        <v>16391</v>
      </c>
      <c r="D24" s="361">
        <f>C24/'- 3 -'!E24</f>
        <v>0.002626495540918512</v>
      </c>
      <c r="E24" s="17">
        <f>C24/'- 7 -'!G24</f>
        <v>19.700721153846153</v>
      </c>
      <c r="F24" s="17">
        <v>8011</v>
      </c>
      <c r="G24" s="361">
        <f>F24/'- 3 -'!E24</f>
        <v>0.0012836834713134161</v>
      </c>
      <c r="H24" s="17">
        <f>F24/'- 7 -'!G24</f>
        <v>9.62860576923077</v>
      </c>
      <c r="I24" s="17">
        <v>20799</v>
      </c>
      <c r="J24" s="361">
        <f>I24/'- 3 -'!E24</f>
        <v>0.0033328339183432455</v>
      </c>
      <c r="K24" s="17">
        <f>I24/'- 7 -'!G24</f>
        <v>24.998798076923077</v>
      </c>
    </row>
    <row r="25" spans="1:11" ht="12.75">
      <c r="A25" s="14">
        <v>17</v>
      </c>
      <c r="B25" s="15" t="s">
        <v>129</v>
      </c>
      <c r="C25" s="15">
        <v>0</v>
      </c>
      <c r="D25" s="360">
        <f>C25/'- 3 -'!E25</f>
        <v>0</v>
      </c>
      <c r="E25" s="15">
        <f>C25/'- 7 -'!G25</f>
        <v>0</v>
      </c>
      <c r="F25" s="15">
        <v>8400</v>
      </c>
      <c r="G25" s="360">
        <f>F25/'- 3 -'!E25</f>
        <v>0.0018866276059886053</v>
      </c>
      <c r="H25" s="15">
        <f>F25/'- 7 -'!G25</f>
        <v>17.14635639926516</v>
      </c>
      <c r="I25" s="15">
        <v>74400</v>
      </c>
      <c r="J25" s="360">
        <f>I25/'- 3 -'!E25</f>
        <v>0.016710130224470505</v>
      </c>
      <c r="K25" s="15">
        <f>I25/'- 7 -'!G25</f>
        <v>151.8677281077771</v>
      </c>
    </row>
    <row r="26" spans="1:11" ht="12.75">
      <c r="A26" s="16">
        <v>18</v>
      </c>
      <c r="B26" s="17" t="s">
        <v>130</v>
      </c>
      <c r="C26" s="17">
        <v>40000</v>
      </c>
      <c r="D26" s="361">
        <f>C26/'- 3 -'!E26</f>
        <v>0.004080638011078752</v>
      </c>
      <c r="E26" s="17">
        <f>C26/'- 7 -'!G26</f>
        <v>28.571428571428573</v>
      </c>
      <c r="F26" s="17">
        <v>0</v>
      </c>
      <c r="G26" s="361">
        <f>F26/'- 3 -'!E26</f>
        <v>0</v>
      </c>
      <c r="H26" s="17">
        <f>F26/'- 7 -'!G26</f>
        <v>0</v>
      </c>
      <c r="I26" s="17">
        <v>96000</v>
      </c>
      <c r="J26" s="361">
        <f>I26/'- 3 -'!E26</f>
        <v>0.009793531226589004</v>
      </c>
      <c r="K26" s="17">
        <f>I26/'- 7 -'!G26</f>
        <v>68.57142857142857</v>
      </c>
    </row>
    <row r="27" spans="1:11" ht="12.75">
      <c r="A27" s="14">
        <v>19</v>
      </c>
      <c r="B27" s="15" t="s">
        <v>131</v>
      </c>
      <c r="C27" s="15">
        <v>0</v>
      </c>
      <c r="D27" s="360">
        <f>C27/'- 3 -'!E27</f>
        <v>0</v>
      </c>
      <c r="E27" s="15">
        <f>C27/'- 7 -'!G27</f>
        <v>0</v>
      </c>
      <c r="F27" s="15">
        <v>12000</v>
      </c>
      <c r="G27" s="360">
        <f>F27/'- 3 -'!E27</f>
        <v>0.0009663481341629432</v>
      </c>
      <c r="H27" s="15">
        <f>F27/'- 7 -'!G27</f>
        <v>6.6170388751033915</v>
      </c>
      <c r="I27" s="15">
        <v>183900</v>
      </c>
      <c r="J27" s="360">
        <f>I27/'- 3 -'!E27</f>
        <v>0.014809285156047104</v>
      </c>
      <c r="K27" s="15">
        <f>I27/'- 7 -'!G27</f>
        <v>101.40612076095947</v>
      </c>
    </row>
    <row r="28" spans="1:11" ht="12.75">
      <c r="A28" s="16">
        <v>20</v>
      </c>
      <c r="B28" s="17" t="s">
        <v>132</v>
      </c>
      <c r="C28" s="17">
        <v>53100</v>
      </c>
      <c r="D28" s="361">
        <f>C28/'- 3 -'!E28</f>
        <v>0.0067189258221731895</v>
      </c>
      <c r="E28" s="17">
        <f>C28/'- 7 -'!G28</f>
        <v>55.72463007660824</v>
      </c>
      <c r="F28" s="17">
        <v>25000</v>
      </c>
      <c r="G28" s="361">
        <f>F28/'- 3 -'!E28</f>
        <v>0.0031633360744694862</v>
      </c>
      <c r="H28" s="17">
        <f>F28/'- 7 -'!G28</f>
        <v>26.23570154265925</v>
      </c>
      <c r="I28" s="17">
        <v>51184</v>
      </c>
      <c r="J28" s="361">
        <f>I28/'- 3 -'!E28</f>
        <v>0.006476487745425847</v>
      </c>
      <c r="K28" s="17">
        <f>I28/'- 7 -'!G28</f>
        <v>53.71392591037884</v>
      </c>
    </row>
    <row r="29" spans="1:11" ht="12.75">
      <c r="A29" s="14">
        <v>21</v>
      </c>
      <c r="B29" s="15" t="s">
        <v>133</v>
      </c>
      <c r="C29" s="15">
        <v>84200</v>
      </c>
      <c r="D29" s="360">
        <f>C29/'- 3 -'!E29</f>
        <v>0.0035835886959482465</v>
      </c>
      <c r="E29" s="15">
        <f>C29/'- 7 -'!G29</f>
        <v>25.126827812593255</v>
      </c>
      <c r="F29" s="15">
        <v>24962</v>
      </c>
      <c r="G29" s="360">
        <f>F29/'- 3 -'!E29</f>
        <v>0.001062393598910453</v>
      </c>
      <c r="H29" s="15">
        <f>F29/'- 7 -'!G29</f>
        <v>7.449119665771412</v>
      </c>
      <c r="I29" s="15">
        <v>184317</v>
      </c>
      <c r="J29" s="360">
        <f>I29/'- 3 -'!E29</f>
        <v>0.007844611848825333</v>
      </c>
      <c r="K29" s="15">
        <f>I29/'- 7 -'!G29</f>
        <v>55.00358102059087</v>
      </c>
    </row>
    <row r="30" spans="1:11" ht="12.75">
      <c r="A30" s="16">
        <v>22</v>
      </c>
      <c r="B30" s="17" t="s">
        <v>134</v>
      </c>
      <c r="C30" s="17">
        <v>36000</v>
      </c>
      <c r="D30" s="361">
        <f>C30/'- 3 -'!E30</f>
        <v>0.0028907027691888664</v>
      </c>
      <c r="E30" s="17">
        <f>C30/'- 7 -'!G30</f>
        <v>21.824795392543194</v>
      </c>
      <c r="F30" s="17">
        <v>7000</v>
      </c>
      <c r="G30" s="361">
        <f>F30/'- 3 -'!E30</f>
        <v>0.0005620810940089462</v>
      </c>
      <c r="H30" s="17">
        <f>F30/'- 7 -'!G30</f>
        <v>4.2437102152167325</v>
      </c>
      <c r="I30" s="17">
        <v>160829</v>
      </c>
      <c r="J30" s="361">
        <f>I30/'- 3 -'!E30</f>
        <v>0.012914134324052116</v>
      </c>
      <c r="K30" s="17">
        <f>I30/'- 7 -'!G30</f>
        <v>97.50166717187027</v>
      </c>
    </row>
    <row r="31" spans="1:11" ht="12.75">
      <c r="A31" s="14">
        <v>23</v>
      </c>
      <c r="B31" s="15" t="s">
        <v>135</v>
      </c>
      <c r="C31" s="15">
        <v>11775</v>
      </c>
      <c r="D31" s="360">
        <f>C31/'- 3 -'!E31</f>
        <v>0.0011512747667067568</v>
      </c>
      <c r="E31" s="15">
        <f>C31/'- 7 -'!G31</f>
        <v>8.327439886845827</v>
      </c>
      <c r="F31" s="15">
        <v>47450</v>
      </c>
      <c r="G31" s="360">
        <f>F31/'- 3 -'!E31</f>
        <v>0.004639319548215338</v>
      </c>
      <c r="H31" s="15">
        <f>F31/'- 7 -'!G31</f>
        <v>33.55728429985856</v>
      </c>
      <c r="I31" s="15">
        <v>125000</v>
      </c>
      <c r="J31" s="360">
        <f>I31/'- 3 -'!E31</f>
        <v>0.012221600495825444</v>
      </c>
      <c r="K31" s="15">
        <f>I31/'- 7 -'!G31</f>
        <v>88.4016973125884</v>
      </c>
    </row>
    <row r="32" spans="1:11" ht="12.75">
      <c r="A32" s="16">
        <v>24</v>
      </c>
      <c r="B32" s="17" t="s">
        <v>136</v>
      </c>
      <c r="C32" s="17">
        <v>65654</v>
      </c>
      <c r="D32" s="361">
        <f>C32/'- 3 -'!E32</f>
        <v>0.002808001577004206</v>
      </c>
      <c r="E32" s="17">
        <f>C32/'- 7 -'!G32</f>
        <v>18.772767563549024</v>
      </c>
      <c r="F32" s="17">
        <v>53434</v>
      </c>
      <c r="G32" s="361">
        <f>F32/'- 3 -'!E32</f>
        <v>0.0022853559001072706</v>
      </c>
      <c r="H32" s="17">
        <f>F32/'- 7 -'!G32</f>
        <v>15.278643525005004</v>
      </c>
      <c r="I32" s="17">
        <v>142417</v>
      </c>
      <c r="J32" s="361">
        <f>I32/'- 3 -'!E32</f>
        <v>0.00609113169939696</v>
      </c>
      <c r="K32" s="17">
        <f>I32/'- 7 -'!G32</f>
        <v>40.72198553169588</v>
      </c>
    </row>
    <row r="33" spans="1:11" ht="12.75">
      <c r="A33" s="14">
        <v>25</v>
      </c>
      <c r="B33" s="15" t="s">
        <v>137</v>
      </c>
      <c r="C33" s="15">
        <v>35200</v>
      </c>
      <c r="D33" s="360">
        <f>C33/'- 3 -'!E33</f>
        <v>0.003309715877816573</v>
      </c>
      <c r="E33" s="15">
        <f>C33/'- 7 -'!G33</f>
        <v>25.17882689556509</v>
      </c>
      <c r="F33" s="15">
        <v>28050</v>
      </c>
      <c r="G33" s="360">
        <f>F33/'- 3 -'!E33</f>
        <v>0.0026374298401350815</v>
      </c>
      <c r="H33" s="15">
        <f>F33/'- 7 -'!G33</f>
        <v>20.064377682403432</v>
      </c>
      <c r="I33" s="15">
        <v>87300</v>
      </c>
      <c r="J33" s="360">
        <f>I33/'- 3 -'!E33</f>
        <v>0.008208471481062126</v>
      </c>
      <c r="K33" s="15">
        <f>I33/'- 7 -'!G33</f>
        <v>62.44635193133047</v>
      </c>
    </row>
    <row r="34" spans="1:11" ht="12.75">
      <c r="A34" s="16">
        <v>26</v>
      </c>
      <c r="B34" s="17" t="s">
        <v>138</v>
      </c>
      <c r="C34" s="17">
        <v>96000</v>
      </c>
      <c r="D34" s="361">
        <f>C34/'- 3 -'!E34</f>
        <v>0.005535773494601179</v>
      </c>
      <c r="E34" s="17">
        <f>C34/'- 7 -'!G34</f>
        <v>32.432432432432435</v>
      </c>
      <c r="F34" s="17">
        <v>33600</v>
      </c>
      <c r="G34" s="361">
        <f>F34/'- 3 -'!E34</f>
        <v>0.0019375207231104128</v>
      </c>
      <c r="H34" s="17">
        <f>F34/'- 7 -'!G34</f>
        <v>11.35135135135135</v>
      </c>
      <c r="I34" s="17">
        <v>248800</v>
      </c>
      <c r="J34" s="361">
        <f>I34/'- 3 -'!E34</f>
        <v>0.014346879640174722</v>
      </c>
      <c r="K34" s="17">
        <f>I34/'- 7 -'!G34</f>
        <v>84.05405405405405</v>
      </c>
    </row>
    <row r="35" spans="1:11" ht="12.75">
      <c r="A35" s="14">
        <v>28</v>
      </c>
      <c r="B35" s="15" t="s">
        <v>139</v>
      </c>
      <c r="C35" s="15">
        <v>28645</v>
      </c>
      <c r="D35" s="360">
        <f>C35/'- 3 -'!E35</f>
        <v>0.004473231508040417</v>
      </c>
      <c r="E35" s="15">
        <f>C35/'- 7 -'!G35</f>
        <v>34.954240390482</v>
      </c>
      <c r="F35" s="15">
        <v>3900</v>
      </c>
      <c r="G35" s="360">
        <f>F35/'- 3 -'!E35</f>
        <v>0.0006090278541231498</v>
      </c>
      <c r="H35" s="15">
        <f>F35/'- 7 -'!G35</f>
        <v>4.758999389871873</v>
      </c>
      <c r="I35" s="15">
        <v>67512</v>
      </c>
      <c r="J35" s="360">
        <f>I35/'- 3 -'!E35</f>
        <v>0.010542740637836433</v>
      </c>
      <c r="K35" s="15">
        <f>I35/'- 7 -'!G35</f>
        <v>82.38194020744356</v>
      </c>
    </row>
    <row r="36" spans="1:11" ht="12.75">
      <c r="A36" s="16">
        <v>30</v>
      </c>
      <c r="B36" s="17" t="s">
        <v>140</v>
      </c>
      <c r="C36" s="17">
        <v>44343</v>
      </c>
      <c r="D36" s="361">
        <f>C36/'- 3 -'!E36</f>
        <v>0.004527465737193392</v>
      </c>
      <c r="E36" s="17">
        <f>C36/'- 7 -'!G36</f>
        <v>34.0680700676091</v>
      </c>
      <c r="F36" s="17">
        <v>13806</v>
      </c>
      <c r="G36" s="361">
        <f>F36/'- 3 -'!E36</f>
        <v>0.0014096067466723488</v>
      </c>
      <c r="H36" s="17">
        <f>F36/'- 7 -'!G36</f>
        <v>10.606945298094654</v>
      </c>
      <c r="I36" s="17">
        <v>172201</v>
      </c>
      <c r="J36" s="361">
        <f>I36/'- 3 -'!E36</f>
        <v>0.01758189855017566</v>
      </c>
      <c r="K36" s="17">
        <f>I36/'- 7 -'!G36</f>
        <v>132.29947756607254</v>
      </c>
    </row>
    <row r="37" spans="1:11" ht="12.75">
      <c r="A37" s="14">
        <v>31</v>
      </c>
      <c r="B37" s="15" t="s">
        <v>141</v>
      </c>
      <c r="C37" s="15">
        <v>55452</v>
      </c>
      <c r="D37" s="360">
        <f>C37/'- 3 -'!E37</f>
        <v>0.005063561152189361</v>
      </c>
      <c r="E37" s="15">
        <f>C37/'- 7 -'!G37</f>
        <v>34.22962962962963</v>
      </c>
      <c r="F37" s="15">
        <v>60700</v>
      </c>
      <c r="G37" s="360">
        <f>F37/'- 3 -'!E37</f>
        <v>0.005542778654293699</v>
      </c>
      <c r="H37" s="15">
        <f>F37/'- 7 -'!G37</f>
        <v>37.46913580246913</v>
      </c>
      <c r="I37" s="15">
        <v>165784</v>
      </c>
      <c r="J37" s="360">
        <f>I37/'- 3 -'!E37</f>
        <v>0.01513845167089665</v>
      </c>
      <c r="K37" s="15">
        <f>I37/'- 7 -'!G37</f>
        <v>102.3358024691358</v>
      </c>
    </row>
    <row r="38" spans="1:11" ht="12.75">
      <c r="A38" s="16">
        <v>32</v>
      </c>
      <c r="B38" s="17" t="s">
        <v>142</v>
      </c>
      <c r="C38" s="17">
        <v>37469</v>
      </c>
      <c r="D38" s="361">
        <f>C38/'- 3 -'!E38</f>
        <v>0.005450290049864139</v>
      </c>
      <c r="E38" s="17">
        <f>C38/'- 7 -'!G38</f>
        <v>44.63251935675998</v>
      </c>
      <c r="F38" s="17">
        <v>47580</v>
      </c>
      <c r="G38" s="361">
        <f>F38/'- 3 -'!E38</f>
        <v>0.006921049416118277</v>
      </c>
      <c r="H38" s="17">
        <f>F38/'- 7 -'!G38</f>
        <v>56.67659321024419</v>
      </c>
      <c r="I38" s="17">
        <v>117140</v>
      </c>
      <c r="J38" s="361">
        <f>I38/'- 3 -'!E38</f>
        <v>0.017039338558303804</v>
      </c>
      <c r="K38" s="17">
        <f>I38/'- 7 -'!G38</f>
        <v>139.53543776057177</v>
      </c>
    </row>
    <row r="39" spans="1:11" ht="12.75">
      <c r="A39" s="14">
        <v>33</v>
      </c>
      <c r="B39" s="15" t="s">
        <v>143</v>
      </c>
      <c r="C39" s="15">
        <v>0</v>
      </c>
      <c r="D39" s="360">
        <f>C39/'- 3 -'!E39</f>
        <v>0</v>
      </c>
      <c r="E39" s="15">
        <f>C39/'- 7 -'!G39</f>
        <v>0</v>
      </c>
      <c r="F39" s="15">
        <v>47422</v>
      </c>
      <c r="G39" s="360">
        <f>F39/'- 3 -'!E39</f>
        <v>0.0034629370367914606</v>
      </c>
      <c r="H39" s="15">
        <f>F39/'- 7 -'!G39</f>
        <v>25.358002245869205</v>
      </c>
      <c r="I39" s="15">
        <v>157216</v>
      </c>
      <c r="J39" s="360">
        <f>I39/'- 3 -'!E39</f>
        <v>0.011480517674838814</v>
      </c>
      <c r="K39" s="15">
        <f>I39/'- 7 -'!G39</f>
        <v>84.06823164536657</v>
      </c>
    </row>
    <row r="40" spans="1:11" ht="12.75">
      <c r="A40" s="16">
        <v>34</v>
      </c>
      <c r="B40" s="17" t="s">
        <v>144</v>
      </c>
      <c r="C40" s="17">
        <v>30000</v>
      </c>
      <c r="D40" s="361">
        <f>C40/'- 3 -'!E40</f>
        <v>0.005205606716065561</v>
      </c>
      <c r="E40" s="17">
        <f>C40/'- 7 -'!G40</f>
        <v>41.06776180698152</v>
      </c>
      <c r="F40" s="17">
        <v>5000</v>
      </c>
      <c r="G40" s="361">
        <f>F40/'- 3 -'!E40</f>
        <v>0.0008676011193442601</v>
      </c>
      <c r="H40" s="17">
        <f>F40/'- 7 -'!G40</f>
        <v>6.844626967830253</v>
      </c>
      <c r="I40" s="17">
        <v>12000</v>
      </c>
      <c r="J40" s="361">
        <f>I40/'- 3 -'!E40</f>
        <v>0.0020822426864262242</v>
      </c>
      <c r="K40" s="17">
        <f>I40/'- 7 -'!G40</f>
        <v>16.427104722792606</v>
      </c>
    </row>
    <row r="41" spans="1:11" ht="12.75">
      <c r="A41" s="14">
        <v>35</v>
      </c>
      <c r="B41" s="15" t="s">
        <v>145</v>
      </c>
      <c r="C41" s="15">
        <v>140840</v>
      </c>
      <c r="D41" s="360">
        <f>C41/'- 3 -'!E41</f>
        <v>0.00956798158251861</v>
      </c>
      <c r="E41" s="15">
        <f>C41/'- 7 -'!G41</f>
        <v>73.553373720493</v>
      </c>
      <c r="F41" s="15">
        <v>91650</v>
      </c>
      <c r="G41" s="360">
        <f>F41/'- 3 -'!E41</f>
        <v>0.006226253280586698</v>
      </c>
      <c r="H41" s="15">
        <f>F41/'- 7 -'!G41</f>
        <v>47.864006684771255</v>
      </c>
      <c r="I41" s="15">
        <v>260388</v>
      </c>
      <c r="J41" s="360">
        <f>I41/'- 3 -'!E41</f>
        <v>0.017689488698586026</v>
      </c>
      <c r="K41" s="15">
        <f>I41/'- 7 -'!G41</f>
        <v>135.9870482556925</v>
      </c>
    </row>
    <row r="42" spans="1:11" ht="12.75">
      <c r="A42" s="16">
        <v>36</v>
      </c>
      <c r="B42" s="17" t="s">
        <v>146</v>
      </c>
      <c r="C42" s="17">
        <v>36000</v>
      </c>
      <c r="D42" s="361">
        <f>C42/'- 3 -'!E42</f>
        <v>0.004713275726630008</v>
      </c>
      <c r="E42" s="17">
        <f>C42/'- 7 -'!G42</f>
        <v>38.50267379679144</v>
      </c>
      <c r="F42" s="17">
        <v>0</v>
      </c>
      <c r="G42" s="361">
        <f>F42/'- 3 -'!E42</f>
        <v>0</v>
      </c>
      <c r="H42" s="17">
        <f>F42/'- 7 -'!G42</f>
        <v>0</v>
      </c>
      <c r="I42" s="17">
        <v>45408</v>
      </c>
      <c r="J42" s="361">
        <f>I42/'- 3 -'!E42</f>
        <v>0.005945011783189316</v>
      </c>
      <c r="K42" s="17">
        <f>I42/'- 7 -'!G42</f>
        <v>48.56470588235294</v>
      </c>
    </row>
    <row r="43" spans="1:11" ht="12.75">
      <c r="A43" s="14">
        <v>37</v>
      </c>
      <c r="B43" s="15" t="s">
        <v>147</v>
      </c>
      <c r="C43" s="15">
        <v>78222</v>
      </c>
      <c r="D43" s="360">
        <f>C43/'- 3 -'!E43</f>
        <v>0.01129531838207582</v>
      </c>
      <c r="E43" s="15">
        <f>C43/'- 7 -'!G43</f>
        <v>84.8367189787751</v>
      </c>
      <c r="F43" s="15">
        <v>27000</v>
      </c>
      <c r="G43" s="360">
        <f>F43/'- 3 -'!E43</f>
        <v>0.00389882125637349</v>
      </c>
      <c r="H43" s="15">
        <f>F43/'- 7 -'!G43</f>
        <v>29.283212042992094</v>
      </c>
      <c r="I43" s="15">
        <v>50000</v>
      </c>
      <c r="J43" s="360">
        <f>I43/'- 3 -'!E43</f>
        <v>0.007220039363654611</v>
      </c>
      <c r="K43" s="15">
        <f>I43/'- 7 -'!G43</f>
        <v>54.22817044998536</v>
      </c>
    </row>
    <row r="44" spans="1:11" ht="12.75">
      <c r="A44" s="16">
        <v>38</v>
      </c>
      <c r="B44" s="17" t="s">
        <v>148</v>
      </c>
      <c r="C44" s="17">
        <v>49269</v>
      </c>
      <c r="D44" s="361">
        <f>C44/'- 3 -'!E44</f>
        <v>0.005501143461612583</v>
      </c>
      <c r="E44" s="17">
        <f>C44/'- 7 -'!G44</f>
        <v>42.18236301369863</v>
      </c>
      <c r="F44" s="17">
        <v>63830</v>
      </c>
      <c r="G44" s="361">
        <f>F44/'- 3 -'!E44</f>
        <v>0.007126955837437967</v>
      </c>
      <c r="H44" s="17">
        <f>F44/'- 7 -'!G44</f>
        <v>54.648972602739725</v>
      </c>
      <c r="I44" s="17">
        <v>9645</v>
      </c>
      <c r="J44" s="361">
        <f>I44/'- 3 -'!E44</f>
        <v>0.001076915072099157</v>
      </c>
      <c r="K44" s="17">
        <f>I44/'- 7 -'!G44</f>
        <v>8.257705479452055</v>
      </c>
    </row>
    <row r="45" spans="1:11" ht="12.75">
      <c r="A45" s="14">
        <v>39</v>
      </c>
      <c r="B45" s="15" t="s">
        <v>149</v>
      </c>
      <c r="C45" s="15">
        <v>89700</v>
      </c>
      <c r="D45" s="360">
        <f>C45/'- 3 -'!E45</f>
        <v>0.005632600006907313</v>
      </c>
      <c r="E45" s="15">
        <f>C45/'- 7 -'!G45</f>
        <v>42.714285714285715</v>
      </c>
      <c r="F45" s="15">
        <v>53500</v>
      </c>
      <c r="G45" s="360">
        <f>F45/'- 3 -'!E45</f>
        <v>0.003359466001890092</v>
      </c>
      <c r="H45" s="15">
        <f>F45/'- 7 -'!G45</f>
        <v>25.476190476190474</v>
      </c>
      <c r="I45" s="15">
        <v>37000</v>
      </c>
      <c r="J45" s="360">
        <f>I45/'- 3 -'!E45</f>
        <v>0.0023233690106529608</v>
      </c>
      <c r="K45" s="15">
        <f>I45/'- 7 -'!G45</f>
        <v>17.61904761904762</v>
      </c>
    </row>
    <row r="46" spans="1:11" ht="12.75">
      <c r="A46" s="16">
        <v>40</v>
      </c>
      <c r="B46" s="17" t="s">
        <v>150</v>
      </c>
      <c r="C46" s="17">
        <v>183200</v>
      </c>
      <c r="D46" s="361">
        <f>C46/'- 3 -'!E46</f>
        <v>0.003920687404363691</v>
      </c>
      <c r="E46" s="17">
        <f>C46/'- 7 -'!G46</f>
        <v>24.75173951226103</v>
      </c>
      <c r="F46" s="17">
        <v>112300</v>
      </c>
      <c r="G46" s="361">
        <f>F46/'- 3 -'!E46</f>
        <v>0.0024033471370635507</v>
      </c>
      <c r="H46" s="17">
        <f>F46/'- 7 -'!G46</f>
        <v>15.172600148618523</v>
      </c>
      <c r="I46" s="17">
        <v>449100</v>
      </c>
      <c r="J46" s="361">
        <f>I46/'- 3 -'!E46</f>
        <v>0.009611248435042213</v>
      </c>
      <c r="K46" s="17">
        <f>I46/'- 7 -'!G46</f>
        <v>60.67688981963116</v>
      </c>
    </row>
    <row r="47" spans="1:11" ht="12.75">
      <c r="A47" s="14">
        <v>41</v>
      </c>
      <c r="B47" s="15" t="s">
        <v>151</v>
      </c>
      <c r="C47" s="15">
        <v>70100</v>
      </c>
      <c r="D47" s="360">
        <f>C47/'- 3 -'!E47</f>
        <v>0.00570735082360899</v>
      </c>
      <c r="E47" s="15">
        <f>C47/'- 7 -'!G47</f>
        <v>44.40924928729807</v>
      </c>
      <c r="F47" s="15">
        <v>26020</v>
      </c>
      <c r="G47" s="360">
        <f>F47/'- 3 -'!E47</f>
        <v>0.0021184774383781156</v>
      </c>
      <c r="H47" s="15">
        <f>F47/'- 7 -'!G47</f>
        <v>16.484003801076973</v>
      </c>
      <c r="I47" s="15">
        <v>219500</v>
      </c>
      <c r="J47" s="360">
        <f>I47/'- 3 -'!E47</f>
        <v>0.017871091380630148</v>
      </c>
      <c r="K47" s="15">
        <f>I47/'- 7 -'!G47</f>
        <v>139.0560658853342</v>
      </c>
    </row>
    <row r="48" spans="1:11" ht="12.75">
      <c r="A48" s="16">
        <v>42</v>
      </c>
      <c r="B48" s="17" t="s">
        <v>152</v>
      </c>
      <c r="C48" s="17">
        <v>94253</v>
      </c>
      <c r="D48" s="361">
        <f>C48/'- 3 -'!E48</f>
        <v>0.01174176756998369</v>
      </c>
      <c r="E48" s="17">
        <f>C48/'- 7 -'!G48</f>
        <v>90.58433445458914</v>
      </c>
      <c r="F48" s="17">
        <v>41340</v>
      </c>
      <c r="G48" s="361">
        <f>F48/'- 3 -'!E48</f>
        <v>0.0051500182630062254</v>
      </c>
      <c r="H48" s="17">
        <f>F48/'- 7 -'!G48</f>
        <v>39.73089860643921</v>
      </c>
      <c r="I48" s="17">
        <v>100000</v>
      </c>
      <c r="J48" s="361">
        <f>I48/'- 3 -'!E48</f>
        <v>0.012457712295612542</v>
      </c>
      <c r="K48" s="17">
        <f>I48/'- 7 -'!G48</f>
        <v>96.10764055742432</v>
      </c>
    </row>
    <row r="49" spans="1:11" ht="12.75">
      <c r="A49" s="14">
        <v>43</v>
      </c>
      <c r="B49" s="15" t="s">
        <v>153</v>
      </c>
      <c r="C49" s="15">
        <v>62000</v>
      </c>
      <c r="D49" s="360">
        <f>C49/'- 3 -'!E49</f>
        <v>0.00968296111197876</v>
      </c>
      <c r="E49" s="15">
        <f>C49/'- 7 -'!G49</f>
        <v>79.8454603992273</v>
      </c>
      <c r="F49" s="15">
        <v>25000</v>
      </c>
      <c r="G49" s="360">
        <f>F49/'- 3 -'!E49</f>
        <v>0.003904419803217242</v>
      </c>
      <c r="H49" s="15">
        <f>F49/'- 7 -'!G49</f>
        <v>32.195750160978754</v>
      </c>
      <c r="I49" s="15">
        <v>64000</v>
      </c>
      <c r="J49" s="360">
        <f>I49/'- 3 -'!E49</f>
        <v>0.00999531469623614</v>
      </c>
      <c r="K49" s="15">
        <f>I49/'- 7 -'!G49</f>
        <v>82.42112041210561</v>
      </c>
    </row>
    <row r="50" spans="1:11" ht="12.75">
      <c r="A50" s="16">
        <v>44</v>
      </c>
      <c r="B50" s="17" t="s">
        <v>154</v>
      </c>
      <c r="C50" s="17">
        <v>29870</v>
      </c>
      <c r="D50" s="361">
        <f>C50/'- 3 -'!E50</f>
        <v>0.0032345119720257488</v>
      </c>
      <c r="E50" s="17">
        <f>C50/'- 7 -'!G50</f>
        <v>24.57424928013163</v>
      </c>
      <c r="F50" s="17">
        <v>13000</v>
      </c>
      <c r="G50" s="361">
        <f>F50/'- 3 -'!E50</f>
        <v>0.0014077219831380896</v>
      </c>
      <c r="H50" s="17">
        <f>F50/'- 7 -'!G50</f>
        <v>10.695187165775401</v>
      </c>
      <c r="I50" s="17">
        <v>55624</v>
      </c>
      <c r="J50" s="361">
        <f>I50/'- 3 -'!E50</f>
        <v>0.006023317506928699</v>
      </c>
      <c r="K50" s="17">
        <f>I50/'- 7 -'!G50</f>
        <v>45.76223776223776</v>
      </c>
    </row>
    <row r="51" spans="1:11" ht="12.75">
      <c r="A51" s="14">
        <v>45</v>
      </c>
      <c r="B51" s="15" t="s">
        <v>155</v>
      </c>
      <c r="C51" s="15">
        <v>46500</v>
      </c>
      <c r="D51" s="360">
        <f>C51/'- 3 -'!E51</f>
        <v>0.0038578937774994193</v>
      </c>
      <c r="E51" s="15">
        <f>C51/'- 7 -'!G51</f>
        <v>24.616199047114875</v>
      </c>
      <c r="F51" s="15">
        <v>16300</v>
      </c>
      <c r="G51" s="360">
        <f>F51/'- 3 -'!E51</f>
        <v>0.0013523369585643126</v>
      </c>
      <c r="H51" s="15">
        <f>F51/'- 7 -'!G51</f>
        <v>8.628904182106934</v>
      </c>
      <c r="I51" s="15">
        <v>98000</v>
      </c>
      <c r="J51" s="360">
        <f>I51/'- 3 -'!E51</f>
        <v>0.008130614842902003</v>
      </c>
      <c r="K51" s="15">
        <f>I51/'- 7 -'!G51</f>
        <v>51.87930121757544</v>
      </c>
    </row>
    <row r="52" spans="1:11" ht="12.75">
      <c r="A52" s="16">
        <v>46</v>
      </c>
      <c r="B52" s="17" t="s">
        <v>156</v>
      </c>
      <c r="C52" s="17">
        <v>67823</v>
      </c>
      <c r="D52" s="361">
        <f>C52/'- 3 -'!E52</f>
        <v>0.006396514685585881</v>
      </c>
      <c r="E52" s="17">
        <f>C52/'- 7 -'!G52</f>
        <v>45.18520986009327</v>
      </c>
      <c r="F52" s="17">
        <v>13265</v>
      </c>
      <c r="G52" s="361">
        <f>F52/'- 3 -'!E52</f>
        <v>0.0012510470976556142</v>
      </c>
      <c r="H52" s="17">
        <f>F52/'- 7 -'!G52</f>
        <v>8.837441705529647</v>
      </c>
      <c r="I52" s="17">
        <v>81970</v>
      </c>
      <c r="J52" s="361">
        <f>I52/'- 3 -'!E52</f>
        <v>0.007730744862030206</v>
      </c>
      <c r="K52" s="17">
        <f>I52/'- 7 -'!G52</f>
        <v>54.61025982678215</v>
      </c>
    </row>
    <row r="53" spans="1:11" ht="12.75">
      <c r="A53" s="14">
        <v>47</v>
      </c>
      <c r="B53" s="15" t="s">
        <v>157</v>
      </c>
      <c r="C53" s="15">
        <v>113620</v>
      </c>
      <c r="D53" s="360">
        <f>C53/'- 3 -'!E53</f>
        <v>0.011864471025973919</v>
      </c>
      <c r="E53" s="15">
        <f>C53/'- 7 -'!G53</f>
        <v>80.07047216349542</v>
      </c>
      <c r="F53" s="15">
        <v>11765</v>
      </c>
      <c r="G53" s="360">
        <f>F53/'- 3 -'!E53</f>
        <v>0.0012285293224835695</v>
      </c>
      <c r="H53" s="15">
        <f>F53/'- 7 -'!G53</f>
        <v>8.291050035236081</v>
      </c>
      <c r="I53" s="15">
        <v>161488</v>
      </c>
      <c r="J53" s="360">
        <f>I53/'- 3 -'!E53</f>
        <v>0.016862961600444256</v>
      </c>
      <c r="K53" s="15">
        <f>I53/'- 7 -'!G53</f>
        <v>113.80408738548273</v>
      </c>
    </row>
    <row r="54" spans="1:11" ht="12.75">
      <c r="A54" s="16">
        <v>48</v>
      </c>
      <c r="B54" s="17" t="s">
        <v>158</v>
      </c>
      <c r="C54" s="17">
        <v>351341</v>
      </c>
      <c r="D54" s="361">
        <f>C54/'- 3 -'!E54</f>
        <v>0.005660315287073864</v>
      </c>
      <c r="E54" s="17">
        <f>C54/'- 7 -'!G54</f>
        <v>67.69576107899807</v>
      </c>
      <c r="F54" s="17">
        <v>201888</v>
      </c>
      <c r="G54" s="361">
        <f>F54/'- 3 -'!E54</f>
        <v>0.003252537371604135</v>
      </c>
      <c r="H54" s="17">
        <f>F54/'- 7 -'!G54</f>
        <v>38.89942196531792</v>
      </c>
      <c r="I54" s="17">
        <v>455006</v>
      </c>
      <c r="J54" s="361">
        <f>I54/'- 3 -'!E54</f>
        <v>0.007330420923007365</v>
      </c>
      <c r="K54" s="17">
        <f>I54/'- 7 -'!G54</f>
        <v>87.66974951830443</v>
      </c>
    </row>
    <row r="55" spans="1:11" ht="12.75">
      <c r="A55" s="14">
        <v>49</v>
      </c>
      <c r="B55" s="15" t="s">
        <v>159</v>
      </c>
      <c r="C55" s="15">
        <v>124920</v>
      </c>
      <c r="D55" s="360">
        <f>C55/'- 3 -'!E55</f>
        <v>0.0031111606337662343</v>
      </c>
      <c r="E55" s="15">
        <f>C55/'- 7 -'!G55</f>
        <v>28.849884526558892</v>
      </c>
      <c r="F55" s="15">
        <v>114300</v>
      </c>
      <c r="G55" s="360">
        <f>F55/'- 3 -'!E55</f>
        <v>0.0028466671504921597</v>
      </c>
      <c r="H55" s="15">
        <f>F55/'- 7 -'!G55</f>
        <v>26.397228637413395</v>
      </c>
      <c r="I55" s="15">
        <v>572977</v>
      </c>
      <c r="J55" s="360">
        <f>I55/'- 3 -'!E55</f>
        <v>0.014270120768919915</v>
      </c>
      <c r="K55" s="15">
        <f>I55/'- 7 -'!G55</f>
        <v>132.32725173210162</v>
      </c>
    </row>
    <row r="56" spans="1:11" ht="12.75">
      <c r="A56" s="16">
        <v>50</v>
      </c>
      <c r="B56" s="17" t="s">
        <v>340</v>
      </c>
      <c r="C56" s="17">
        <v>120050</v>
      </c>
      <c r="D56" s="361">
        <f>C56/'- 3 -'!E56</f>
        <v>0.008328997120754848</v>
      </c>
      <c r="E56" s="17">
        <f>C56/'- 7 -'!G56</f>
        <v>69.73569561428987</v>
      </c>
      <c r="F56" s="17">
        <v>25000</v>
      </c>
      <c r="G56" s="361">
        <f>F56/'- 3 -'!E56</f>
        <v>0.0017344850313941792</v>
      </c>
      <c r="H56" s="17">
        <f>F56/'- 7 -'!G56</f>
        <v>14.522218995062445</v>
      </c>
      <c r="I56" s="17">
        <v>96000</v>
      </c>
      <c r="J56" s="361">
        <f>I56/'- 3 -'!E56</f>
        <v>0.006660422520553648</v>
      </c>
      <c r="K56" s="17">
        <f>I56/'- 7 -'!G56</f>
        <v>55.76532094103979</v>
      </c>
    </row>
    <row r="57" spans="1:11" ht="12.75">
      <c r="A57" s="14">
        <v>2264</v>
      </c>
      <c r="B57" s="15" t="s">
        <v>160</v>
      </c>
      <c r="C57" s="15">
        <v>29523</v>
      </c>
      <c r="D57" s="360">
        <f>C57/'- 3 -'!E57</f>
        <v>0.014599633859400824</v>
      </c>
      <c r="E57" s="15">
        <f>C57/'- 7 -'!G57</f>
        <v>143.31553398058253</v>
      </c>
      <c r="F57" s="15">
        <v>7100</v>
      </c>
      <c r="G57" s="360">
        <f>F57/'- 3 -'!E57</f>
        <v>0.003511072736569652</v>
      </c>
      <c r="H57" s="15">
        <f>F57/'- 7 -'!G57</f>
        <v>34.46601941747573</v>
      </c>
      <c r="I57" s="15">
        <v>12620</v>
      </c>
      <c r="J57" s="360">
        <f>I57/'- 3 -'!E57</f>
        <v>0.006240808159930847</v>
      </c>
      <c r="K57" s="15">
        <f>I57/'- 7 -'!G57</f>
        <v>61.262135922330096</v>
      </c>
    </row>
    <row r="58" spans="1:11" ht="12.75">
      <c r="A58" s="16">
        <v>2309</v>
      </c>
      <c r="B58" s="17" t="s">
        <v>161</v>
      </c>
      <c r="C58" s="17">
        <v>16415</v>
      </c>
      <c r="D58" s="361">
        <f>C58/'- 3 -'!E58</f>
        <v>0.007797170028656915</v>
      </c>
      <c r="E58" s="17">
        <f>C58/'- 7 -'!G58</f>
        <v>62.72449369507069</v>
      </c>
      <c r="F58" s="17">
        <v>0</v>
      </c>
      <c r="G58" s="361">
        <f>F58/'- 3 -'!E58</f>
        <v>0</v>
      </c>
      <c r="H58" s="17">
        <f>F58/'- 7 -'!G58</f>
        <v>0</v>
      </c>
      <c r="I58" s="17">
        <v>9500</v>
      </c>
      <c r="J58" s="361">
        <f>I58/'- 3 -'!E58</f>
        <v>0.004512526059837996</v>
      </c>
      <c r="K58" s="17">
        <f>I58/'- 7 -'!G58</f>
        <v>36.301108139090566</v>
      </c>
    </row>
    <row r="59" spans="1:11" ht="12.75">
      <c r="A59" s="14">
        <v>2312</v>
      </c>
      <c r="B59" s="15" t="s">
        <v>162</v>
      </c>
      <c r="C59" s="15">
        <v>39000</v>
      </c>
      <c r="D59" s="360">
        <f>C59/'- 3 -'!E59</f>
        <v>0.025011736276252704</v>
      </c>
      <c r="E59" s="15">
        <f>C59/'- 7 -'!G59</f>
        <v>224.78386167146974</v>
      </c>
      <c r="F59" s="15">
        <v>35300</v>
      </c>
      <c r="G59" s="360">
        <f>F59/'- 3 -'!E59</f>
        <v>0.022638827962864625</v>
      </c>
      <c r="H59" s="15">
        <f>F59/'- 7 -'!G59</f>
        <v>203.45821325648416</v>
      </c>
      <c r="I59" s="15">
        <v>9000</v>
      </c>
      <c r="J59" s="360">
        <f>I59/'- 3 -'!E59</f>
        <v>0.0057719391406737</v>
      </c>
      <c r="K59" s="15">
        <f>I59/'- 7 -'!G59</f>
        <v>51.873198847262245</v>
      </c>
    </row>
    <row r="60" spans="1:11" ht="12.75">
      <c r="A60" s="16">
        <v>2355</v>
      </c>
      <c r="B60" s="17" t="s">
        <v>163</v>
      </c>
      <c r="C60" s="17">
        <v>89796</v>
      </c>
      <c r="D60" s="361">
        <f>C60/'- 3 -'!E60</f>
        <v>0.003500118416853205</v>
      </c>
      <c r="E60" s="17">
        <f>C60/'- 7 -'!G60</f>
        <v>26.808777429467085</v>
      </c>
      <c r="F60" s="17">
        <v>13350</v>
      </c>
      <c r="G60" s="361">
        <f>F60/'- 3 -'!E60</f>
        <v>0.0005203637229385528</v>
      </c>
      <c r="H60" s="17">
        <f>F60/'- 7 -'!G60</f>
        <v>3.9856695029108824</v>
      </c>
      <c r="I60" s="17">
        <v>168753</v>
      </c>
      <c r="J60" s="361">
        <f>I60/'- 3 -'!E60</f>
        <v>0.006577748264947536</v>
      </c>
      <c r="K60" s="17">
        <f>I60/'- 7 -'!G60</f>
        <v>50.38154948499776</v>
      </c>
    </row>
    <row r="61" spans="1:11" ht="12.75">
      <c r="A61" s="14">
        <v>2439</v>
      </c>
      <c r="B61" s="15" t="s">
        <v>164</v>
      </c>
      <c r="C61" s="15">
        <v>0</v>
      </c>
      <c r="D61" s="360">
        <f>C61/'- 3 -'!E61</f>
        <v>0</v>
      </c>
      <c r="E61" s="15">
        <f>C61/'- 7 -'!G61</f>
        <v>0</v>
      </c>
      <c r="F61" s="15">
        <v>8000</v>
      </c>
      <c r="G61" s="360">
        <f>F61/'- 3 -'!E61</f>
        <v>0.005888722287120849</v>
      </c>
      <c r="H61" s="15">
        <f>F61/'- 7 -'!G61</f>
        <v>50.473186119873816</v>
      </c>
      <c r="I61" s="15">
        <v>6000</v>
      </c>
      <c r="J61" s="360">
        <f>I61/'- 3 -'!E61</f>
        <v>0.004416541715340637</v>
      </c>
      <c r="K61" s="15">
        <f>I61/'- 7 -'!G61</f>
        <v>37.85488958990536</v>
      </c>
    </row>
    <row r="62" spans="1:11" ht="12.75">
      <c r="A62" s="16">
        <v>2460</v>
      </c>
      <c r="B62" s="17" t="s">
        <v>165</v>
      </c>
      <c r="C62" s="17">
        <v>0</v>
      </c>
      <c r="D62" s="361">
        <f>C62/'- 3 -'!E62</f>
        <v>0</v>
      </c>
      <c r="E62" s="17">
        <f>C62/'- 7 -'!G62</f>
        <v>0</v>
      </c>
      <c r="F62" s="17">
        <v>1000</v>
      </c>
      <c r="G62" s="361">
        <f>F62/'- 3 -'!E62</f>
        <v>0.0004649035046285793</v>
      </c>
      <c r="H62" s="17">
        <f>F62/'- 7 -'!G62</f>
        <v>3.6737692872887586</v>
      </c>
      <c r="I62" s="17">
        <v>22000</v>
      </c>
      <c r="J62" s="361">
        <f>I62/'- 3 -'!E62</f>
        <v>0.010227877101828745</v>
      </c>
      <c r="K62" s="17">
        <f>I62/'- 7 -'!G62</f>
        <v>80.82292432035268</v>
      </c>
    </row>
    <row r="63" spans="1:11" ht="12.75">
      <c r="A63" s="14">
        <v>3000</v>
      </c>
      <c r="B63" s="15" t="s">
        <v>363</v>
      </c>
      <c r="C63" s="15">
        <v>90369</v>
      </c>
      <c r="D63" s="360">
        <f>C63/'- 3 -'!E63</f>
        <v>0.012495590820388792</v>
      </c>
      <c r="E63" s="15">
        <f>C63/'- 7 -'!G63</f>
        <v>112.93301674581355</v>
      </c>
      <c r="F63" s="15">
        <v>34376</v>
      </c>
      <c r="G63" s="360">
        <f>F63/'- 3 -'!E63</f>
        <v>0.004753271918928893</v>
      </c>
      <c r="H63" s="15">
        <f>F63/'- 7 -'!G63</f>
        <v>42.959260184953756</v>
      </c>
      <c r="I63" s="15">
        <v>211764</v>
      </c>
      <c r="J63" s="360">
        <f>I63/'- 3 -'!E63</f>
        <v>0.029281239080755705</v>
      </c>
      <c r="K63" s="15">
        <f>I63/'- 7 -'!G63</f>
        <v>264.6388402899275</v>
      </c>
    </row>
    <row r="64" spans="1:11" ht="4.5" customHeight="1">
      <c r="A64" s="18"/>
      <c r="B64" s="18"/>
      <c r="C64" s="18"/>
      <c r="D64" s="198"/>
      <c r="E64" s="18"/>
      <c r="F64" s="18"/>
      <c r="G64" s="198"/>
      <c r="H64" s="18"/>
      <c r="I64" s="18"/>
      <c r="J64" s="198"/>
      <c r="K64" s="18"/>
    </row>
    <row r="65" spans="1:11" ht="12.75">
      <c r="A65" s="20"/>
      <c r="B65" s="21" t="s">
        <v>166</v>
      </c>
      <c r="C65" s="21">
        <f>SUM(C11:C63)</f>
        <v>5954203</v>
      </c>
      <c r="D65" s="103">
        <f>C65/'- 3 -'!E65</f>
        <v>0.004406160956366426</v>
      </c>
      <c r="E65" s="21">
        <f>C65/'- 7 -'!G65</f>
        <v>32.91532916998651</v>
      </c>
      <c r="F65" s="21">
        <f>SUM(F11:F63)</f>
        <v>4151615</v>
      </c>
      <c r="G65" s="103">
        <f>F65/'- 3 -'!E65</f>
        <v>0.0030722304763316265</v>
      </c>
      <c r="H65" s="21">
        <f>F65/'- 7 -'!G65</f>
        <v>22.950472852882832</v>
      </c>
      <c r="I65" s="21">
        <f>SUM(I11:I63)</f>
        <v>14035108</v>
      </c>
      <c r="J65" s="103">
        <f>I65/'- 3 -'!E65</f>
        <v>0.01038609951457585</v>
      </c>
      <c r="K65" s="21">
        <f>I65/'- 7 -'!G65</f>
        <v>77.58724379338611</v>
      </c>
    </row>
    <row r="66" spans="1:11" ht="4.5" customHeight="1">
      <c r="A66" s="18"/>
      <c r="B66" s="18"/>
      <c r="C66" s="18"/>
      <c r="D66" s="198"/>
      <c r="E66" s="18"/>
      <c r="F66" s="18"/>
      <c r="G66" s="198"/>
      <c r="H66" s="18"/>
      <c r="I66" s="18"/>
      <c r="J66" s="198"/>
      <c r="K66" s="18"/>
    </row>
    <row r="67" spans="1:11" ht="12.75">
      <c r="A67" s="16">
        <v>2155</v>
      </c>
      <c r="B67" s="17" t="s">
        <v>167</v>
      </c>
      <c r="C67" s="17">
        <v>0</v>
      </c>
      <c r="D67" s="361">
        <f>C67/'- 3 -'!E67</f>
        <v>0</v>
      </c>
      <c r="E67" s="17">
        <f>C67/'- 7 -'!G67</f>
        <v>0</v>
      </c>
      <c r="F67" s="17">
        <v>1400</v>
      </c>
      <c r="G67" s="361">
        <f>F67/'- 3 -'!E67</f>
        <v>0.001055501272632963</v>
      </c>
      <c r="H67" s="17">
        <f>F67/'- 7 -'!G67</f>
        <v>9.859154929577464</v>
      </c>
      <c r="I67" s="17">
        <v>14900</v>
      </c>
      <c r="J67" s="361">
        <f>I67/'- 3 -'!E67</f>
        <v>0.011233549258736535</v>
      </c>
      <c r="K67" s="17">
        <f>I67/'- 7 -'!G67</f>
        <v>104.92957746478874</v>
      </c>
    </row>
    <row r="68" spans="1:11" ht="12.75">
      <c r="A68" s="14">
        <v>2408</v>
      </c>
      <c r="B68" s="15" t="s">
        <v>169</v>
      </c>
      <c r="C68" s="15">
        <v>0</v>
      </c>
      <c r="D68" s="360">
        <f>C68/'- 3 -'!E68</f>
        <v>0</v>
      </c>
      <c r="E68" s="15">
        <f>C68/'- 7 -'!G68</f>
        <v>0</v>
      </c>
      <c r="F68" s="15">
        <v>21000</v>
      </c>
      <c r="G68" s="360">
        <f>F68/'- 3 -'!E68</f>
        <v>0.0091401113787858</v>
      </c>
      <c r="H68" s="15">
        <f>F68/'- 7 -'!G68</f>
        <v>86.06557377049181</v>
      </c>
      <c r="I68" s="15">
        <v>29200</v>
      </c>
      <c r="J68" s="360">
        <f>I68/'- 3 -'!E68</f>
        <v>0.012709107250502161</v>
      </c>
      <c r="K68" s="15">
        <f>I68/'- 7 -'!G68</f>
        <v>119.67213114754098</v>
      </c>
    </row>
    <row r="69" ht="6.75" customHeight="1"/>
    <row r="70" spans="1:2" ht="12" customHeight="1">
      <c r="A70" s="396" t="s">
        <v>351</v>
      </c>
      <c r="B70" s="7" t="s">
        <v>464</v>
      </c>
    </row>
    <row r="71" spans="1:2" ht="12" customHeight="1">
      <c r="A71" s="55"/>
      <c r="B71" s="397" t="s">
        <v>463</v>
      </c>
    </row>
    <row r="72" spans="1:2" ht="12" customHeight="1">
      <c r="A72" s="7"/>
      <c r="B72" s="7"/>
    </row>
    <row r="73" spans="1:2" ht="12" customHeight="1">
      <c r="A73" s="7"/>
      <c r="B73" s="7"/>
    </row>
    <row r="74" spans="1:2" ht="12" customHeight="1">
      <c r="A74" s="7"/>
      <c r="B74" s="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F74"/>
  <sheetViews>
    <sheetView showGridLines="0" workbookViewId="0" topLeftCell="A1">
      <selection activeCell="A1" sqref="A1"/>
    </sheetView>
  </sheetViews>
  <sheetFormatPr defaultColWidth="15.83203125" defaultRowHeight="12"/>
  <cols>
    <col min="1" max="1" width="6.83203125" style="82" customWidth="1"/>
    <col min="2" max="2" width="33.83203125" style="82" customWidth="1"/>
    <col min="3" max="3" width="35.83203125" style="82" customWidth="1"/>
    <col min="4" max="5" width="15.83203125" style="82" customWidth="1"/>
    <col min="6" max="6" width="30.83203125" style="82" customWidth="1"/>
    <col min="7" max="16384" width="15.83203125" style="82" customWidth="1"/>
  </cols>
  <sheetData>
    <row r="1" spans="1:5" ht="6.75" customHeight="1">
      <c r="A1" s="18"/>
      <c r="B1" s="80"/>
      <c r="C1" s="142"/>
      <c r="D1" s="142"/>
      <c r="E1" s="142"/>
    </row>
    <row r="2" spans="1:6" ht="12.75">
      <c r="A2" s="9"/>
      <c r="B2" s="83"/>
      <c r="C2" s="200" t="s">
        <v>318</v>
      </c>
      <c r="D2" s="201"/>
      <c r="E2" s="200"/>
      <c r="F2" s="9"/>
    </row>
    <row r="3" spans="1:6" ht="12.75">
      <c r="A3" s="10"/>
      <c r="B3" s="86"/>
      <c r="C3" s="203" t="str">
        <f>YEAR</f>
        <v>OPERATING FUND BUDGET 2002/2003</v>
      </c>
      <c r="D3" s="203"/>
      <c r="E3" s="203"/>
      <c r="F3" s="10"/>
    </row>
    <row r="4" spans="1:5" ht="12.75">
      <c r="A4" s="11"/>
      <c r="C4" s="142"/>
      <c r="D4" s="142"/>
      <c r="E4" s="142"/>
    </row>
    <row r="5" ht="12.75">
      <c r="A5" s="11"/>
    </row>
    <row r="6" spans="1:5" ht="18.75">
      <c r="A6" s="11"/>
      <c r="C6" s="407" t="s">
        <v>402</v>
      </c>
      <c r="D6" s="345"/>
      <c r="E6" s="346"/>
    </row>
    <row r="7" spans="3:5" ht="12.75">
      <c r="C7" s="69" t="s">
        <v>69</v>
      </c>
      <c r="D7" s="70"/>
      <c r="E7" s="71"/>
    </row>
    <row r="8" spans="1:5" ht="12.75">
      <c r="A8" s="94"/>
      <c r="B8" s="46"/>
      <c r="C8" s="73"/>
      <c r="D8" s="74"/>
      <c r="E8" s="229" t="s">
        <v>75</v>
      </c>
    </row>
    <row r="9" spans="1:5" ht="12.75">
      <c r="A9" s="52" t="s">
        <v>100</v>
      </c>
      <c r="B9" s="53" t="s">
        <v>101</v>
      </c>
      <c r="C9" s="76" t="s">
        <v>102</v>
      </c>
      <c r="D9" s="76" t="s">
        <v>103</v>
      </c>
      <c r="E9" s="76" t="s">
        <v>104</v>
      </c>
    </row>
    <row r="10" spans="1:2" ht="4.5" customHeight="1">
      <c r="A10" s="77"/>
      <c r="B10" s="77"/>
    </row>
    <row r="11" spans="1:5" ht="12.75">
      <c r="A11" s="14">
        <v>1</v>
      </c>
      <c r="B11" s="15" t="s">
        <v>115</v>
      </c>
      <c r="C11" s="15">
        <f>SUM('- 38 -'!C11,'- 38 -'!F11,'- 38 -'!I11)</f>
        <v>2999000</v>
      </c>
      <c r="D11" s="360">
        <f>C11/'- 3 -'!E11</f>
        <v>0.01179976982776428</v>
      </c>
      <c r="E11" s="15">
        <f>C11/'- 7 -'!G11</f>
        <v>96.99851219354422</v>
      </c>
    </row>
    <row r="12" spans="1:5" ht="12.75">
      <c r="A12" s="16">
        <v>2</v>
      </c>
      <c r="B12" s="17" t="s">
        <v>116</v>
      </c>
      <c r="C12" s="17">
        <f>SUM('- 38 -'!C12,'- 38 -'!F12,'- 38 -'!I12)</f>
        <v>1563364</v>
      </c>
      <c r="D12" s="361">
        <f>C12/'- 3 -'!E12</f>
        <v>0.024889581580483114</v>
      </c>
      <c r="E12" s="17">
        <f>C12/'- 7 -'!G12</f>
        <v>170.93791685801133</v>
      </c>
    </row>
    <row r="13" spans="1:5" ht="12.75">
      <c r="A13" s="14">
        <v>3</v>
      </c>
      <c r="B13" s="15" t="s">
        <v>117</v>
      </c>
      <c r="C13" s="15">
        <f>SUM('- 38 -'!C13,'- 38 -'!F13,'- 38 -'!I13)</f>
        <v>1436423</v>
      </c>
      <c r="D13" s="360">
        <f>C13/'- 3 -'!E13</f>
        <v>0.03240444485131078</v>
      </c>
      <c r="E13" s="15">
        <f>C13/'- 7 -'!G13</f>
        <v>250.00835436428508</v>
      </c>
    </row>
    <row r="14" spans="1:5" ht="12.75">
      <c r="A14" s="16">
        <v>4</v>
      </c>
      <c r="B14" s="17" t="s">
        <v>118</v>
      </c>
      <c r="C14" s="17">
        <f>SUM('- 38 -'!C14,'- 38 -'!F14,'- 38 -'!I14)</f>
        <v>1081156</v>
      </c>
      <c r="D14" s="361">
        <f>C14/'- 3 -'!E14</f>
        <v>0.024826428942327894</v>
      </c>
      <c r="E14" s="17">
        <f>C14/'- 7 -'!G14</f>
        <v>173.56814898057473</v>
      </c>
    </row>
    <row r="15" spans="1:5" ht="12.75">
      <c r="A15" s="14">
        <v>5</v>
      </c>
      <c r="B15" s="15" t="s">
        <v>119</v>
      </c>
      <c r="C15" s="15">
        <f>SUM('- 38 -'!C15,'- 38 -'!F15,'- 38 -'!I15)</f>
        <v>1248733</v>
      </c>
      <c r="D15" s="360">
        <f>C15/'- 3 -'!E15</f>
        <v>0.023036680373501296</v>
      </c>
      <c r="E15" s="15">
        <f>C15/'- 7 -'!G15</f>
        <v>172.7513315348966</v>
      </c>
    </row>
    <row r="16" spans="1:5" ht="12.75">
      <c r="A16" s="16">
        <v>6</v>
      </c>
      <c r="B16" s="17" t="s">
        <v>120</v>
      </c>
      <c r="C16" s="17">
        <f>SUM('- 38 -'!C16,'- 38 -'!F16,'- 38 -'!I16)</f>
        <v>1612005</v>
      </c>
      <c r="D16" s="361">
        <f>C16/'- 3 -'!E16</f>
        <v>0.025868595580649797</v>
      </c>
      <c r="E16" s="17">
        <f>C16/'- 7 -'!G16</f>
        <v>181.3789029535865</v>
      </c>
    </row>
    <row r="17" spans="1:5" ht="12.75">
      <c r="A17" s="14">
        <v>9</v>
      </c>
      <c r="B17" s="15" t="s">
        <v>121</v>
      </c>
      <c r="C17" s="15">
        <f>SUM('- 38 -'!C17,'- 38 -'!F17,'- 38 -'!I17)</f>
        <v>1449750</v>
      </c>
      <c r="D17" s="360">
        <f>C17/'- 3 -'!E17</f>
        <v>0.01728241681608303</v>
      </c>
      <c r="E17" s="15">
        <f>C17/'- 7 -'!G17</f>
        <v>116.86819830713422</v>
      </c>
    </row>
    <row r="18" spans="1:5" ht="12.75">
      <c r="A18" s="16">
        <v>10</v>
      </c>
      <c r="B18" s="17" t="s">
        <v>122</v>
      </c>
      <c r="C18" s="17">
        <f>SUM('- 38 -'!C18,'- 38 -'!F18,'- 38 -'!I18)</f>
        <v>910420</v>
      </c>
      <c r="D18" s="361">
        <f>C18/'- 3 -'!E18</f>
        <v>0.014696905186138818</v>
      </c>
      <c r="E18" s="17">
        <f>C18/'- 7 -'!G18</f>
        <v>105.56206156878659</v>
      </c>
    </row>
    <row r="19" spans="1:5" ht="12.75">
      <c r="A19" s="14">
        <v>11</v>
      </c>
      <c r="B19" s="15" t="s">
        <v>123</v>
      </c>
      <c r="C19" s="15">
        <f>SUM('- 38 -'!C19,'- 38 -'!F19,'- 38 -'!I19)</f>
        <v>639535</v>
      </c>
      <c r="D19" s="360">
        <f>C19/'- 3 -'!E19</f>
        <v>0.019174374723231025</v>
      </c>
      <c r="E19" s="15">
        <f>C19/'- 7 -'!G19</f>
        <v>136.15818607621887</v>
      </c>
    </row>
    <row r="20" spans="1:5" ht="12.75">
      <c r="A20" s="16">
        <v>12</v>
      </c>
      <c r="B20" s="17" t="s">
        <v>124</v>
      </c>
      <c r="C20" s="17">
        <f>SUM('- 38 -'!C20,'- 38 -'!F20,'- 38 -'!I20)</f>
        <v>629811</v>
      </c>
      <c r="D20" s="361">
        <f>C20/'- 3 -'!E20</f>
        <v>0.01203091980257869</v>
      </c>
      <c r="E20" s="17">
        <f>C20/'- 7 -'!G20</f>
        <v>82.50078595755829</v>
      </c>
    </row>
    <row r="21" spans="1:5" ht="12.75">
      <c r="A21" s="14">
        <v>13</v>
      </c>
      <c r="B21" s="15" t="s">
        <v>125</v>
      </c>
      <c r="C21" s="15">
        <f>SUM('- 38 -'!C21,'- 38 -'!F21,'- 38 -'!I21)</f>
        <v>430889</v>
      </c>
      <c r="D21" s="360">
        <f>C21/'- 3 -'!E21</f>
        <v>0.02050474266961719</v>
      </c>
      <c r="E21" s="15">
        <f>C21/'- 7 -'!G21</f>
        <v>164.46145038167938</v>
      </c>
    </row>
    <row r="22" spans="1:5" ht="12.75">
      <c r="A22" s="16">
        <v>14</v>
      </c>
      <c r="B22" s="17" t="s">
        <v>126</v>
      </c>
      <c r="C22" s="17">
        <f>SUM('- 38 -'!C22,'- 38 -'!F22,'- 38 -'!I22)</f>
        <v>244025</v>
      </c>
      <c r="D22" s="361">
        <f>C22/'- 3 -'!E22</f>
        <v>0.010250805204371924</v>
      </c>
      <c r="E22" s="17">
        <f>C22/'- 7 -'!G22</f>
        <v>71.26898364485982</v>
      </c>
    </row>
    <row r="23" spans="1:5" ht="12.75">
      <c r="A23" s="14">
        <v>15</v>
      </c>
      <c r="B23" s="15" t="s">
        <v>127</v>
      </c>
      <c r="C23" s="15">
        <f>SUM('- 38 -'!C23,'- 38 -'!F23,'- 38 -'!I23)</f>
        <v>714634</v>
      </c>
      <c r="D23" s="360">
        <f>C23/'- 3 -'!E23</f>
        <v>0.021025106095093036</v>
      </c>
      <c r="E23" s="15">
        <f>C23/'- 7 -'!G23</f>
        <v>117.6933465085639</v>
      </c>
    </row>
    <row r="24" spans="1:5" ht="12.75">
      <c r="A24" s="16">
        <v>16</v>
      </c>
      <c r="B24" s="17" t="s">
        <v>128</v>
      </c>
      <c r="C24" s="17">
        <f>SUM('- 38 -'!C24,'- 38 -'!F24,'- 38 -'!I24)</f>
        <v>45201</v>
      </c>
      <c r="D24" s="361">
        <f>C24/'- 3 -'!E24</f>
        <v>0.007243012930575174</v>
      </c>
      <c r="E24" s="17">
        <f>C24/'- 7 -'!G24</f>
        <v>54.328125</v>
      </c>
    </row>
    <row r="25" spans="1:5" ht="12.75">
      <c r="A25" s="14">
        <v>17</v>
      </c>
      <c r="B25" s="15" t="s">
        <v>129</v>
      </c>
      <c r="C25" s="15">
        <f>SUM('- 38 -'!C25,'- 38 -'!F25,'- 38 -'!I25)</f>
        <v>82800</v>
      </c>
      <c r="D25" s="360">
        <f>C25/'- 3 -'!E25</f>
        <v>0.01859675783045911</v>
      </c>
      <c r="E25" s="15">
        <f>C25/'- 7 -'!G25</f>
        <v>169.01408450704227</v>
      </c>
    </row>
    <row r="26" spans="1:5" ht="12.75">
      <c r="A26" s="16">
        <v>18</v>
      </c>
      <c r="B26" s="17" t="s">
        <v>130</v>
      </c>
      <c r="C26" s="17">
        <f>SUM('- 38 -'!C26,'- 38 -'!F26,'- 38 -'!I26)</f>
        <v>136000</v>
      </c>
      <c r="D26" s="361">
        <f>C26/'- 3 -'!E26</f>
        <v>0.013874169237667756</v>
      </c>
      <c r="E26" s="17">
        <f>C26/'- 7 -'!G26</f>
        <v>97.14285714285714</v>
      </c>
    </row>
    <row r="27" spans="1:5" ht="12.75">
      <c r="A27" s="14">
        <v>19</v>
      </c>
      <c r="B27" s="15" t="s">
        <v>131</v>
      </c>
      <c r="C27" s="15">
        <f>SUM('- 38 -'!C27,'- 38 -'!F27,'- 38 -'!I27)</f>
        <v>195900</v>
      </c>
      <c r="D27" s="360">
        <f>C27/'- 3 -'!E27</f>
        <v>0.015775633290210048</v>
      </c>
      <c r="E27" s="15">
        <f>C27/'- 7 -'!G27</f>
        <v>108.02315963606286</v>
      </c>
    </row>
    <row r="28" spans="1:5" ht="12.75">
      <c r="A28" s="16">
        <v>20</v>
      </c>
      <c r="B28" s="17" t="s">
        <v>132</v>
      </c>
      <c r="C28" s="17">
        <f>SUM('- 38 -'!C28,'- 38 -'!F28,'- 38 -'!I28)</f>
        <v>129284</v>
      </c>
      <c r="D28" s="361">
        <f>C28/'- 3 -'!E28</f>
        <v>0.016358749642068522</v>
      </c>
      <c r="E28" s="17">
        <f>C28/'- 7 -'!G28</f>
        <v>135.67425752964633</v>
      </c>
    </row>
    <row r="29" spans="1:5" ht="12.75">
      <c r="A29" s="14">
        <v>21</v>
      </c>
      <c r="B29" s="15" t="s">
        <v>133</v>
      </c>
      <c r="C29" s="15">
        <f>SUM('- 38 -'!C29,'- 38 -'!F29,'- 38 -'!I29)</f>
        <v>293479</v>
      </c>
      <c r="D29" s="360">
        <f>C29/'- 3 -'!E29</f>
        <v>0.01249059414368403</v>
      </c>
      <c r="E29" s="15">
        <f>C29/'- 7 -'!G29</f>
        <v>87.57952849895554</v>
      </c>
    </row>
    <row r="30" spans="1:5" ht="12.75">
      <c r="A30" s="16">
        <v>22</v>
      </c>
      <c r="B30" s="17" t="s">
        <v>134</v>
      </c>
      <c r="C30" s="17">
        <f>SUM('- 38 -'!C30,'- 38 -'!F30,'- 38 -'!I30)</f>
        <v>203829</v>
      </c>
      <c r="D30" s="361">
        <f>C30/'- 3 -'!E30</f>
        <v>0.01636691818724993</v>
      </c>
      <c r="E30" s="17">
        <f>C30/'- 7 -'!G30</f>
        <v>123.57017277963018</v>
      </c>
    </row>
    <row r="31" spans="1:5" ht="12.75">
      <c r="A31" s="14">
        <v>23</v>
      </c>
      <c r="B31" s="15" t="s">
        <v>135</v>
      </c>
      <c r="C31" s="15">
        <f>SUM('- 38 -'!C31,'- 38 -'!F31,'- 38 -'!I31)</f>
        <v>184225</v>
      </c>
      <c r="D31" s="360">
        <f>C31/'- 3 -'!E31</f>
        <v>0.018012194810747537</v>
      </c>
      <c r="E31" s="15">
        <f>C31/'- 7 -'!G31</f>
        <v>130.2864214992928</v>
      </c>
    </row>
    <row r="32" spans="1:5" ht="12.75">
      <c r="A32" s="16">
        <v>24</v>
      </c>
      <c r="B32" s="17" t="s">
        <v>136</v>
      </c>
      <c r="C32" s="17">
        <f>SUM('- 38 -'!C32,'- 38 -'!F32,'- 38 -'!I32)</f>
        <v>261505</v>
      </c>
      <c r="D32" s="361">
        <f>C32/'- 3 -'!E32</f>
        <v>0.011184489176508437</v>
      </c>
      <c r="E32" s="17">
        <f>C32/'- 7 -'!G32</f>
        <v>74.7733966202499</v>
      </c>
    </row>
    <row r="33" spans="1:5" ht="12.75">
      <c r="A33" s="14">
        <v>25</v>
      </c>
      <c r="B33" s="15" t="s">
        <v>137</v>
      </c>
      <c r="C33" s="15">
        <f>SUM('- 38 -'!C33,'- 38 -'!F33,'- 38 -'!I33)</f>
        <v>150550</v>
      </c>
      <c r="D33" s="360">
        <f>C33/'- 3 -'!E33</f>
        <v>0.01415561719901378</v>
      </c>
      <c r="E33" s="15">
        <f>C33/'- 7 -'!G33</f>
        <v>107.689556509299</v>
      </c>
    </row>
    <row r="34" spans="1:5" ht="12.75">
      <c r="A34" s="16">
        <v>26</v>
      </c>
      <c r="B34" s="17" t="s">
        <v>138</v>
      </c>
      <c r="C34" s="17">
        <f>SUM('- 38 -'!C34,'- 38 -'!F34,'- 38 -'!I34)</f>
        <v>378400</v>
      </c>
      <c r="D34" s="361">
        <f>C34/'- 3 -'!E34</f>
        <v>0.021820173857886316</v>
      </c>
      <c r="E34" s="17">
        <f>C34/'- 7 -'!G34</f>
        <v>127.83783783783784</v>
      </c>
    </row>
    <row r="35" spans="1:5" ht="12.75">
      <c r="A35" s="14">
        <v>28</v>
      </c>
      <c r="B35" s="15" t="s">
        <v>139</v>
      </c>
      <c r="C35" s="15">
        <f>SUM('- 38 -'!C35,'- 38 -'!F35,'- 38 -'!I35)</f>
        <v>100057</v>
      </c>
      <c r="D35" s="360">
        <f>C35/'- 3 -'!E35</f>
        <v>0.015625</v>
      </c>
      <c r="E35" s="15">
        <f>C35/'- 7 -'!G35</f>
        <v>122.09517998779744</v>
      </c>
    </row>
    <row r="36" spans="1:5" ht="12.75">
      <c r="A36" s="16">
        <v>30</v>
      </c>
      <c r="B36" s="17" t="s">
        <v>140</v>
      </c>
      <c r="C36" s="17">
        <f>SUM('- 38 -'!C36,'- 38 -'!F36,'- 38 -'!I36)</f>
        <v>230350</v>
      </c>
      <c r="D36" s="361">
        <f>C36/'- 3 -'!E36</f>
        <v>0.0235189710340414</v>
      </c>
      <c r="E36" s="17">
        <f>C36/'- 7 -'!G36</f>
        <v>176.9744929317763</v>
      </c>
    </row>
    <row r="37" spans="1:5" ht="12.75">
      <c r="A37" s="14">
        <v>31</v>
      </c>
      <c r="B37" s="15" t="s">
        <v>141</v>
      </c>
      <c r="C37" s="15">
        <f>SUM('- 38 -'!C37,'- 38 -'!F37,'- 38 -'!I37)</f>
        <v>281936</v>
      </c>
      <c r="D37" s="360">
        <f>C37/'- 3 -'!E37</f>
        <v>0.02574479147737971</v>
      </c>
      <c r="E37" s="15">
        <f>C37/'- 7 -'!G37</f>
        <v>174.03456790123457</v>
      </c>
    </row>
    <row r="38" spans="1:5" ht="12.75">
      <c r="A38" s="16">
        <v>32</v>
      </c>
      <c r="B38" s="17" t="s">
        <v>142</v>
      </c>
      <c r="C38" s="17">
        <f>SUM('- 38 -'!C38,'- 38 -'!F38,'- 38 -'!I38)</f>
        <v>202189</v>
      </c>
      <c r="D38" s="361">
        <f>C38/'- 3 -'!E38</f>
        <v>0.02941067802428622</v>
      </c>
      <c r="E38" s="17">
        <f>C38/'- 7 -'!G38</f>
        <v>240.84455032757594</v>
      </c>
    </row>
    <row r="39" spans="1:5" ht="12.75">
      <c r="A39" s="14">
        <v>33</v>
      </c>
      <c r="B39" s="15" t="s">
        <v>143</v>
      </c>
      <c r="C39" s="15">
        <f>SUM('- 38 -'!C39,'- 38 -'!F39,'- 38 -'!I39)</f>
        <v>204638</v>
      </c>
      <c r="D39" s="360">
        <f>C39/'- 3 -'!E39</f>
        <v>0.014943454711630276</v>
      </c>
      <c r="E39" s="15">
        <f>C39/'- 7 -'!G39</f>
        <v>109.42623389123577</v>
      </c>
    </row>
    <row r="40" spans="1:5" ht="12.75">
      <c r="A40" s="16">
        <v>34</v>
      </c>
      <c r="B40" s="17" t="s">
        <v>144</v>
      </c>
      <c r="C40" s="17">
        <f>SUM('- 38 -'!C40,'- 38 -'!F40,'- 38 -'!I40)</f>
        <v>47000</v>
      </c>
      <c r="D40" s="361">
        <f>C40/'- 3 -'!E40</f>
        <v>0.008155450521836045</v>
      </c>
      <c r="E40" s="17">
        <f>C40/'- 7 -'!G40</f>
        <v>64.33949349760438</v>
      </c>
    </row>
    <row r="41" spans="1:5" ht="12.75">
      <c r="A41" s="14">
        <v>35</v>
      </c>
      <c r="B41" s="15" t="s">
        <v>145</v>
      </c>
      <c r="C41" s="15">
        <f>SUM('- 38 -'!C41,'- 38 -'!F41,'- 38 -'!I41)</f>
        <v>492878</v>
      </c>
      <c r="D41" s="360">
        <f>C41/'- 3 -'!E41</f>
        <v>0.03348372356169133</v>
      </c>
      <c r="E41" s="15">
        <f>C41/'- 7 -'!G41</f>
        <v>257.40442866095674</v>
      </c>
    </row>
    <row r="42" spans="1:5" ht="12.75">
      <c r="A42" s="16">
        <v>36</v>
      </c>
      <c r="B42" s="17" t="s">
        <v>146</v>
      </c>
      <c r="C42" s="17">
        <f>SUM('- 38 -'!C42,'- 38 -'!F42,'- 38 -'!I42)</f>
        <v>81408</v>
      </c>
      <c r="D42" s="361">
        <f>C42/'- 3 -'!E42</f>
        <v>0.010658287509819325</v>
      </c>
      <c r="E42" s="17">
        <f>C42/'- 7 -'!G42</f>
        <v>87.06737967914438</v>
      </c>
    </row>
    <row r="43" spans="1:5" ht="12.75">
      <c r="A43" s="14">
        <v>37</v>
      </c>
      <c r="B43" s="15" t="s">
        <v>147</v>
      </c>
      <c r="C43" s="15">
        <f>SUM('- 38 -'!C43,'- 38 -'!F43,'- 38 -'!I43)</f>
        <v>155222</v>
      </c>
      <c r="D43" s="360">
        <f>C43/'- 3 -'!E43</f>
        <v>0.02241417900210392</v>
      </c>
      <c r="E43" s="15">
        <f>C43/'- 7 -'!G43</f>
        <v>168.34810147175256</v>
      </c>
    </row>
    <row r="44" spans="1:5" ht="12.75">
      <c r="A44" s="16">
        <v>38</v>
      </c>
      <c r="B44" s="17" t="s">
        <v>148</v>
      </c>
      <c r="C44" s="17">
        <f>SUM('- 38 -'!C44,'- 38 -'!F44,'- 38 -'!I44)</f>
        <v>122744</v>
      </c>
      <c r="D44" s="361">
        <f>C44/'- 3 -'!E44</f>
        <v>0.013705014371149708</v>
      </c>
      <c r="E44" s="17">
        <f>C44/'- 7 -'!G44</f>
        <v>105.08904109589041</v>
      </c>
    </row>
    <row r="45" spans="1:5" ht="12.75">
      <c r="A45" s="14">
        <v>39</v>
      </c>
      <c r="B45" s="15" t="s">
        <v>149</v>
      </c>
      <c r="C45" s="15">
        <f>SUM('- 38 -'!C45,'- 38 -'!F45,'- 38 -'!I45)</f>
        <v>180200</v>
      </c>
      <c r="D45" s="360">
        <f>C45/'- 3 -'!E45</f>
        <v>0.011315435019450367</v>
      </c>
      <c r="E45" s="15">
        <f>C45/'- 7 -'!G45</f>
        <v>85.80952380952381</v>
      </c>
    </row>
    <row r="46" spans="1:5" ht="12.75">
      <c r="A46" s="16">
        <v>40</v>
      </c>
      <c r="B46" s="17" t="s">
        <v>150</v>
      </c>
      <c r="C46" s="17">
        <f>SUM('- 38 -'!C46,'- 38 -'!F46,'- 38 -'!I46)</f>
        <v>744600</v>
      </c>
      <c r="D46" s="361">
        <f>C46/'- 3 -'!E46</f>
        <v>0.015935282976469456</v>
      </c>
      <c r="E46" s="17">
        <f>C46/'- 7 -'!G46</f>
        <v>100.60122948051071</v>
      </c>
    </row>
    <row r="47" spans="1:5" ht="12.75">
      <c r="A47" s="14">
        <v>41</v>
      </c>
      <c r="B47" s="15" t="s">
        <v>151</v>
      </c>
      <c r="C47" s="15">
        <f>SUM('- 38 -'!C47,'- 38 -'!F47,'- 38 -'!I47)</f>
        <v>315620</v>
      </c>
      <c r="D47" s="360">
        <f>C47/'- 3 -'!E47</f>
        <v>0.025696919642617253</v>
      </c>
      <c r="E47" s="15">
        <f>C47/'- 7 -'!G47</f>
        <v>199.9493189737092</v>
      </c>
    </row>
    <row r="48" spans="1:5" ht="12.75">
      <c r="A48" s="16">
        <v>42</v>
      </c>
      <c r="B48" s="17" t="s">
        <v>152</v>
      </c>
      <c r="C48" s="17">
        <f>SUM('- 38 -'!C48,'- 38 -'!F48,'- 38 -'!I48)</f>
        <v>235593</v>
      </c>
      <c r="D48" s="361">
        <f>C48/'- 3 -'!E48</f>
        <v>0.02934949812860246</v>
      </c>
      <c r="E48" s="17">
        <f>C48/'- 7 -'!G48</f>
        <v>226.42287361845266</v>
      </c>
    </row>
    <row r="49" spans="1:5" ht="12.75">
      <c r="A49" s="14">
        <v>43</v>
      </c>
      <c r="B49" s="15" t="s">
        <v>153</v>
      </c>
      <c r="C49" s="15">
        <f>SUM('- 38 -'!C49,'- 38 -'!F49,'- 38 -'!I49)</f>
        <v>151000</v>
      </c>
      <c r="D49" s="360">
        <f>C49/'- 3 -'!E49</f>
        <v>0.023582695611432142</v>
      </c>
      <c r="E49" s="15">
        <f>C49/'- 7 -'!G49</f>
        <v>194.46233097231166</v>
      </c>
    </row>
    <row r="50" spans="1:5" ht="12.75">
      <c r="A50" s="16">
        <v>44</v>
      </c>
      <c r="B50" s="17" t="s">
        <v>154</v>
      </c>
      <c r="C50" s="17">
        <f>SUM('- 38 -'!C50,'- 38 -'!F50,'- 38 -'!I50)</f>
        <v>98494</v>
      </c>
      <c r="D50" s="361">
        <f>C50/'- 3 -'!E50</f>
        <v>0.010665551462092538</v>
      </c>
      <c r="E50" s="17">
        <f>C50/'- 7 -'!G50</f>
        <v>81.03167420814479</v>
      </c>
    </row>
    <row r="51" spans="1:5" ht="12.75">
      <c r="A51" s="14">
        <v>45</v>
      </c>
      <c r="B51" s="15" t="s">
        <v>155</v>
      </c>
      <c r="C51" s="15">
        <f>SUM('- 38 -'!C51,'- 38 -'!F51,'- 38 -'!I51)</f>
        <v>160800</v>
      </c>
      <c r="D51" s="360">
        <f>C51/'- 3 -'!E51</f>
        <v>0.013340845578965735</v>
      </c>
      <c r="E51" s="15">
        <f>C51/'- 7 -'!G51</f>
        <v>85.12440444679724</v>
      </c>
    </row>
    <row r="52" spans="1:5" ht="12.75">
      <c r="A52" s="16">
        <v>46</v>
      </c>
      <c r="B52" s="17" t="s">
        <v>156</v>
      </c>
      <c r="C52" s="17">
        <f>SUM('- 38 -'!C52,'- 38 -'!F52,'- 38 -'!I52)</f>
        <v>163058</v>
      </c>
      <c r="D52" s="361">
        <f>C52/'- 3 -'!E52</f>
        <v>0.015378306645271702</v>
      </c>
      <c r="E52" s="17">
        <f>C52/'- 7 -'!G52</f>
        <v>108.63291139240506</v>
      </c>
    </row>
    <row r="53" spans="1:5" ht="12.75">
      <c r="A53" s="14">
        <v>47</v>
      </c>
      <c r="B53" s="15" t="s">
        <v>157</v>
      </c>
      <c r="C53" s="15">
        <f>SUM('- 38 -'!C53,'- 38 -'!F53,'- 38 -'!I53)</f>
        <v>286873</v>
      </c>
      <c r="D53" s="360">
        <f>C53/'- 3 -'!E53</f>
        <v>0.02995596194890174</v>
      </c>
      <c r="E53" s="15">
        <f>C53/'- 7 -'!G53</f>
        <v>202.16560958421422</v>
      </c>
    </row>
    <row r="54" spans="1:5" ht="12.75">
      <c r="A54" s="16">
        <v>48</v>
      </c>
      <c r="B54" s="17" t="s">
        <v>158</v>
      </c>
      <c r="C54" s="17">
        <f>SUM('- 38 -'!C54,'- 38 -'!F54,'- 38 -'!I54)</f>
        <v>1008235</v>
      </c>
      <c r="D54" s="361">
        <f>C54/'- 3 -'!E54</f>
        <v>0.016243273581685362</v>
      </c>
      <c r="E54" s="17">
        <f>C54/'- 7 -'!G54</f>
        <v>194.26493256262043</v>
      </c>
    </row>
    <row r="55" spans="1:5" ht="12.75">
      <c r="A55" s="14">
        <v>49</v>
      </c>
      <c r="B55" s="15" t="s">
        <v>159</v>
      </c>
      <c r="C55" s="15">
        <f>SUM('- 38 -'!C55,'- 38 -'!F55,'- 38 -'!I55)</f>
        <v>812197</v>
      </c>
      <c r="D55" s="360">
        <f>C55/'- 3 -'!E55</f>
        <v>0.020227948553178308</v>
      </c>
      <c r="E55" s="15">
        <f>C55/'- 7 -'!G55</f>
        <v>187.57436489607392</v>
      </c>
    </row>
    <row r="56" spans="1:5" ht="12.75">
      <c r="A56" s="16">
        <v>50</v>
      </c>
      <c r="B56" s="17" t="s">
        <v>340</v>
      </c>
      <c r="C56" s="17">
        <f>SUM('- 38 -'!C56,'- 38 -'!F56,'- 38 -'!I56)</f>
        <v>241050</v>
      </c>
      <c r="D56" s="361">
        <f>C56/'- 3 -'!E56</f>
        <v>0.016723904672702676</v>
      </c>
      <c r="E56" s="17">
        <f>C56/'- 7 -'!G56</f>
        <v>140.0232355503921</v>
      </c>
    </row>
    <row r="57" spans="1:5" ht="12.75">
      <c r="A57" s="14">
        <v>2264</v>
      </c>
      <c r="B57" s="15" t="s">
        <v>160</v>
      </c>
      <c r="C57" s="15">
        <f>SUM('- 38 -'!C57,'- 38 -'!F57,'- 38 -'!I57)</f>
        <v>49243</v>
      </c>
      <c r="D57" s="360">
        <f>C57/'- 3 -'!E57</f>
        <v>0.024351514755901322</v>
      </c>
      <c r="E57" s="15">
        <f>C57/'- 7 -'!G57</f>
        <v>239.04368932038835</v>
      </c>
    </row>
    <row r="58" spans="1:5" ht="12.75">
      <c r="A58" s="16">
        <v>2309</v>
      </c>
      <c r="B58" s="17" t="s">
        <v>161</v>
      </c>
      <c r="C58" s="17">
        <f>SUM('- 38 -'!C58,'- 38 -'!F58,'- 38 -'!I58)</f>
        <v>25915</v>
      </c>
      <c r="D58" s="361">
        <f>C58/'- 3 -'!E58</f>
        <v>0.012309696088494911</v>
      </c>
      <c r="E58" s="17">
        <f>C58/'- 7 -'!G58</f>
        <v>99.02560183416126</v>
      </c>
    </row>
    <row r="59" spans="1:5" ht="12.75">
      <c r="A59" s="14">
        <v>2312</v>
      </c>
      <c r="B59" s="15" t="s">
        <v>162</v>
      </c>
      <c r="C59" s="15">
        <f>SUM('- 38 -'!C59,'- 38 -'!F59,'- 38 -'!I59)</f>
        <v>83300</v>
      </c>
      <c r="D59" s="360">
        <f>C59/'- 3 -'!E59</f>
        <v>0.05342250337979103</v>
      </c>
      <c r="E59" s="15">
        <f>C59/'- 7 -'!G59</f>
        <v>480.1152737752161</v>
      </c>
    </row>
    <row r="60" spans="1:5" ht="12.75">
      <c r="A60" s="16">
        <v>2355</v>
      </c>
      <c r="B60" s="17" t="s">
        <v>163</v>
      </c>
      <c r="C60" s="17">
        <f>SUM('- 38 -'!C60,'- 38 -'!F60,'- 38 -'!I60)</f>
        <v>271899</v>
      </c>
      <c r="D60" s="361">
        <f>C60/'- 3 -'!E60</f>
        <v>0.010598230404739294</v>
      </c>
      <c r="E60" s="17">
        <f>C60/'- 7 -'!G60</f>
        <v>81.17599641737573</v>
      </c>
    </row>
    <row r="61" spans="1:5" ht="12.75">
      <c r="A61" s="14">
        <v>2439</v>
      </c>
      <c r="B61" s="15" t="s">
        <v>164</v>
      </c>
      <c r="C61" s="15">
        <f>SUM('- 38 -'!C61,'- 38 -'!F61,'- 38 -'!I61)</f>
        <v>14000</v>
      </c>
      <c r="D61" s="360">
        <f>C61/'- 3 -'!E61</f>
        <v>0.010305264002461486</v>
      </c>
      <c r="E61" s="15">
        <f>C61/'- 7 -'!G61</f>
        <v>88.32807570977918</v>
      </c>
    </row>
    <row r="62" spans="1:5" ht="12.75">
      <c r="A62" s="16">
        <v>2460</v>
      </c>
      <c r="B62" s="17" t="s">
        <v>165</v>
      </c>
      <c r="C62" s="17">
        <f>SUM('- 38 -'!C62,'- 38 -'!F62,'- 38 -'!I62)</f>
        <v>23000</v>
      </c>
      <c r="D62" s="361">
        <f>C62/'- 3 -'!E62</f>
        <v>0.010692780606457324</v>
      </c>
      <c r="E62" s="17">
        <f>C62/'- 7 -'!G62</f>
        <v>84.49669360764145</v>
      </c>
    </row>
    <row r="63" spans="1:5" ht="12.75">
      <c r="A63" s="14">
        <v>3000</v>
      </c>
      <c r="B63" s="15" t="s">
        <v>363</v>
      </c>
      <c r="C63" s="15">
        <f>SUM('- 38 -'!C63,'- 38 -'!F63,'- 38 -'!I63)</f>
        <v>336509</v>
      </c>
      <c r="D63" s="360">
        <f>C63/'- 3 -'!E63</f>
        <v>0.046530101820073395</v>
      </c>
      <c r="E63" s="15">
        <f>C63/'- 7 -'!G63</f>
        <v>420.5311172206948</v>
      </c>
    </row>
    <row r="64" spans="1:5" ht="4.5" customHeight="1">
      <c r="A64" s="18"/>
      <c r="B64" s="18"/>
      <c r="C64" s="18"/>
      <c r="D64" s="198"/>
      <c r="E64" s="18"/>
    </row>
    <row r="65" spans="1:5" ht="12.75">
      <c r="A65" s="20"/>
      <c r="B65" s="21" t="s">
        <v>166</v>
      </c>
      <c r="C65" s="21">
        <f>SUM(C11:C63)</f>
        <v>24140926</v>
      </c>
      <c r="D65" s="103">
        <f>C65/'- 3 -'!E65</f>
        <v>0.017864490947273902</v>
      </c>
      <c r="E65" s="21">
        <f>C65/'- 7 -'!G65</f>
        <v>133.45304581625544</v>
      </c>
    </row>
    <row r="66" spans="1:5" ht="4.5" customHeight="1">
      <c r="A66" s="18"/>
      <c r="B66" s="18"/>
      <c r="C66" s="18"/>
      <c r="D66" s="198"/>
      <c r="E66" s="18"/>
    </row>
    <row r="67" spans="1:5" ht="12.75">
      <c r="A67" s="16">
        <v>2155</v>
      </c>
      <c r="B67" s="17" t="s">
        <v>167</v>
      </c>
      <c r="C67" s="17">
        <f>SUM('- 38 -'!C67,'- 38 -'!F67,'- 38 -'!I67)</f>
        <v>16300</v>
      </c>
      <c r="D67" s="361">
        <f>C67/'- 3 -'!E67</f>
        <v>0.012289050531369498</v>
      </c>
      <c r="E67" s="17">
        <f>C67/'- 7 -'!G67</f>
        <v>114.78873239436619</v>
      </c>
    </row>
    <row r="68" spans="1:5" ht="12.75">
      <c r="A68" s="14">
        <v>2408</v>
      </c>
      <c r="B68" s="15" t="s">
        <v>169</v>
      </c>
      <c r="C68" s="15">
        <f>SUM('- 38 -'!C68,'- 38 -'!F68,'- 38 -'!I68)</f>
        <v>50200</v>
      </c>
      <c r="D68" s="360">
        <f>C68/'- 3 -'!E68</f>
        <v>0.021849218629287962</v>
      </c>
      <c r="E68" s="15">
        <f>C68/'- 7 -'!G68</f>
        <v>205.7377049180328</v>
      </c>
    </row>
    <row r="69" ht="6.75" customHeight="1"/>
    <row r="70" spans="1:2" ht="12" customHeight="1">
      <c r="A70" s="396" t="s">
        <v>351</v>
      </c>
      <c r="B70" s="7" t="s">
        <v>465</v>
      </c>
    </row>
    <row r="71" spans="1:2" ht="12" customHeight="1">
      <c r="A71" s="55"/>
      <c r="B71" s="397" t="s">
        <v>462</v>
      </c>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M74"/>
  <sheetViews>
    <sheetView showGridLines="0" showZeros="0" workbookViewId="0" topLeftCell="A1">
      <selection activeCell="A1" sqref="A1"/>
    </sheetView>
  </sheetViews>
  <sheetFormatPr defaultColWidth="14.83203125" defaultRowHeight="12"/>
  <cols>
    <col min="1" max="1" width="6.83203125" style="82" customWidth="1"/>
    <col min="2" max="2" width="31.83203125" style="82" customWidth="1"/>
    <col min="3" max="3" width="15.83203125" style="82" customWidth="1"/>
    <col min="4" max="4" width="13.83203125" style="82" customWidth="1"/>
    <col min="5" max="6" width="14.83203125" style="82" customWidth="1"/>
    <col min="7" max="7" width="12.83203125" style="82" customWidth="1"/>
    <col min="8" max="8" width="16.83203125" style="82" customWidth="1"/>
    <col min="9" max="9" width="11.83203125" style="82" customWidth="1"/>
    <col min="10" max="11" width="14.83203125" style="82" customWidth="1"/>
    <col min="12" max="12" width="19.5" style="82" customWidth="1"/>
    <col min="13" max="16384" width="14.83203125" style="82" customWidth="1"/>
  </cols>
  <sheetData>
    <row r="1" spans="1:2" ht="6.75" customHeight="1">
      <c r="A1" s="18"/>
      <c r="B1" s="80"/>
    </row>
    <row r="2" spans="1:9" ht="12.75">
      <c r="A2" s="12"/>
      <c r="B2" s="107" t="str">
        <f>"  SUMMARY"&amp;REPLACE(REVYEAR,1,8,"")</f>
        <v>  SUMMARY OF OPERATING FUND REVENUE: 2002/2003 BUDGET</v>
      </c>
      <c r="C2" s="107"/>
      <c r="D2" s="107"/>
      <c r="E2" s="107"/>
      <c r="F2" s="107"/>
      <c r="G2" s="107"/>
      <c r="H2" s="107"/>
      <c r="I2" s="107"/>
    </row>
    <row r="3" spans="1:2" ht="12.75">
      <c r="A3" s="13"/>
      <c r="B3" s="109"/>
    </row>
    <row r="4" spans="1:9" ht="12.75">
      <c r="A4" s="11"/>
      <c r="C4" s="142"/>
      <c r="D4" s="182"/>
      <c r="E4" s="182"/>
      <c r="F4" s="142"/>
      <c r="G4" s="142"/>
      <c r="H4" s="142"/>
      <c r="I4" s="142"/>
    </row>
    <row r="5" spans="1:9" ht="12.75">
      <c r="A5" s="11"/>
      <c r="C5" s="57"/>
      <c r="D5" s="142"/>
      <c r="E5" s="142"/>
      <c r="F5" s="142"/>
      <c r="G5" s="142"/>
      <c r="H5" s="142"/>
      <c r="I5" s="142"/>
    </row>
    <row r="6" spans="1:9" ht="12.75">
      <c r="A6" s="11"/>
      <c r="C6" s="154" t="s">
        <v>178</v>
      </c>
      <c r="D6" s="127"/>
      <c r="E6" s="127"/>
      <c r="F6" s="127"/>
      <c r="G6" s="127"/>
      <c r="H6" s="127"/>
      <c r="I6" s="128"/>
    </row>
    <row r="7" spans="1:9" ht="12.75">
      <c r="A7" s="18"/>
      <c r="C7" s="68" t="s">
        <v>191</v>
      </c>
      <c r="D7" s="66"/>
      <c r="E7" s="66"/>
      <c r="F7" s="143" t="s">
        <v>57</v>
      </c>
      <c r="G7" s="143" t="s">
        <v>3</v>
      </c>
      <c r="H7" s="143" t="s">
        <v>177</v>
      </c>
      <c r="I7" s="143" t="s">
        <v>3</v>
      </c>
    </row>
    <row r="8" spans="1:9" ht="12.75">
      <c r="A8" s="94"/>
      <c r="B8" s="46"/>
      <c r="C8" s="178"/>
      <c r="D8" s="131"/>
      <c r="E8" s="131"/>
      <c r="F8" s="145" t="s">
        <v>212</v>
      </c>
      <c r="G8" s="145" t="s">
        <v>213</v>
      </c>
      <c r="H8" s="145" t="s">
        <v>214</v>
      </c>
      <c r="I8" s="145" t="s">
        <v>3</v>
      </c>
    </row>
    <row r="9" spans="1:11" ht="12.75">
      <c r="A9" s="52" t="s">
        <v>100</v>
      </c>
      <c r="B9" s="53" t="s">
        <v>101</v>
      </c>
      <c r="C9" s="147" t="s">
        <v>205</v>
      </c>
      <c r="D9" s="147" t="s">
        <v>185</v>
      </c>
      <c r="E9" s="147" t="s">
        <v>186</v>
      </c>
      <c r="F9" s="147" t="s">
        <v>208</v>
      </c>
      <c r="G9" s="147" t="s">
        <v>230</v>
      </c>
      <c r="H9" s="147" t="s">
        <v>231</v>
      </c>
      <c r="I9" s="147" t="s">
        <v>57</v>
      </c>
      <c r="K9" s="104" t="s">
        <v>307</v>
      </c>
    </row>
    <row r="10" spans="1:9" ht="4.5" customHeight="1">
      <c r="A10" s="77"/>
      <c r="B10" s="77"/>
      <c r="C10" s="148"/>
      <c r="D10" s="148"/>
      <c r="E10" s="148"/>
      <c r="F10" s="148"/>
      <c r="G10" s="148"/>
      <c r="H10" s="148"/>
      <c r="I10" s="148"/>
    </row>
    <row r="11" spans="1:13" ht="12.75">
      <c r="A11" s="14">
        <v>1</v>
      </c>
      <c r="B11" s="15" t="s">
        <v>115</v>
      </c>
      <c r="C11" s="360">
        <f>'- 42 -'!H11</f>
        <v>0.531974780323032</v>
      </c>
      <c r="D11" s="360">
        <f>'- 43 -'!D11</f>
        <v>4.6833197712198295E-05</v>
      </c>
      <c r="E11" s="360">
        <f>'- 43 -'!F11</f>
        <v>0.4483412266785311</v>
      </c>
      <c r="F11" s="360">
        <f>'- 43 -'!H11</f>
        <v>0.00823327615780446</v>
      </c>
      <c r="G11" s="360">
        <f>'- 43 -'!J11</f>
        <v>0.00483943043026049</v>
      </c>
      <c r="H11" s="360">
        <f>'- 44 -'!D11</f>
        <v>0.0031105048813851698</v>
      </c>
      <c r="I11" s="360">
        <f>'- 44 -'!F11</f>
        <v>0.003453948331274624</v>
      </c>
      <c r="K11" s="198">
        <f>SUM(C11:I11)</f>
        <v>1</v>
      </c>
      <c r="L11" s="82" t="s">
        <v>205</v>
      </c>
      <c r="M11" s="101">
        <f>C65</f>
        <v>0.5754870134272885</v>
      </c>
    </row>
    <row r="12" spans="1:13" ht="12.75">
      <c r="A12" s="16">
        <v>2</v>
      </c>
      <c r="B12" s="17" t="s">
        <v>116</v>
      </c>
      <c r="C12" s="361">
        <f>'- 42 -'!H12</f>
        <v>0.5102740446606702</v>
      </c>
      <c r="D12" s="361">
        <f>'- 43 -'!D12</f>
        <v>0.00019274651145011461</v>
      </c>
      <c r="E12" s="361">
        <f>'- 43 -'!F12</f>
        <v>0.4505515959349444</v>
      </c>
      <c r="F12" s="361">
        <f>'- 43 -'!H12</f>
        <v>0.012417842474377131</v>
      </c>
      <c r="G12" s="361">
        <f>'- 43 -'!J12</f>
        <v>0.0008175722374434634</v>
      </c>
      <c r="H12" s="361">
        <f>'- 44 -'!D12</f>
        <v>0.0189606879799419</v>
      </c>
      <c r="I12" s="361">
        <f>'- 44 -'!F12</f>
        <v>0.00678551020117275</v>
      </c>
      <c r="K12" s="198">
        <f aca="true" t="shared" si="0" ref="K12:K63">SUM(C12:I12)</f>
        <v>1</v>
      </c>
      <c r="L12" s="82" t="s">
        <v>185</v>
      </c>
      <c r="M12" s="101">
        <f>D65</f>
        <v>0.012161646419048606</v>
      </c>
    </row>
    <row r="13" spans="1:13" ht="12.75">
      <c r="A13" s="14">
        <v>3</v>
      </c>
      <c r="B13" s="15" t="s">
        <v>117</v>
      </c>
      <c r="C13" s="360">
        <f>'- 42 -'!H13</f>
        <v>0.47342766848421464</v>
      </c>
      <c r="D13" s="360">
        <f>'- 43 -'!D13</f>
        <v>0.0001710700452715491</v>
      </c>
      <c r="E13" s="360">
        <f>'- 43 -'!F13</f>
        <v>0.5152710166500337</v>
      </c>
      <c r="F13" s="360">
        <f>'- 43 -'!H13</f>
        <v>0.005345938914735909</v>
      </c>
      <c r="G13" s="360">
        <f>'- 43 -'!J13</f>
        <v>0.00029937257922521093</v>
      </c>
      <c r="H13" s="360">
        <f>'- 44 -'!D13</f>
        <v>0.0028761151361279195</v>
      </c>
      <c r="I13" s="360">
        <f>'- 44 -'!F13</f>
        <v>0.002608818190391124</v>
      </c>
      <c r="K13" s="198">
        <f t="shared" si="0"/>
        <v>1</v>
      </c>
      <c r="L13" s="82" t="s">
        <v>186</v>
      </c>
      <c r="M13" s="101">
        <f>E65</f>
        <v>0.37331847221742914</v>
      </c>
    </row>
    <row r="14" spans="1:13" ht="12.75">
      <c r="A14" s="16">
        <v>4</v>
      </c>
      <c r="B14" s="17" t="s">
        <v>118</v>
      </c>
      <c r="C14" s="361">
        <f>'- 42 -'!H14</f>
        <v>0.545734853362563</v>
      </c>
      <c r="D14" s="361">
        <f>'- 43 -'!D14</f>
        <v>0.00036508959446965934</v>
      </c>
      <c r="E14" s="361">
        <f>'- 43 -'!F14</f>
        <v>0.4282296949318194</v>
      </c>
      <c r="F14" s="361">
        <f>'- 43 -'!H14</f>
        <v>0.006571612700453868</v>
      </c>
      <c r="G14" s="361">
        <f>'- 43 -'!J14</f>
        <v>0</v>
      </c>
      <c r="H14" s="361">
        <f>'- 44 -'!D14</f>
        <v>0.01777529963074154</v>
      </c>
      <c r="I14" s="361">
        <f>'- 44 -'!F14</f>
        <v>0.001323449779952515</v>
      </c>
      <c r="K14" s="198">
        <f t="shared" si="0"/>
        <v>1</v>
      </c>
      <c r="L14" s="82" t="s">
        <v>239</v>
      </c>
      <c r="M14" s="101">
        <f>F65</f>
        <v>0.008542424936930625</v>
      </c>
    </row>
    <row r="15" spans="1:13" ht="12.75">
      <c r="A15" s="14">
        <v>5</v>
      </c>
      <c r="B15" s="15" t="s">
        <v>119</v>
      </c>
      <c r="C15" s="360">
        <f>'- 42 -'!H15</f>
        <v>0.4720082332038631</v>
      </c>
      <c r="D15" s="360">
        <f>'- 43 -'!D15</f>
        <v>0</v>
      </c>
      <c r="E15" s="360">
        <f>'- 43 -'!F15</f>
        <v>0.5010926400166185</v>
      </c>
      <c r="F15" s="360">
        <f>'- 43 -'!H15</f>
        <v>0.007979759367879785</v>
      </c>
      <c r="G15" s="360">
        <f>'- 43 -'!J15</f>
        <v>0</v>
      </c>
      <c r="H15" s="360">
        <f>'- 44 -'!D15</f>
        <v>0.016757494672547547</v>
      </c>
      <c r="I15" s="360">
        <f>'- 44 -'!F15</f>
        <v>0.0021618727390911095</v>
      </c>
      <c r="K15" s="198">
        <f t="shared" si="0"/>
        <v>0.9999999999999999</v>
      </c>
      <c r="L15" s="82" t="s">
        <v>209</v>
      </c>
      <c r="M15" s="101">
        <f>G65</f>
        <v>0.017578974983257133</v>
      </c>
    </row>
    <row r="16" spans="1:13" ht="12.75">
      <c r="A16" s="16">
        <v>6</v>
      </c>
      <c r="B16" s="17" t="s">
        <v>120</v>
      </c>
      <c r="C16" s="361">
        <f>'- 42 -'!H16</f>
        <v>0.5945395173498388</v>
      </c>
      <c r="D16" s="361">
        <f>'- 43 -'!D16</f>
        <v>0.00023620401999400892</v>
      </c>
      <c r="E16" s="361">
        <f>'- 43 -'!F16</f>
        <v>0.39267233401994694</v>
      </c>
      <c r="F16" s="361">
        <f>'- 43 -'!H16</f>
        <v>0.0019857514491549667</v>
      </c>
      <c r="G16" s="361">
        <f>'- 43 -'!J16</f>
        <v>0</v>
      </c>
      <c r="H16" s="361">
        <f>'- 44 -'!D16</f>
        <v>0.003070652259922116</v>
      </c>
      <c r="I16" s="361">
        <f>'- 44 -'!F16</f>
        <v>0.007495540901143217</v>
      </c>
      <c r="K16" s="198">
        <f t="shared" si="0"/>
        <v>1</v>
      </c>
      <c r="L16" s="82" t="s">
        <v>177</v>
      </c>
      <c r="M16" s="101">
        <f>H65</f>
        <v>0.009954449565888788</v>
      </c>
    </row>
    <row r="17" spans="1:13" ht="12.75">
      <c r="A17" s="14">
        <v>9</v>
      </c>
      <c r="B17" s="15" t="s">
        <v>121</v>
      </c>
      <c r="C17" s="360">
        <f>'- 42 -'!H17</f>
        <v>0.6169580798057008</v>
      </c>
      <c r="D17" s="360">
        <f>'- 43 -'!D17</f>
        <v>0.00014121124676504156</v>
      </c>
      <c r="E17" s="360">
        <f>'- 43 -'!F17</f>
        <v>0.3723687034596414</v>
      </c>
      <c r="F17" s="360">
        <f>'- 43 -'!H17</f>
        <v>0.004471689480892983</v>
      </c>
      <c r="G17" s="360">
        <f>'- 43 -'!J17</f>
        <v>0.00023535207794173594</v>
      </c>
      <c r="H17" s="360">
        <f>'- 44 -'!D17</f>
        <v>0.004412851461407549</v>
      </c>
      <c r="I17" s="360">
        <f>'- 44 -'!F17</f>
        <v>0.0014121124676504157</v>
      </c>
      <c r="K17" s="198">
        <f t="shared" si="0"/>
        <v>0.9999999999999999</v>
      </c>
      <c r="L17" s="374" t="s">
        <v>57</v>
      </c>
      <c r="M17" s="101">
        <f>I65</f>
        <v>0.00295701845015727</v>
      </c>
    </row>
    <row r="18" spans="1:11" ht="12.75">
      <c r="A18" s="16">
        <v>10</v>
      </c>
      <c r="B18" s="17" t="s">
        <v>122</v>
      </c>
      <c r="C18" s="361">
        <f>'- 42 -'!H18</f>
        <v>0.5922853932070331</v>
      </c>
      <c r="D18" s="361">
        <f>'- 43 -'!D18</f>
        <v>5.482595266358576E-05</v>
      </c>
      <c r="E18" s="361">
        <f>'- 43 -'!F18</f>
        <v>0.38586865769463446</v>
      </c>
      <c r="F18" s="361">
        <f>'- 43 -'!H18</f>
        <v>0.01178757982267094</v>
      </c>
      <c r="G18" s="361">
        <f>'- 43 -'!J18</f>
        <v>0.0006265823161552658</v>
      </c>
      <c r="H18" s="361">
        <f>'- 44 -'!D18</f>
        <v>0.00801414446920489</v>
      </c>
      <c r="I18" s="361">
        <f>'- 44 -'!F18</f>
        <v>0.0013628165376377032</v>
      </c>
      <c r="K18" s="198">
        <f t="shared" si="0"/>
        <v>1</v>
      </c>
    </row>
    <row r="19" spans="1:13" ht="12.75">
      <c r="A19" s="14">
        <v>11</v>
      </c>
      <c r="B19" s="15" t="s">
        <v>123</v>
      </c>
      <c r="C19" s="360">
        <f>'- 42 -'!H19</f>
        <v>0.5887162958335248</v>
      </c>
      <c r="D19" s="360">
        <f>'- 43 -'!D19</f>
        <v>0.0001298409539792608</v>
      </c>
      <c r="E19" s="360">
        <f>'- 43 -'!F19</f>
        <v>0.38442433227740175</v>
      </c>
      <c r="F19" s="360">
        <f>'- 43 -'!H19</f>
        <v>0.007790457238755648</v>
      </c>
      <c r="G19" s="360">
        <f>'- 43 -'!J19</f>
        <v>0.005217245605348479</v>
      </c>
      <c r="H19" s="360">
        <f>'- 44 -'!D19</f>
        <v>0.01175945912743987</v>
      </c>
      <c r="I19" s="360">
        <f>'- 44 -'!F19</f>
        <v>0.001962368963550192</v>
      </c>
      <c r="K19" s="198">
        <f t="shared" si="0"/>
        <v>1.0000000000000002</v>
      </c>
      <c r="M19" s="101">
        <f>SUM(M11:M17)</f>
        <v>1</v>
      </c>
    </row>
    <row r="20" spans="1:11" ht="12.75">
      <c r="A20" s="16">
        <v>12</v>
      </c>
      <c r="B20" s="17" t="s">
        <v>124</v>
      </c>
      <c r="C20" s="361">
        <f>'- 42 -'!H20</f>
        <v>0.5879729210302764</v>
      </c>
      <c r="D20" s="361">
        <f>'- 43 -'!D20</f>
        <v>0.00014883870461210216</v>
      </c>
      <c r="E20" s="361">
        <f>'- 43 -'!F20</f>
        <v>0.4006182573741206</v>
      </c>
      <c r="F20" s="361">
        <f>'- 43 -'!H20</f>
        <v>0.0018604838076512768</v>
      </c>
      <c r="G20" s="361">
        <f>'- 43 -'!J20</f>
        <v>0</v>
      </c>
      <c r="H20" s="361">
        <f>'- 44 -'!D20</f>
        <v>0.006176806241402239</v>
      </c>
      <c r="I20" s="361">
        <f>'- 44 -'!F20</f>
        <v>0.003222692841937389</v>
      </c>
      <c r="K20" s="198">
        <f t="shared" si="0"/>
        <v>1</v>
      </c>
    </row>
    <row r="21" spans="1:11" ht="12.75">
      <c r="A21" s="14">
        <v>13</v>
      </c>
      <c r="B21" s="15" t="s">
        <v>125</v>
      </c>
      <c r="C21" s="360">
        <f>'- 42 -'!H21</f>
        <v>0.5839054917099884</v>
      </c>
      <c r="D21" s="360">
        <f>'- 43 -'!D21</f>
        <v>0</v>
      </c>
      <c r="E21" s="360">
        <f>'- 43 -'!F21</f>
        <v>0.3853380048462289</v>
      </c>
      <c r="F21" s="360">
        <f>'- 43 -'!H21</f>
        <v>0.006791711472148293</v>
      </c>
      <c r="G21" s="360">
        <f>'- 43 -'!J21</f>
        <v>0.011778580920998313</v>
      </c>
      <c r="H21" s="360">
        <f>'- 44 -'!D21</f>
        <v>0.007826716959862087</v>
      </c>
      <c r="I21" s="360">
        <f>'- 44 -'!F21</f>
        <v>0.004359494090774078</v>
      </c>
      <c r="K21" s="198">
        <f t="shared" si="0"/>
        <v>1</v>
      </c>
    </row>
    <row r="22" spans="1:11" ht="12.75">
      <c r="A22" s="16">
        <v>14</v>
      </c>
      <c r="B22" s="17" t="s">
        <v>126</v>
      </c>
      <c r="C22" s="361">
        <f>'- 42 -'!H22</f>
        <v>0.6804323712688164</v>
      </c>
      <c r="D22" s="361">
        <f>'- 43 -'!D22</f>
        <v>0</v>
      </c>
      <c r="E22" s="361">
        <f>'- 43 -'!F22</f>
        <v>0.3083886350287491</v>
      </c>
      <c r="F22" s="361">
        <f>'- 43 -'!H22</f>
        <v>0.0055940393600754715</v>
      </c>
      <c r="G22" s="361">
        <f>'- 43 -'!J22</f>
        <v>0</v>
      </c>
      <c r="H22" s="361">
        <f>'- 44 -'!D22</f>
        <v>0.0019400934735765275</v>
      </c>
      <c r="I22" s="361">
        <f>'- 44 -'!F22</f>
        <v>0.0036448608687825565</v>
      </c>
      <c r="K22" s="198">
        <f t="shared" si="0"/>
        <v>1</v>
      </c>
    </row>
    <row r="23" spans="1:11" ht="12.75">
      <c r="A23" s="14">
        <v>15</v>
      </c>
      <c r="B23" s="15" t="s">
        <v>127</v>
      </c>
      <c r="C23" s="360">
        <f>'- 42 -'!H23</f>
        <v>0.6886316912934427</v>
      </c>
      <c r="D23" s="360">
        <f>'- 43 -'!D23</f>
        <v>0</v>
      </c>
      <c r="E23" s="360">
        <f>'- 43 -'!F23</f>
        <v>0.2925210268783196</v>
      </c>
      <c r="F23" s="360">
        <f>'- 43 -'!H23</f>
        <v>0.007654148621987753</v>
      </c>
      <c r="G23" s="360">
        <f>'- 43 -'!J23</f>
        <v>0</v>
      </c>
      <c r="H23" s="360">
        <f>'- 44 -'!D23</f>
        <v>0.009865660936015949</v>
      </c>
      <c r="I23" s="360">
        <f>'- 44 -'!F23</f>
        <v>0.0013274722702340384</v>
      </c>
      <c r="K23" s="198">
        <f t="shared" si="0"/>
        <v>1</v>
      </c>
    </row>
    <row r="24" spans="1:11" ht="12.75">
      <c r="A24" s="16">
        <v>16</v>
      </c>
      <c r="B24" s="17" t="s">
        <v>128</v>
      </c>
      <c r="C24" s="361">
        <f>'- 42 -'!H24</f>
        <v>0.6002336907533771</v>
      </c>
      <c r="D24" s="361">
        <f>'- 43 -'!D24</f>
        <v>0</v>
      </c>
      <c r="E24" s="361">
        <f>'- 43 -'!F24</f>
        <v>0.3570032305223415</v>
      </c>
      <c r="F24" s="361">
        <f>'- 43 -'!H24</f>
        <v>0.01599345355338048</v>
      </c>
      <c r="G24" s="361">
        <f>'- 43 -'!J24</f>
        <v>0.018633149770928715</v>
      </c>
      <c r="H24" s="361">
        <f>'- 44 -'!D24</f>
        <v>0.004192458698458961</v>
      </c>
      <c r="I24" s="361">
        <f>'- 44 -'!F24</f>
        <v>0.003944016701513245</v>
      </c>
      <c r="K24" s="198">
        <f t="shared" si="0"/>
        <v>0.9999999999999999</v>
      </c>
    </row>
    <row r="25" spans="1:11" ht="12.75">
      <c r="A25" s="14">
        <v>17</v>
      </c>
      <c r="B25" s="15" t="s">
        <v>129</v>
      </c>
      <c r="C25" s="360">
        <f>'- 42 -'!H25</f>
        <v>0.5961660229049801</v>
      </c>
      <c r="D25" s="360">
        <f>'- 43 -'!D25</f>
        <v>0.003945669904627821</v>
      </c>
      <c r="E25" s="360">
        <f>'- 43 -'!F25</f>
        <v>0.37068825670256283</v>
      </c>
      <c r="F25" s="360">
        <f>'- 43 -'!H25</f>
        <v>0.022711150379422736</v>
      </c>
      <c r="G25" s="360">
        <f>'- 43 -'!J25</f>
        <v>0</v>
      </c>
      <c r="H25" s="360">
        <f>'- 44 -'!D25</f>
        <v>0.003767748450042481</v>
      </c>
      <c r="I25" s="360">
        <f>'- 44 -'!F25</f>
        <v>0.002721151658364014</v>
      </c>
      <c r="K25" s="198">
        <f t="shared" si="0"/>
        <v>1</v>
      </c>
    </row>
    <row r="26" spans="1:11" ht="12.75">
      <c r="A26" s="16">
        <v>18</v>
      </c>
      <c r="B26" s="17" t="s">
        <v>130</v>
      </c>
      <c r="C26" s="361">
        <f>'- 42 -'!H26</f>
        <v>0.6379681263439578</v>
      </c>
      <c r="D26" s="361">
        <f>'- 43 -'!D26</f>
        <v>0.0013935405216201342</v>
      </c>
      <c r="E26" s="361">
        <f>'- 43 -'!F26</f>
        <v>0.3309758277456506</v>
      </c>
      <c r="F26" s="361">
        <f>'- 43 -'!H26</f>
        <v>0.01642387043338015</v>
      </c>
      <c r="G26" s="361">
        <f>'- 43 -'!J26</f>
        <v>0</v>
      </c>
      <c r="H26" s="361">
        <f>'- 44 -'!D26</f>
        <v>0.013238634955391276</v>
      </c>
      <c r="I26" s="361">
        <f>'- 44 -'!F26</f>
        <v>0</v>
      </c>
      <c r="K26" s="198">
        <f t="shared" si="0"/>
        <v>0.9999999999999999</v>
      </c>
    </row>
    <row r="27" spans="1:11" ht="12.75">
      <c r="A27" s="14">
        <v>19</v>
      </c>
      <c r="B27" s="15" t="s">
        <v>131</v>
      </c>
      <c r="C27" s="360">
        <f>'- 42 -'!H27</f>
        <v>0.6352256408418767</v>
      </c>
      <c r="D27" s="360">
        <f>'- 43 -'!D27</f>
        <v>0</v>
      </c>
      <c r="E27" s="360">
        <f>'- 43 -'!F27</f>
        <v>0.3262045923838389</v>
      </c>
      <c r="F27" s="360">
        <f>'- 43 -'!H27</f>
        <v>0.030054363720221616</v>
      </c>
      <c r="G27" s="360">
        <f>'- 43 -'!J27</f>
        <v>0</v>
      </c>
      <c r="H27" s="360">
        <f>'- 44 -'!D27</f>
        <v>0.00755212216559415</v>
      </c>
      <c r="I27" s="360">
        <f>'- 44 -'!F27</f>
        <v>0.0009632808884686416</v>
      </c>
      <c r="K27" s="198">
        <f t="shared" si="0"/>
        <v>1</v>
      </c>
    </row>
    <row r="28" spans="1:11" ht="12.75">
      <c r="A28" s="16">
        <v>20</v>
      </c>
      <c r="B28" s="17" t="s">
        <v>132</v>
      </c>
      <c r="C28" s="361">
        <f>'- 42 -'!H28</f>
        <v>0.5868044523066012</v>
      </c>
      <c r="D28" s="361">
        <f>'- 43 -'!D28</f>
        <v>0</v>
      </c>
      <c r="E28" s="361">
        <f>'- 43 -'!F28</f>
        <v>0.4094086170263579</v>
      </c>
      <c r="F28" s="361">
        <f>'- 43 -'!H28</f>
        <v>0.0030539763443878727</v>
      </c>
      <c r="G28" s="361">
        <f>'- 43 -'!J28</f>
        <v>0</v>
      </c>
      <c r="H28" s="361">
        <f>'- 44 -'!D28</f>
        <v>0</v>
      </c>
      <c r="I28" s="361">
        <f>'- 44 -'!F28</f>
        <v>0.0007329543226530894</v>
      </c>
      <c r="K28" s="198">
        <f t="shared" si="0"/>
        <v>1</v>
      </c>
    </row>
    <row r="29" spans="1:11" ht="12.75">
      <c r="A29" s="14">
        <v>21</v>
      </c>
      <c r="B29" s="15" t="s">
        <v>133</v>
      </c>
      <c r="C29" s="360">
        <f>'- 42 -'!H29</f>
        <v>0.6360159684778101</v>
      </c>
      <c r="D29" s="360">
        <f>'- 43 -'!D29</f>
        <v>8.295313148071339E-05</v>
      </c>
      <c r="E29" s="360">
        <f>'- 43 -'!F29</f>
        <v>0.35628369970966406</v>
      </c>
      <c r="F29" s="360">
        <f>'- 43 -'!H29</f>
        <v>0.0013479883865615927</v>
      </c>
      <c r="G29" s="360">
        <f>'- 43 -'!J29</f>
        <v>0</v>
      </c>
      <c r="H29" s="360">
        <f>'- 44 -'!D29</f>
        <v>0.003753629199502281</v>
      </c>
      <c r="I29" s="360">
        <f>'- 44 -'!F29</f>
        <v>0.0025157610949813353</v>
      </c>
      <c r="K29" s="198">
        <f t="shared" si="0"/>
        <v>1</v>
      </c>
    </row>
    <row r="30" spans="1:11" ht="12.75">
      <c r="A30" s="16">
        <v>22</v>
      </c>
      <c r="B30" s="17" t="s">
        <v>134</v>
      </c>
      <c r="C30" s="361">
        <f>'- 42 -'!H30</f>
        <v>0.5285399357114504</v>
      </c>
      <c r="D30" s="361">
        <f>'- 43 -'!D30</f>
        <v>0.004686437496748784</v>
      </c>
      <c r="E30" s="361">
        <f>'- 43 -'!F30</f>
        <v>0.44673910649319976</v>
      </c>
      <c r="F30" s="361">
        <f>'- 43 -'!H30</f>
        <v>0.002343218748374392</v>
      </c>
      <c r="G30" s="361">
        <f>'- 43 -'!J30</f>
        <v>0.009372874993497569</v>
      </c>
      <c r="H30" s="361">
        <f>'- 44 -'!D30</f>
        <v>0.0075373536406042945</v>
      </c>
      <c r="I30" s="361">
        <f>'- 44 -'!F30</f>
        <v>0.0007810729161247973</v>
      </c>
      <c r="K30" s="198">
        <f t="shared" si="0"/>
        <v>1</v>
      </c>
    </row>
    <row r="31" spans="1:11" ht="12.75">
      <c r="A31" s="14">
        <v>23</v>
      </c>
      <c r="B31" s="15" t="s">
        <v>135</v>
      </c>
      <c r="C31" s="360">
        <f>'- 42 -'!H31</f>
        <v>0.7033143390836866</v>
      </c>
      <c r="D31" s="360">
        <f>'- 43 -'!D31</f>
        <v>0</v>
      </c>
      <c r="E31" s="360">
        <f>'- 43 -'!F31</f>
        <v>0.2621262933316791</v>
      </c>
      <c r="F31" s="360">
        <f>'- 43 -'!H31</f>
        <v>0.006701262412532969</v>
      </c>
      <c r="G31" s="360">
        <f>'- 43 -'!J31</f>
        <v>0.02422027700529773</v>
      </c>
      <c r="H31" s="360">
        <f>'- 44 -'!D31</f>
        <v>0.0022018433641179756</v>
      </c>
      <c r="I31" s="360">
        <f>'- 44 -'!F31</f>
        <v>0.0014359848026856362</v>
      </c>
      <c r="K31" s="198">
        <f t="shared" si="0"/>
        <v>1</v>
      </c>
    </row>
    <row r="32" spans="1:11" ht="12.75">
      <c r="A32" s="16">
        <v>24</v>
      </c>
      <c r="B32" s="17" t="s">
        <v>136</v>
      </c>
      <c r="C32" s="361">
        <f>'- 42 -'!H32</f>
        <v>0.6250366714762466</v>
      </c>
      <c r="D32" s="361">
        <f>'- 43 -'!D32</f>
        <v>0.0006356459843425139</v>
      </c>
      <c r="E32" s="361">
        <f>'- 43 -'!F32</f>
        <v>0.35936881370788365</v>
      </c>
      <c r="F32" s="361">
        <f>'- 43 -'!H32</f>
        <v>0.0014831739634658656</v>
      </c>
      <c r="G32" s="361">
        <f>'- 43 -'!J32</f>
        <v>0.009746571759918546</v>
      </c>
      <c r="H32" s="361">
        <f>'- 44 -'!D32</f>
        <v>0.002161196346764547</v>
      </c>
      <c r="I32" s="361">
        <f>'- 44 -'!F32</f>
        <v>0.0015679267613782008</v>
      </c>
      <c r="K32" s="198">
        <f t="shared" si="0"/>
        <v>1</v>
      </c>
    </row>
    <row r="33" spans="1:11" ht="12.75">
      <c r="A33" s="14">
        <v>25</v>
      </c>
      <c r="B33" s="15" t="s">
        <v>137</v>
      </c>
      <c r="C33" s="360">
        <f>'- 42 -'!H33</f>
        <v>0.6151848320088811</v>
      </c>
      <c r="D33" s="360">
        <f>'- 43 -'!D33</f>
        <v>0</v>
      </c>
      <c r="E33" s="360">
        <f>'- 43 -'!F33</f>
        <v>0.3779046598130976</v>
      </c>
      <c r="F33" s="360">
        <f>'- 43 -'!H33</f>
        <v>0.00407590294682225</v>
      </c>
      <c r="G33" s="360">
        <f>'- 43 -'!J33</f>
        <v>0</v>
      </c>
      <c r="H33" s="360">
        <f>'- 44 -'!D33</f>
        <v>0.0008800244998820767</v>
      </c>
      <c r="I33" s="360">
        <f>'- 44 -'!F33</f>
        <v>0.0019545807313170334</v>
      </c>
      <c r="K33" s="198">
        <f t="shared" si="0"/>
        <v>1</v>
      </c>
    </row>
    <row r="34" spans="1:11" ht="12.75">
      <c r="A34" s="16">
        <v>26</v>
      </c>
      <c r="B34" s="17" t="s">
        <v>138</v>
      </c>
      <c r="C34" s="361">
        <f>'- 42 -'!H34</f>
        <v>0.6784428894028596</v>
      </c>
      <c r="D34" s="361">
        <f>'- 43 -'!D34</f>
        <v>0</v>
      </c>
      <c r="E34" s="361">
        <f>'- 43 -'!F34</f>
        <v>0.31306827452013036</v>
      </c>
      <c r="F34" s="361">
        <f>'- 43 -'!H34</f>
        <v>0.002829612025670014</v>
      </c>
      <c r="G34" s="361">
        <f>'- 43 -'!J34</f>
        <v>0</v>
      </c>
      <c r="H34" s="361">
        <f>'- 44 -'!D34</f>
        <v>0</v>
      </c>
      <c r="I34" s="361">
        <f>'- 44 -'!F34</f>
        <v>0.005659224051340028</v>
      </c>
      <c r="K34" s="198">
        <f t="shared" si="0"/>
        <v>0.9999999999999999</v>
      </c>
    </row>
    <row r="35" spans="1:11" ht="12.75">
      <c r="A35" s="14">
        <v>28</v>
      </c>
      <c r="B35" s="15" t="s">
        <v>139</v>
      </c>
      <c r="C35" s="360">
        <f>'- 42 -'!H35</f>
        <v>0.6740279653486589</v>
      </c>
      <c r="D35" s="360">
        <f>'- 43 -'!D35</f>
        <v>0</v>
      </c>
      <c r="E35" s="360">
        <f>'- 43 -'!F35</f>
        <v>0.3104057389481601</v>
      </c>
      <c r="F35" s="360">
        <f>'- 43 -'!H35</f>
        <v>0.0015796339482045698</v>
      </c>
      <c r="G35" s="360">
        <f>'- 43 -'!J35</f>
        <v>0.012146311524058439</v>
      </c>
      <c r="H35" s="360">
        <f>'- 44 -'!D35</f>
        <v>0</v>
      </c>
      <c r="I35" s="360">
        <f>'- 44 -'!F35</f>
        <v>0.0018403502309179453</v>
      </c>
      <c r="K35" s="198">
        <f t="shared" si="0"/>
        <v>1</v>
      </c>
    </row>
    <row r="36" spans="1:11" ht="12.75">
      <c r="A36" s="16">
        <v>30</v>
      </c>
      <c r="B36" s="17" t="s">
        <v>140</v>
      </c>
      <c r="C36" s="361">
        <f>'- 42 -'!H36</f>
        <v>0.6401699664858714</v>
      </c>
      <c r="D36" s="361">
        <f>'- 43 -'!D36</f>
        <v>0</v>
      </c>
      <c r="E36" s="361">
        <f>'- 43 -'!F36</f>
        <v>0.35473985532428687</v>
      </c>
      <c r="F36" s="361">
        <f>'- 43 -'!H36</f>
        <v>0.0030639907550503464</v>
      </c>
      <c r="G36" s="361">
        <f>'- 43 -'!J36</f>
        <v>0</v>
      </c>
      <c r="H36" s="361">
        <f>'- 44 -'!D36</f>
        <v>0.0005436112629928034</v>
      </c>
      <c r="I36" s="361">
        <f>'- 44 -'!F36</f>
        <v>0.0014825761717985548</v>
      </c>
      <c r="K36" s="198">
        <f t="shared" si="0"/>
        <v>1</v>
      </c>
    </row>
    <row r="37" spans="1:11" ht="12.75">
      <c r="A37" s="14">
        <v>31</v>
      </c>
      <c r="B37" s="15" t="s">
        <v>141</v>
      </c>
      <c r="C37" s="360">
        <f>'- 42 -'!H37</f>
        <v>0.6108378886014308</v>
      </c>
      <c r="D37" s="360">
        <f>'- 43 -'!D37</f>
        <v>0</v>
      </c>
      <c r="E37" s="360">
        <f>'- 43 -'!F37</f>
        <v>0.3735100035515143</v>
      </c>
      <c r="F37" s="360">
        <f>'- 43 -'!H37</f>
        <v>0.0051964639675396605</v>
      </c>
      <c r="G37" s="360">
        <f>'- 43 -'!J37</f>
        <v>0</v>
      </c>
      <c r="H37" s="360">
        <f>'- 44 -'!D37</f>
        <v>0.003780875507416788</v>
      </c>
      <c r="I37" s="360">
        <f>'- 44 -'!F37</f>
        <v>0.0066747683720983575</v>
      </c>
      <c r="K37" s="198">
        <f t="shared" si="0"/>
        <v>1</v>
      </c>
    </row>
    <row r="38" spans="1:11" ht="12.75">
      <c r="A38" s="16">
        <v>32</v>
      </c>
      <c r="B38" s="17" t="s">
        <v>142</v>
      </c>
      <c r="C38" s="361">
        <f>'- 42 -'!H38</f>
        <v>0.6896607517483504</v>
      </c>
      <c r="D38" s="361">
        <f>'- 43 -'!D38</f>
        <v>0.0022570281033854295</v>
      </c>
      <c r="E38" s="361">
        <f>'- 43 -'!F38</f>
        <v>0.2927654631816648</v>
      </c>
      <c r="F38" s="361">
        <f>'- 43 -'!H38</f>
        <v>0.006387389532580765</v>
      </c>
      <c r="G38" s="361">
        <f>'- 43 -'!J38</f>
        <v>0.0022570281033854295</v>
      </c>
      <c r="H38" s="361">
        <f>'- 44 -'!D38</f>
        <v>0.0038510542014013886</v>
      </c>
      <c r="I38" s="361">
        <f>'- 44 -'!F38</f>
        <v>0.0028212851292317865</v>
      </c>
      <c r="K38" s="198">
        <f t="shared" si="0"/>
        <v>1.0000000000000002</v>
      </c>
    </row>
    <row r="39" spans="1:11" ht="12.75">
      <c r="A39" s="14">
        <v>33</v>
      </c>
      <c r="B39" s="15" t="s">
        <v>143</v>
      </c>
      <c r="C39" s="360">
        <f>'- 42 -'!H39</f>
        <v>0.634363930912401</v>
      </c>
      <c r="D39" s="360">
        <f>'- 43 -'!D39</f>
        <v>0.001620307545945846</v>
      </c>
      <c r="E39" s="360">
        <f>'- 43 -'!F39</f>
        <v>0.32973764906106073</v>
      </c>
      <c r="F39" s="360">
        <f>'- 43 -'!H39</f>
        <v>0.008153980719497566</v>
      </c>
      <c r="G39" s="360">
        <f>'- 43 -'!J39</f>
        <v>0.010029559039088183</v>
      </c>
      <c r="H39" s="360">
        <f>'- 44 -'!D39</f>
        <v>0.013056496073358266</v>
      </c>
      <c r="I39" s="360">
        <f>'- 44 -'!F39</f>
        <v>0.003038076648648461</v>
      </c>
      <c r="K39" s="198">
        <f t="shared" si="0"/>
        <v>1</v>
      </c>
    </row>
    <row r="40" spans="1:11" ht="12.75">
      <c r="A40" s="16">
        <v>34</v>
      </c>
      <c r="B40" s="17" t="s">
        <v>144</v>
      </c>
      <c r="C40" s="361">
        <f>'- 42 -'!H40</f>
        <v>0.7528806861641654</v>
      </c>
      <c r="D40" s="361">
        <f>'- 43 -'!D40</f>
        <v>0.0005176357642141487</v>
      </c>
      <c r="E40" s="361">
        <f>'- 43 -'!F40</f>
        <v>0.19345773961230117</v>
      </c>
      <c r="F40" s="361">
        <f>'- 43 -'!H40</f>
        <v>0.004658721877927338</v>
      </c>
      <c r="G40" s="361">
        <f>'- 43 -'!J40</f>
        <v>0.04399903995820264</v>
      </c>
      <c r="H40" s="361">
        <f>'- 44 -'!D40</f>
        <v>0</v>
      </c>
      <c r="I40" s="361">
        <f>'- 44 -'!F40</f>
        <v>0.004486176623189289</v>
      </c>
      <c r="K40" s="198">
        <f t="shared" si="0"/>
        <v>1</v>
      </c>
    </row>
    <row r="41" spans="1:11" ht="12.75">
      <c r="A41" s="14">
        <v>35</v>
      </c>
      <c r="B41" s="15" t="s">
        <v>145</v>
      </c>
      <c r="C41" s="360">
        <f>'- 42 -'!H41</f>
        <v>0.6315724418343222</v>
      </c>
      <c r="D41" s="360">
        <f>'- 43 -'!D41</f>
        <v>0.0012993166342801224</v>
      </c>
      <c r="E41" s="360">
        <f>'- 43 -'!F41</f>
        <v>0.3155777520257605</v>
      </c>
      <c r="F41" s="360">
        <f>'- 43 -'!H41</f>
        <v>0.004251690557199353</v>
      </c>
      <c r="G41" s="360">
        <f>'- 43 -'!J41</f>
        <v>0.02412001059861422</v>
      </c>
      <c r="H41" s="360">
        <f>'- 44 -'!D41</f>
        <v>0.01381969498712078</v>
      </c>
      <c r="I41" s="360">
        <f>'- 44 -'!F41</f>
        <v>0.009359093362702879</v>
      </c>
      <c r="K41" s="198">
        <f t="shared" si="0"/>
        <v>0.9999999999999999</v>
      </c>
    </row>
    <row r="42" spans="1:11" ht="12.75">
      <c r="A42" s="16">
        <v>36</v>
      </c>
      <c r="B42" s="17" t="s">
        <v>146</v>
      </c>
      <c r="C42" s="361">
        <f>'- 42 -'!H42</f>
        <v>0.6013081099506513</v>
      </c>
      <c r="D42" s="361">
        <f>'- 43 -'!D42</f>
        <v>0</v>
      </c>
      <c r="E42" s="361">
        <f>'- 43 -'!F42</f>
        <v>0.38834680651150594</v>
      </c>
      <c r="F42" s="361">
        <f>'- 43 -'!H42</f>
        <v>0.0010345083537842703</v>
      </c>
      <c r="G42" s="361">
        <f>'- 43 -'!J42</f>
        <v>0</v>
      </c>
      <c r="H42" s="361">
        <f>'- 44 -'!D42</f>
        <v>0.000646567721115169</v>
      </c>
      <c r="I42" s="361">
        <f>'- 44 -'!F42</f>
        <v>0.008664007462943265</v>
      </c>
      <c r="K42" s="198">
        <f t="shared" si="0"/>
        <v>1</v>
      </c>
    </row>
    <row r="43" spans="1:11" ht="12.75">
      <c r="A43" s="14">
        <v>37</v>
      </c>
      <c r="B43" s="15" t="s">
        <v>147</v>
      </c>
      <c r="C43" s="360">
        <f>'- 42 -'!H43</f>
        <v>0.6266062594656441</v>
      </c>
      <c r="D43" s="360">
        <f>'- 43 -'!D43</f>
        <v>0</v>
      </c>
      <c r="E43" s="360">
        <f>'- 43 -'!F43</f>
        <v>0.3401968709876837</v>
      </c>
      <c r="F43" s="360">
        <f>'- 43 -'!H43</f>
        <v>0.0006790046069136849</v>
      </c>
      <c r="G43" s="360">
        <f>'- 43 -'!J43</f>
        <v>0.028900926138074837</v>
      </c>
      <c r="H43" s="360">
        <f>'- 44 -'!D43</f>
        <v>0.0010231181470898053</v>
      </c>
      <c r="I43" s="360">
        <f>'- 44 -'!F43</f>
        <v>0.0025938206545938723</v>
      </c>
      <c r="K43" s="198">
        <f t="shared" si="0"/>
        <v>1</v>
      </c>
    </row>
    <row r="44" spans="1:11" ht="12.75">
      <c r="A44" s="16">
        <v>38</v>
      </c>
      <c r="B44" s="17" t="s">
        <v>148</v>
      </c>
      <c r="C44" s="361">
        <f>'- 42 -'!H44</f>
        <v>0.5753581028514391</v>
      </c>
      <c r="D44" s="361">
        <f>'- 43 -'!D44</f>
        <v>0.030304580625273612</v>
      </c>
      <c r="E44" s="361">
        <f>'- 43 -'!F44</f>
        <v>0.3661487785776394</v>
      </c>
      <c r="F44" s="361">
        <f>'- 43 -'!H44</f>
        <v>0.0034242006636635157</v>
      </c>
      <c r="G44" s="361">
        <f>'- 43 -'!J44</f>
        <v>0.018774009879830793</v>
      </c>
      <c r="H44" s="361">
        <f>'- 44 -'!D44</f>
        <v>0.005450658266824509</v>
      </c>
      <c r="I44" s="361">
        <f>'- 44 -'!F44</f>
        <v>0.0005396691353291593</v>
      </c>
      <c r="K44" s="198">
        <f t="shared" si="0"/>
        <v>1.0000000000000002</v>
      </c>
    </row>
    <row r="45" spans="1:11" ht="12.75">
      <c r="A45" s="14">
        <v>39</v>
      </c>
      <c r="B45" s="15" t="s">
        <v>149</v>
      </c>
      <c r="C45" s="360">
        <f>'- 42 -'!H45</f>
        <v>0.5778188951692755</v>
      </c>
      <c r="D45" s="360">
        <f>'- 43 -'!D45</f>
        <v>0.0008070348608020064</v>
      </c>
      <c r="E45" s="360">
        <f>'- 43 -'!F45</f>
        <v>0.3687305652037608</v>
      </c>
      <c r="F45" s="360">
        <f>'- 43 -'!H45</f>
        <v>0.004966368374166193</v>
      </c>
      <c r="G45" s="360">
        <f>'- 43 -'!J45</f>
        <v>0.043641962087985424</v>
      </c>
      <c r="H45" s="360">
        <f>'- 44 -'!D45</f>
        <v>0</v>
      </c>
      <c r="I45" s="360">
        <f>'- 44 -'!F45</f>
        <v>0.004035174304010032</v>
      </c>
      <c r="K45" s="198">
        <f t="shared" si="0"/>
        <v>1</v>
      </c>
    </row>
    <row r="46" spans="1:11" ht="12.75">
      <c r="A46" s="16">
        <v>40</v>
      </c>
      <c r="B46" s="17" t="s">
        <v>150</v>
      </c>
      <c r="C46" s="361">
        <f>'- 42 -'!H46</f>
        <v>0.5946415192055032</v>
      </c>
      <c r="D46" s="361">
        <f>'- 43 -'!D46</f>
        <v>0.0003204985344090198</v>
      </c>
      <c r="E46" s="361">
        <f>'- 43 -'!F46</f>
        <v>0.380597315877837</v>
      </c>
      <c r="F46" s="361">
        <f>'- 43 -'!H46</f>
        <v>0.003750469604640649</v>
      </c>
      <c r="G46" s="361">
        <f>'- 43 -'!J46</f>
        <v>0.008163161346603246</v>
      </c>
      <c r="H46" s="361">
        <f>'- 44 -'!D46</f>
        <v>0.011126180909748887</v>
      </c>
      <c r="I46" s="361">
        <f>'- 44 -'!F46</f>
        <v>0.0014008545212579673</v>
      </c>
      <c r="K46" s="198">
        <f t="shared" si="0"/>
        <v>1</v>
      </c>
    </row>
    <row r="47" spans="1:11" ht="12.75">
      <c r="A47" s="14">
        <v>41</v>
      </c>
      <c r="B47" s="15" t="s">
        <v>151</v>
      </c>
      <c r="C47" s="360">
        <f>'- 42 -'!H47</f>
        <v>0.5661392255584079</v>
      </c>
      <c r="D47" s="360">
        <f>'- 43 -'!D47</f>
        <v>0</v>
      </c>
      <c r="E47" s="360">
        <f>'- 43 -'!F47</f>
        <v>0.3735640309667216</v>
      </c>
      <c r="F47" s="360">
        <f>'- 43 -'!H47</f>
        <v>0.002353819461729202</v>
      </c>
      <c r="G47" s="360">
        <f>'- 43 -'!J47</f>
        <v>0.05411001529505525</v>
      </c>
      <c r="H47" s="360">
        <f>'- 44 -'!D47</f>
        <v>0.0020039273795802665</v>
      </c>
      <c r="I47" s="360">
        <f>'- 44 -'!F47</f>
        <v>0.0018289813385057986</v>
      </c>
      <c r="K47" s="198">
        <f t="shared" si="0"/>
        <v>1</v>
      </c>
    </row>
    <row r="48" spans="1:11" ht="12.75">
      <c r="A48" s="16">
        <v>42</v>
      </c>
      <c r="B48" s="17" t="s">
        <v>152</v>
      </c>
      <c r="C48" s="361">
        <f>'- 42 -'!H48</f>
        <v>0.5857086702969</v>
      </c>
      <c r="D48" s="361">
        <f>'- 43 -'!D48</f>
        <v>0</v>
      </c>
      <c r="E48" s="361">
        <f>'- 43 -'!F48</f>
        <v>0.40593128330534317</v>
      </c>
      <c r="F48" s="361">
        <f>'- 43 -'!H48</f>
        <v>0.002442244280843927</v>
      </c>
      <c r="G48" s="361">
        <f>'- 43 -'!J48</f>
        <v>0</v>
      </c>
      <c r="H48" s="361">
        <f>'- 44 -'!D48</f>
        <v>0</v>
      </c>
      <c r="I48" s="361">
        <f>'- 44 -'!F48</f>
        <v>0.00591780211691292</v>
      </c>
      <c r="K48" s="198">
        <f t="shared" si="0"/>
        <v>1</v>
      </c>
    </row>
    <row r="49" spans="1:11" ht="12.75">
      <c r="A49" s="14">
        <v>43</v>
      </c>
      <c r="B49" s="15" t="s">
        <v>153</v>
      </c>
      <c r="C49" s="360">
        <f>'- 42 -'!H49</f>
        <v>0.5470360167885664</v>
      </c>
      <c r="D49" s="360">
        <f>'- 43 -'!D49</f>
        <v>0</v>
      </c>
      <c r="E49" s="360">
        <f>'- 43 -'!F49</f>
        <v>0.44876170548352107</v>
      </c>
      <c r="F49" s="360">
        <f>'- 43 -'!H49</f>
        <v>0.0007781995792430515</v>
      </c>
      <c r="G49" s="360">
        <f>'- 43 -'!J49</f>
        <v>0</v>
      </c>
      <c r="H49" s="360">
        <f>'- 44 -'!D49</f>
        <v>0</v>
      </c>
      <c r="I49" s="360">
        <f>'- 44 -'!F49</f>
        <v>0.0034240781486694267</v>
      </c>
      <c r="K49" s="198">
        <f t="shared" si="0"/>
        <v>1</v>
      </c>
    </row>
    <row r="50" spans="1:11" ht="12.75">
      <c r="A50" s="16">
        <v>44</v>
      </c>
      <c r="B50" s="17" t="s">
        <v>154</v>
      </c>
      <c r="C50" s="361">
        <f>'- 42 -'!H50</f>
        <v>0.6022338605449776</v>
      </c>
      <c r="D50" s="361">
        <f>'- 43 -'!D50</f>
        <v>0</v>
      </c>
      <c r="E50" s="361">
        <f>'- 43 -'!F50</f>
        <v>0.3932025296163455</v>
      </c>
      <c r="F50" s="361">
        <f>'- 43 -'!H50</f>
        <v>0.002435337036880956</v>
      </c>
      <c r="G50" s="361">
        <f>'- 43 -'!J50</f>
        <v>0</v>
      </c>
      <c r="H50" s="361">
        <f>'- 44 -'!D50</f>
        <v>0.0002752989693865428</v>
      </c>
      <c r="I50" s="361">
        <f>'- 44 -'!F50</f>
        <v>0.001852973832409423</v>
      </c>
      <c r="K50" s="198">
        <f t="shared" si="0"/>
        <v>1</v>
      </c>
    </row>
    <row r="51" spans="1:11" ht="12.75">
      <c r="A51" s="14">
        <v>45</v>
      </c>
      <c r="B51" s="15" t="s">
        <v>155</v>
      </c>
      <c r="C51" s="360">
        <f>'- 42 -'!H51</f>
        <v>0.7259020084646058</v>
      </c>
      <c r="D51" s="360">
        <f>'- 43 -'!D51</f>
        <v>0</v>
      </c>
      <c r="E51" s="360">
        <f>'- 43 -'!F51</f>
        <v>0.2573239501926684</v>
      </c>
      <c r="F51" s="360">
        <f>'- 43 -'!H51</f>
        <v>0.001248687941145841</v>
      </c>
      <c r="G51" s="360">
        <f>'- 43 -'!J51</f>
        <v>0.010821962156597288</v>
      </c>
      <c r="H51" s="360">
        <f>'- 44 -'!D51</f>
        <v>0.004703391244982668</v>
      </c>
      <c r="I51" s="360">
        <f>'- 44 -'!F51</f>
        <v>0</v>
      </c>
      <c r="K51" s="198">
        <f t="shared" si="0"/>
        <v>1</v>
      </c>
    </row>
    <row r="52" spans="1:11" ht="12.75">
      <c r="A52" s="16">
        <v>46</v>
      </c>
      <c r="B52" s="17" t="s">
        <v>156</v>
      </c>
      <c r="C52" s="361">
        <f>'- 42 -'!H52</f>
        <v>0.5992670004905098</v>
      </c>
      <c r="D52" s="361">
        <f>'- 43 -'!D52</f>
        <v>0</v>
      </c>
      <c r="E52" s="361">
        <f>'- 43 -'!F52</f>
        <v>0.2768523520810293</v>
      </c>
      <c r="F52" s="361">
        <f>'- 43 -'!H52</f>
        <v>0.014805305820735446</v>
      </c>
      <c r="G52" s="361">
        <f>'- 43 -'!J52</f>
        <v>0</v>
      </c>
      <c r="H52" s="361">
        <f>'- 44 -'!D52</f>
        <v>0.1038514024257503</v>
      </c>
      <c r="I52" s="361">
        <f>'- 44 -'!F52</f>
        <v>0.005223939181975072</v>
      </c>
      <c r="K52" s="198">
        <f t="shared" si="0"/>
        <v>1</v>
      </c>
    </row>
    <row r="53" spans="1:11" ht="12.75">
      <c r="A53" s="14">
        <v>47</v>
      </c>
      <c r="B53" s="15" t="s">
        <v>157</v>
      </c>
      <c r="C53" s="360">
        <f>'- 42 -'!H53</f>
        <v>0.6151526382632927</v>
      </c>
      <c r="D53" s="360">
        <f>'- 43 -'!D53</f>
        <v>0</v>
      </c>
      <c r="E53" s="360">
        <f>'- 43 -'!F53</f>
        <v>0.36869538930421086</v>
      </c>
      <c r="F53" s="360">
        <f>'- 43 -'!H53</f>
        <v>0.0029398741003985253</v>
      </c>
      <c r="G53" s="360">
        <f>'- 43 -'!J53</f>
        <v>0</v>
      </c>
      <c r="H53" s="360">
        <f>'- 44 -'!D53</f>
        <v>0.009630622053029652</v>
      </c>
      <c r="I53" s="360">
        <f>'- 44 -'!F53</f>
        <v>0.0035814762790682586</v>
      </c>
      <c r="K53" s="198">
        <f t="shared" si="0"/>
        <v>1</v>
      </c>
    </row>
    <row r="54" spans="1:11" ht="12.75">
      <c r="A54" s="16">
        <v>48</v>
      </c>
      <c r="B54" s="17" t="s">
        <v>158</v>
      </c>
      <c r="C54" s="361">
        <f>'- 42 -'!H54</f>
        <v>0.4545104851834324</v>
      </c>
      <c r="D54" s="361">
        <f>'- 43 -'!D54</f>
        <v>0.20497583690861682</v>
      </c>
      <c r="E54" s="361">
        <f>'- 43 -'!F54</f>
        <v>0.02174908319553541</v>
      </c>
      <c r="F54" s="361">
        <f>'- 43 -'!H54</f>
        <v>0</v>
      </c>
      <c r="G54" s="361">
        <f>'- 43 -'!J54</f>
        <v>0.28136500477913673</v>
      </c>
      <c r="H54" s="361">
        <f>'- 44 -'!D54</f>
        <v>0.03736238604852767</v>
      </c>
      <c r="I54" s="361">
        <f>'- 44 -'!F54</f>
        <v>3.720388475097806E-05</v>
      </c>
      <c r="K54" s="198">
        <f t="shared" si="0"/>
        <v>1</v>
      </c>
    </row>
    <row r="55" spans="1:11" ht="12.75">
      <c r="A55" s="14">
        <v>49</v>
      </c>
      <c r="B55" s="15" t="s">
        <v>159</v>
      </c>
      <c r="C55" s="360">
        <f>'- 42 -'!H55</f>
        <v>0.6336643728863997</v>
      </c>
      <c r="D55" s="360">
        <f>'- 43 -'!D55</f>
        <v>0.07497369255534662</v>
      </c>
      <c r="E55" s="360">
        <f>'- 43 -'!F55</f>
        <v>0.28336791844995124</v>
      </c>
      <c r="F55" s="360">
        <f>'- 43 -'!H55</f>
        <v>0.006442836262329827</v>
      </c>
      <c r="G55" s="360">
        <f>'- 43 -'!J55</f>
        <v>0</v>
      </c>
      <c r="H55" s="360">
        <f>'- 44 -'!D55</f>
        <v>0.001281877789380208</v>
      </c>
      <c r="I55" s="360">
        <f>'- 44 -'!F55</f>
        <v>0.00026930205659248067</v>
      </c>
      <c r="K55" s="198">
        <f t="shared" si="0"/>
        <v>0.9999999999999999</v>
      </c>
    </row>
    <row r="56" spans="1:11" ht="12.75">
      <c r="A56" s="16">
        <v>50</v>
      </c>
      <c r="B56" s="17" t="s">
        <v>340</v>
      </c>
      <c r="C56" s="361">
        <f>'- 42 -'!H56</f>
        <v>0.6140898426905343</v>
      </c>
      <c r="D56" s="361">
        <f>'- 43 -'!D56</f>
        <v>0</v>
      </c>
      <c r="E56" s="361">
        <f>'- 43 -'!F56</f>
        <v>0.3786549362625441</v>
      </c>
      <c r="F56" s="361">
        <f>'- 43 -'!H56</f>
        <v>0.0013561160835367507</v>
      </c>
      <c r="G56" s="361">
        <f>'- 43 -'!J56</f>
        <v>0.0023732031461893136</v>
      </c>
      <c r="H56" s="361">
        <f>'- 44 -'!D56</f>
        <v>0.0014917276918904258</v>
      </c>
      <c r="I56" s="361">
        <f>'- 44 -'!F56</f>
        <v>0.0020341741253051262</v>
      </c>
      <c r="K56" s="198">
        <f t="shared" si="0"/>
        <v>1</v>
      </c>
    </row>
    <row r="57" spans="1:11" ht="12.75">
      <c r="A57" s="14">
        <v>2264</v>
      </c>
      <c r="B57" s="15" t="s">
        <v>160</v>
      </c>
      <c r="C57" s="360">
        <f>'- 42 -'!H57</f>
        <v>0.7013169063515123</v>
      </c>
      <c r="D57" s="360">
        <f>'- 43 -'!D57</f>
        <v>0</v>
      </c>
      <c r="E57" s="360">
        <f>'- 43 -'!F57</f>
        <v>0.24435101451167954</v>
      </c>
      <c r="F57" s="360">
        <f>'- 43 -'!H57</f>
        <v>0</v>
      </c>
      <c r="G57" s="360">
        <f>'- 43 -'!J57</f>
        <v>0</v>
      </c>
      <c r="H57" s="360">
        <f>'- 44 -'!D57</f>
        <v>0.047193055124793916</v>
      </c>
      <c r="I57" s="360">
        <f>'- 44 -'!F57</f>
        <v>0.007139024012014169</v>
      </c>
      <c r="K57" s="198">
        <f t="shared" si="0"/>
        <v>0.9999999999999999</v>
      </c>
    </row>
    <row r="58" spans="1:11" ht="12.75">
      <c r="A58" s="16">
        <v>2309</v>
      </c>
      <c r="B58" s="17" t="s">
        <v>161</v>
      </c>
      <c r="C58" s="361">
        <f>'- 42 -'!H58</f>
        <v>0.7240938664457109</v>
      </c>
      <c r="D58" s="361">
        <f>'- 43 -'!D58</f>
        <v>0.00041618368077576636</v>
      </c>
      <c r="E58" s="361">
        <f>'- 43 -'!F58</f>
        <v>0.27336173786954626</v>
      </c>
      <c r="F58" s="361">
        <f>'- 43 -'!H58</f>
        <v>0</v>
      </c>
      <c r="G58" s="361">
        <f>'- 43 -'!J58</f>
        <v>0</v>
      </c>
      <c r="H58" s="361">
        <f>'- 44 -'!D58</f>
        <v>0</v>
      </c>
      <c r="I58" s="361">
        <f>'- 44 -'!F58</f>
        <v>0.0021282120039669873</v>
      </c>
      <c r="K58" s="198">
        <f t="shared" si="0"/>
        <v>1</v>
      </c>
    </row>
    <row r="59" spans="1:11" ht="12.75">
      <c r="A59" s="14">
        <v>2312</v>
      </c>
      <c r="B59" s="15" t="s">
        <v>162</v>
      </c>
      <c r="C59" s="360">
        <f>'- 42 -'!H59</f>
        <v>0.9095729534627787</v>
      </c>
      <c r="D59" s="360">
        <f>'- 43 -'!D59</f>
        <v>0</v>
      </c>
      <c r="E59" s="360">
        <f>'- 43 -'!F59</f>
        <v>0.06413265711859667</v>
      </c>
      <c r="F59" s="360">
        <f>'- 43 -'!H59</f>
        <v>0.0038479594271158004</v>
      </c>
      <c r="G59" s="360">
        <f>'- 43 -'!J59</f>
        <v>0</v>
      </c>
      <c r="H59" s="360">
        <f>'- 44 -'!D59</f>
        <v>0</v>
      </c>
      <c r="I59" s="360">
        <f>'- 44 -'!F59</f>
        <v>0.022446429991508837</v>
      </c>
      <c r="K59" s="198">
        <f t="shared" si="0"/>
        <v>0.9999999999999999</v>
      </c>
    </row>
    <row r="60" spans="1:11" ht="12.75">
      <c r="A60" s="16">
        <v>2355</v>
      </c>
      <c r="B60" s="17" t="s">
        <v>163</v>
      </c>
      <c r="C60" s="361">
        <f>'- 42 -'!H60</f>
        <v>0.668545219084033</v>
      </c>
      <c r="D60" s="361">
        <f>'- 43 -'!D60</f>
        <v>0.0011991090910970757</v>
      </c>
      <c r="E60" s="361">
        <f>'- 43 -'!F60</f>
        <v>0.3088082550323518</v>
      </c>
      <c r="F60" s="361">
        <f>'- 43 -'!H60</f>
        <v>0.004703150730072808</v>
      </c>
      <c r="G60" s="361">
        <f>'- 43 -'!J60</f>
        <v>0.012826774718380387</v>
      </c>
      <c r="H60" s="361">
        <f>'- 44 -'!D60</f>
        <v>0.002009528039212927</v>
      </c>
      <c r="I60" s="361">
        <f>'- 44 -'!F60</f>
        <v>0.0019079633048519336</v>
      </c>
      <c r="K60" s="198">
        <f t="shared" si="0"/>
        <v>0.9999999999999999</v>
      </c>
    </row>
    <row r="61" spans="1:11" ht="12.75">
      <c r="A61" s="14">
        <v>2439</v>
      </c>
      <c r="B61" s="15" t="s">
        <v>164</v>
      </c>
      <c r="C61" s="360">
        <f>'- 42 -'!H61</f>
        <v>0.7191189882586239</v>
      </c>
      <c r="D61" s="360">
        <f>'- 43 -'!D61</f>
        <v>0.09796257569768478</v>
      </c>
      <c r="E61" s="360">
        <f>'- 43 -'!F61</f>
        <v>0.18144625547191115</v>
      </c>
      <c r="F61" s="360">
        <f>'- 43 -'!H61</f>
        <v>0.0014721805717802122</v>
      </c>
      <c r="G61" s="360">
        <f>'- 43 -'!J61</f>
        <v>0</v>
      </c>
      <c r="H61" s="360">
        <f>'- 44 -'!D61</f>
        <v>0</v>
      </c>
      <c r="I61" s="360">
        <f>'- 44 -'!F61</f>
        <v>0</v>
      </c>
      <c r="K61" s="198">
        <f t="shared" si="0"/>
        <v>1</v>
      </c>
    </row>
    <row r="62" spans="1:11" ht="12.75">
      <c r="A62" s="16">
        <v>2460</v>
      </c>
      <c r="B62" s="17" t="s">
        <v>165</v>
      </c>
      <c r="C62" s="361">
        <f>'- 42 -'!H62</f>
        <v>0.9466021806740755</v>
      </c>
      <c r="D62" s="361">
        <f>'- 43 -'!D62</f>
        <v>0</v>
      </c>
      <c r="E62" s="361">
        <f>'- 43 -'!F62</f>
        <v>0.0482902018251839</v>
      </c>
      <c r="F62" s="361">
        <f>'- 43 -'!H62</f>
        <v>0</v>
      </c>
      <c r="G62" s="361">
        <f>'- 43 -'!J62</f>
        <v>0</v>
      </c>
      <c r="H62" s="361">
        <f>'- 44 -'!D62</f>
        <v>0</v>
      </c>
      <c r="I62" s="361">
        <f>'- 44 -'!F62</f>
        <v>0.005107617500740604</v>
      </c>
      <c r="K62" s="198">
        <f t="shared" si="0"/>
        <v>1</v>
      </c>
    </row>
    <row r="63" spans="1:11" ht="12.75">
      <c r="A63" s="14">
        <v>3000</v>
      </c>
      <c r="B63" s="15" t="s">
        <v>363</v>
      </c>
      <c r="C63" s="360">
        <f>'- 42 -'!H63</f>
        <v>0.18215732988103356</v>
      </c>
      <c r="D63" s="360">
        <f>'- 43 -'!D63</f>
        <v>0</v>
      </c>
      <c r="E63" s="360">
        <f>'- 43 -'!F63</f>
        <v>0</v>
      </c>
      <c r="F63" s="360">
        <f>'- 43 -'!H63</f>
        <v>0.5045005017580684</v>
      </c>
      <c r="G63" s="360">
        <f>'- 43 -'!J63</f>
        <v>0.006128342819497323</v>
      </c>
      <c r="H63" s="360">
        <f>'- 44 -'!D63</f>
        <v>0.2956925410407458</v>
      </c>
      <c r="I63" s="360">
        <f>'- 44 -'!F63</f>
        <v>0.011521284500654967</v>
      </c>
      <c r="K63" s="198">
        <f t="shared" si="0"/>
        <v>1</v>
      </c>
    </row>
    <row r="64" spans="1:9" ht="4.5" customHeight="1">
      <c r="A64" s="18"/>
      <c r="B64" s="18"/>
      <c r="C64" s="198"/>
      <c r="D64" s="198"/>
      <c r="E64" s="198"/>
      <c r="F64" s="198"/>
      <c r="G64" s="198"/>
      <c r="H64" s="198"/>
      <c r="I64" s="198"/>
    </row>
    <row r="65" spans="1:11" ht="12.75">
      <c r="A65" s="20"/>
      <c r="B65" s="21" t="s">
        <v>166</v>
      </c>
      <c r="C65" s="103">
        <f>'- 42 -'!H65</f>
        <v>0.5754870134272885</v>
      </c>
      <c r="D65" s="103">
        <f>'- 43 -'!D65</f>
        <v>0.012161646419048606</v>
      </c>
      <c r="E65" s="103">
        <f>'- 43 -'!F65</f>
        <v>0.37331847221742914</v>
      </c>
      <c r="F65" s="103">
        <f>'- 43 -'!H65</f>
        <v>0.008542424936930625</v>
      </c>
      <c r="G65" s="103">
        <f>'- 43 -'!J65</f>
        <v>0.017578974983257133</v>
      </c>
      <c r="H65" s="103">
        <f>'- 44 -'!D65</f>
        <v>0.009954449565888788</v>
      </c>
      <c r="I65" s="103">
        <f>'- 44 -'!F65</f>
        <v>0.00295701845015727</v>
      </c>
      <c r="K65" s="198">
        <f>SUM(C65:I65)</f>
        <v>1</v>
      </c>
    </row>
    <row r="66" spans="1:9" ht="4.5" customHeight="1">
      <c r="A66" s="18"/>
      <c r="B66" s="18"/>
      <c r="C66" s="198"/>
      <c r="D66" s="198"/>
      <c r="E66" s="198"/>
      <c r="F66" s="198"/>
      <c r="G66" s="198"/>
      <c r="H66" s="198"/>
      <c r="I66" s="198"/>
    </row>
    <row r="67" spans="1:11" ht="12.75">
      <c r="A67" s="16">
        <v>2460</v>
      </c>
      <c r="B67" s="17" t="s">
        <v>165</v>
      </c>
      <c r="C67" s="361">
        <f>'- 42 -'!H67</f>
        <v>0.16410883164351983</v>
      </c>
      <c r="D67" s="361">
        <f>'- 43 -'!D67</f>
        <v>0</v>
      </c>
      <c r="E67" s="361">
        <f>'- 43 -'!F67</f>
        <v>0</v>
      </c>
      <c r="F67" s="361">
        <f>'- 43 -'!H67</f>
        <v>0.1531898720999299</v>
      </c>
      <c r="G67" s="361">
        <f>'- 43 -'!J67</f>
        <v>0.07507934481964429</v>
      </c>
      <c r="H67" s="361">
        <f>'- 44 -'!D67</f>
        <v>0.568589505448784</v>
      </c>
      <c r="I67" s="361">
        <f>'- 44 -'!F67</f>
        <v>0.039032445988121986</v>
      </c>
      <c r="K67" s="198">
        <f>SUM(C67:I67)</f>
        <v>0.9999999999999999</v>
      </c>
    </row>
    <row r="68" spans="1:11" ht="12.75">
      <c r="A68" s="14">
        <v>2408</v>
      </c>
      <c r="B68" s="15" t="s">
        <v>169</v>
      </c>
      <c r="C68" s="360">
        <f>'- 42 -'!H68</f>
        <v>0.19823418300947873</v>
      </c>
      <c r="D68" s="360">
        <f>'- 43 -'!D68</f>
        <v>0</v>
      </c>
      <c r="E68" s="360">
        <f>'- 43 -'!F68</f>
        <v>0.7588321937853362</v>
      </c>
      <c r="F68" s="360">
        <f>'- 43 -'!H68</f>
        <v>0.02572827086723569</v>
      </c>
      <c r="G68" s="360">
        <f>'- 43 -'!J68</f>
        <v>0</v>
      </c>
      <c r="H68" s="360">
        <f>'- 44 -'!D68</f>
        <v>0</v>
      </c>
      <c r="I68" s="360">
        <f>'- 44 -'!F68</f>
        <v>0.017205352337949415</v>
      </c>
      <c r="K68" s="198">
        <f>SUM(C68:I68)</f>
        <v>1</v>
      </c>
    </row>
    <row r="69" ht="6.75" customHeight="1"/>
    <row r="70" spans="1:9" ht="12" customHeight="1">
      <c r="A70" s="7"/>
      <c r="B70" s="7"/>
      <c r="C70" s="18"/>
      <c r="D70" s="18"/>
      <c r="E70" s="18"/>
      <c r="F70" s="18"/>
      <c r="G70" s="18"/>
      <c r="H70" s="18"/>
      <c r="I70" s="18"/>
    </row>
    <row r="71" spans="1:9" ht="12" customHeight="1">
      <c r="A71" s="7"/>
      <c r="B71" s="7"/>
      <c r="C71" s="18"/>
      <c r="D71" s="18"/>
      <c r="E71" s="18"/>
      <c r="F71" s="18"/>
      <c r="G71" s="18"/>
      <c r="H71" s="18"/>
      <c r="I71" s="18"/>
    </row>
    <row r="72" spans="1:9" ht="12" customHeight="1">
      <c r="A72" s="7"/>
      <c r="B72" s="7"/>
      <c r="C72" s="18"/>
      <c r="D72" s="18"/>
      <c r="E72" s="18"/>
      <c r="F72" s="18"/>
      <c r="G72" s="18"/>
      <c r="H72" s="18"/>
      <c r="I72" s="18"/>
    </row>
    <row r="73" spans="1:9" ht="12" customHeight="1">
      <c r="A73" s="7"/>
      <c r="B73" s="7"/>
      <c r="C73" s="18"/>
      <c r="D73" s="18"/>
      <c r="E73" s="18"/>
      <c r="F73" s="18"/>
      <c r="G73" s="18"/>
      <c r="H73" s="18"/>
      <c r="I73" s="18"/>
    </row>
    <row r="74" spans="1:9" ht="12" customHeight="1">
      <c r="A74" s="7"/>
      <c r="B74" s="7"/>
      <c r="C74" s="18"/>
      <c r="D74" s="18"/>
      <c r="E74" s="18"/>
      <c r="F74" s="18"/>
      <c r="G74" s="18"/>
      <c r="H74" s="18"/>
      <c r="I74" s="18"/>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H76"/>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6.83203125" style="82" customWidth="1"/>
    <col min="4" max="4" width="15.83203125" style="82" customWidth="1"/>
    <col min="5" max="5" width="17.83203125" style="82" customWidth="1"/>
    <col min="6" max="6" width="15.83203125" style="82" customWidth="1"/>
    <col min="7" max="8" width="16.83203125" style="82" customWidth="1"/>
    <col min="9" max="16384" width="15.83203125" style="82" customWidth="1"/>
  </cols>
  <sheetData>
    <row r="1" spans="1:2" ht="6.75" customHeight="1">
      <c r="A1" s="18"/>
      <c r="B1" s="80"/>
    </row>
    <row r="2" spans="1:8" ht="12.75">
      <c r="A2" s="12"/>
      <c r="B2" s="106"/>
      <c r="C2" s="391" t="str">
        <f>"ANALYSIS OF OPERATING FUND REVENUE: "&amp;REPLACE(REPLACE(YEAR,1,22,""),5,0,"")&amp;" BUDGET"</f>
        <v>ANALYSIS OF OPERATING FUND REVENUE: 2002/2003 BUDGET</v>
      </c>
      <c r="D2" s="107"/>
      <c r="E2" s="107"/>
      <c r="F2" s="107"/>
      <c r="G2" s="107"/>
      <c r="H2" s="108" t="s">
        <v>2</v>
      </c>
    </row>
    <row r="3" spans="1:2" ht="12.75">
      <c r="A3" s="13"/>
      <c r="B3" s="109"/>
    </row>
    <row r="4" spans="1:8" ht="12.75">
      <c r="A4" s="11"/>
      <c r="C4" s="190" t="s">
        <v>174</v>
      </c>
      <c r="D4" s="191"/>
      <c r="E4" s="191"/>
      <c r="F4" s="191"/>
      <c r="G4" s="191"/>
      <c r="H4" s="192"/>
    </row>
    <row r="5" spans="1:3" ht="12.75">
      <c r="A5" s="11"/>
      <c r="C5" s="18"/>
    </row>
    <row r="6" spans="1:5" ht="12.75">
      <c r="A6" s="11"/>
      <c r="C6" s="190" t="s">
        <v>484</v>
      </c>
      <c r="D6" s="193"/>
      <c r="E6" s="194"/>
    </row>
    <row r="7" spans="1:8" ht="12.75">
      <c r="A7" s="18"/>
      <c r="C7" s="118" t="s">
        <v>483</v>
      </c>
      <c r="D7" s="117"/>
      <c r="E7" s="118"/>
      <c r="F7" s="195" t="s">
        <v>57</v>
      </c>
      <c r="G7" s="118" t="s">
        <v>69</v>
      </c>
      <c r="H7" s="118" t="s">
        <v>184</v>
      </c>
    </row>
    <row r="8" spans="1:8" ht="12.75">
      <c r="A8" s="94"/>
      <c r="B8" s="46"/>
      <c r="C8" s="121" t="s">
        <v>482</v>
      </c>
      <c r="D8" s="121" t="s">
        <v>57</v>
      </c>
      <c r="E8" s="120"/>
      <c r="F8" s="196" t="s">
        <v>205</v>
      </c>
      <c r="G8" s="120" t="s">
        <v>205</v>
      </c>
      <c r="H8" s="121" t="s">
        <v>206</v>
      </c>
    </row>
    <row r="9" spans="1:8" ht="16.5">
      <c r="A9" s="52" t="s">
        <v>100</v>
      </c>
      <c r="B9" s="53" t="s">
        <v>101</v>
      </c>
      <c r="C9" s="75" t="s">
        <v>403</v>
      </c>
      <c r="D9" s="75" t="s">
        <v>404</v>
      </c>
      <c r="E9" s="75" t="s">
        <v>69</v>
      </c>
      <c r="F9" s="197" t="s">
        <v>405</v>
      </c>
      <c r="G9" s="75" t="s">
        <v>211</v>
      </c>
      <c r="H9" s="75" t="s">
        <v>211</v>
      </c>
    </row>
    <row r="10" spans="1:8" ht="4.5" customHeight="1">
      <c r="A10" s="77"/>
      <c r="B10" s="77"/>
      <c r="C10" s="148"/>
      <c r="D10" s="148"/>
      <c r="E10" s="148"/>
      <c r="F10" s="148"/>
      <c r="G10" s="148"/>
      <c r="H10" s="148"/>
    </row>
    <row r="11" spans="1:8" ht="12.75">
      <c r="A11" s="14">
        <v>1</v>
      </c>
      <c r="B11" s="15" t="s">
        <v>115</v>
      </c>
      <c r="C11" s="15">
        <f>'- 59 -'!E11</f>
        <v>126123000</v>
      </c>
      <c r="D11" s="15">
        <v>8350600</v>
      </c>
      <c r="E11" s="15">
        <f>SUM(C11,D11)</f>
        <v>134473600</v>
      </c>
      <c r="F11" s="15">
        <v>1833500</v>
      </c>
      <c r="G11" s="15">
        <f>SUM(E11,F11)</f>
        <v>136307100</v>
      </c>
      <c r="H11" s="360">
        <f>G11/'- 44 -'!J11</f>
        <v>0.531974780323032</v>
      </c>
    </row>
    <row r="12" spans="1:8" ht="12.75">
      <c r="A12" s="16">
        <v>2</v>
      </c>
      <c r="B12" s="17" t="s">
        <v>116</v>
      </c>
      <c r="C12" s="17">
        <f>'- 59 -'!E12</f>
        <v>31605580</v>
      </c>
      <c r="D12" s="17">
        <v>1452401</v>
      </c>
      <c r="E12" s="17">
        <f aca="true" t="shared" si="0" ref="E12:E63">SUM(C12,D12)</f>
        <v>33057981</v>
      </c>
      <c r="F12" s="17">
        <v>21083</v>
      </c>
      <c r="G12" s="17">
        <f aca="true" t="shared" si="1" ref="G12:G63">SUM(E12,F12)</f>
        <v>33079064</v>
      </c>
      <c r="H12" s="361">
        <f>G12/'- 44 -'!J12</f>
        <v>0.5102740446606702</v>
      </c>
    </row>
    <row r="13" spans="1:8" ht="12.75">
      <c r="A13" s="14">
        <v>3</v>
      </c>
      <c r="B13" s="15" t="s">
        <v>117</v>
      </c>
      <c r="C13" s="15">
        <f>'- 59 -'!E13</f>
        <v>21301252</v>
      </c>
      <c r="D13" s="15">
        <v>838342</v>
      </c>
      <c r="E13" s="15">
        <f t="shared" si="0"/>
        <v>22139594</v>
      </c>
      <c r="F13" s="15">
        <v>0</v>
      </c>
      <c r="G13" s="15">
        <f t="shared" si="1"/>
        <v>22139594</v>
      </c>
      <c r="H13" s="360">
        <f>G13/'- 44 -'!J13</f>
        <v>0.47342766848421464</v>
      </c>
    </row>
    <row r="14" spans="1:8" ht="12.75">
      <c r="A14" s="16">
        <v>4</v>
      </c>
      <c r="B14" s="17" t="s">
        <v>118</v>
      </c>
      <c r="C14" s="17">
        <f>'- 59 -'!E14</f>
        <v>22961753</v>
      </c>
      <c r="D14" s="17">
        <v>880000</v>
      </c>
      <c r="E14" s="17">
        <f t="shared" si="0"/>
        <v>23841753</v>
      </c>
      <c r="F14" s="17">
        <v>75000</v>
      </c>
      <c r="G14" s="17">
        <f t="shared" si="1"/>
        <v>23916753</v>
      </c>
      <c r="H14" s="361">
        <f>G14/'- 44 -'!J14</f>
        <v>0.545734853362563</v>
      </c>
    </row>
    <row r="15" spans="1:8" ht="12.75">
      <c r="A15" s="14">
        <v>5</v>
      </c>
      <c r="B15" s="15" t="s">
        <v>119</v>
      </c>
      <c r="C15" s="15">
        <f>'- 59 -'!E15</f>
        <v>24597959</v>
      </c>
      <c r="D15" s="15">
        <v>1132589</v>
      </c>
      <c r="E15" s="15">
        <f t="shared" si="0"/>
        <v>25730548</v>
      </c>
      <c r="F15" s="15">
        <v>0</v>
      </c>
      <c r="G15" s="15">
        <f t="shared" si="1"/>
        <v>25730548</v>
      </c>
      <c r="H15" s="360">
        <f>G15/'- 44 -'!J15</f>
        <v>0.4720082332038631</v>
      </c>
    </row>
    <row r="16" spans="1:8" ht="12.75">
      <c r="A16" s="16">
        <v>6</v>
      </c>
      <c r="B16" s="17" t="s">
        <v>120</v>
      </c>
      <c r="C16" s="17">
        <f>'- 59 -'!E16</f>
        <v>36275834</v>
      </c>
      <c r="D16" s="17">
        <v>1375055</v>
      </c>
      <c r="E16" s="17">
        <f t="shared" si="0"/>
        <v>37650889</v>
      </c>
      <c r="F16" s="17">
        <v>105000</v>
      </c>
      <c r="G16" s="17">
        <f t="shared" si="1"/>
        <v>37755889</v>
      </c>
      <c r="H16" s="361">
        <f>G16/'- 44 -'!J16</f>
        <v>0.5945395173498388</v>
      </c>
    </row>
    <row r="17" spans="1:8" ht="12.75">
      <c r="A17" s="14">
        <v>9</v>
      </c>
      <c r="B17" s="15" t="s">
        <v>121</v>
      </c>
      <c r="C17" s="15">
        <f>'- 59 -'!E17</f>
        <v>50968522</v>
      </c>
      <c r="D17" s="15">
        <v>1460000</v>
      </c>
      <c r="E17" s="15">
        <f t="shared" si="0"/>
        <v>52428522</v>
      </c>
      <c r="F17" s="15">
        <v>0</v>
      </c>
      <c r="G17" s="15">
        <f t="shared" si="1"/>
        <v>52428522</v>
      </c>
      <c r="H17" s="360">
        <f>G17/'- 44 -'!J17</f>
        <v>0.6169580798057008</v>
      </c>
    </row>
    <row r="18" spans="1:8" ht="12.75">
      <c r="A18" s="16">
        <v>10</v>
      </c>
      <c r="B18" s="17" t="s">
        <v>122</v>
      </c>
      <c r="C18" s="17">
        <f>'- 59 -'!E18</f>
        <v>36395940</v>
      </c>
      <c r="D18" s="17">
        <v>1410600</v>
      </c>
      <c r="E18" s="17">
        <f t="shared" si="0"/>
        <v>37806540</v>
      </c>
      <c r="F18" s="17">
        <v>4000</v>
      </c>
      <c r="G18" s="17">
        <f t="shared" si="1"/>
        <v>37810540</v>
      </c>
      <c r="H18" s="361">
        <f>G18/'- 44 -'!J18</f>
        <v>0.5922853932070331</v>
      </c>
    </row>
    <row r="19" spans="1:8" ht="12.75">
      <c r="A19" s="14">
        <v>11</v>
      </c>
      <c r="B19" s="15" t="s">
        <v>123</v>
      </c>
      <c r="C19" s="15">
        <f>'- 59 -'!E19</f>
        <v>19233190</v>
      </c>
      <c r="D19" s="15">
        <v>717000</v>
      </c>
      <c r="E19" s="15">
        <f t="shared" si="0"/>
        <v>19950190</v>
      </c>
      <c r="F19" s="15">
        <v>0</v>
      </c>
      <c r="G19" s="15">
        <f t="shared" si="1"/>
        <v>19950190</v>
      </c>
      <c r="H19" s="360">
        <f>G19/'- 44 -'!J19</f>
        <v>0.5887162958335248</v>
      </c>
    </row>
    <row r="20" spans="1:8" ht="12.75">
      <c r="A20" s="16">
        <v>12</v>
      </c>
      <c r="B20" s="17" t="s">
        <v>124</v>
      </c>
      <c r="C20" s="17">
        <f>'- 59 -'!E20</f>
        <v>30669654</v>
      </c>
      <c r="D20" s="17">
        <v>933573</v>
      </c>
      <c r="E20" s="17">
        <f t="shared" si="0"/>
        <v>31603227</v>
      </c>
      <c r="F20" s="17">
        <v>0</v>
      </c>
      <c r="G20" s="17">
        <f t="shared" si="1"/>
        <v>31603227</v>
      </c>
      <c r="H20" s="361">
        <f>G20/'- 44 -'!J20</f>
        <v>0.5879729210302764</v>
      </c>
    </row>
    <row r="21" spans="1:8" ht="12.75">
      <c r="A21" s="14">
        <v>13</v>
      </c>
      <c r="B21" s="15" t="s">
        <v>125</v>
      </c>
      <c r="C21" s="15">
        <f>'- 59 -'!E21</f>
        <v>11273693</v>
      </c>
      <c r="D21" s="15">
        <v>1555235</v>
      </c>
      <c r="E21" s="15">
        <f t="shared" si="0"/>
        <v>12828928</v>
      </c>
      <c r="F21" s="15">
        <v>0</v>
      </c>
      <c r="G21" s="15">
        <f t="shared" si="1"/>
        <v>12828928</v>
      </c>
      <c r="H21" s="360">
        <f>G21/'- 44 -'!J21</f>
        <v>0.5839054917099884</v>
      </c>
    </row>
    <row r="22" spans="1:8" ht="12.75">
      <c r="A22" s="16">
        <v>14</v>
      </c>
      <c r="B22" s="17" t="s">
        <v>126</v>
      </c>
      <c r="C22" s="17">
        <f>'- 59 -'!E22</f>
        <v>16590128</v>
      </c>
      <c r="D22" s="17">
        <v>336390</v>
      </c>
      <c r="E22" s="17">
        <f t="shared" si="0"/>
        <v>16926518</v>
      </c>
      <c r="F22" s="17">
        <v>0</v>
      </c>
      <c r="G22" s="17">
        <f t="shared" si="1"/>
        <v>16926518</v>
      </c>
      <c r="H22" s="361">
        <f>G22/'- 44 -'!J22</f>
        <v>0.6804323712688164</v>
      </c>
    </row>
    <row r="23" spans="1:8" ht="12.75">
      <c r="A23" s="14">
        <v>15</v>
      </c>
      <c r="B23" s="15" t="s">
        <v>127</v>
      </c>
      <c r="C23" s="15">
        <f>'- 59 -'!E23</f>
        <v>23780974</v>
      </c>
      <c r="D23" s="15">
        <v>526000</v>
      </c>
      <c r="E23" s="15">
        <f t="shared" si="0"/>
        <v>24306974</v>
      </c>
      <c r="F23" s="15">
        <v>74469</v>
      </c>
      <c r="G23" s="15">
        <f t="shared" si="1"/>
        <v>24381443</v>
      </c>
      <c r="H23" s="360">
        <f>G23/'- 44 -'!J23</f>
        <v>0.6886316912934427</v>
      </c>
    </row>
    <row r="24" spans="1:8" ht="12.75">
      <c r="A24" s="16">
        <v>16</v>
      </c>
      <c r="B24" s="17" t="s">
        <v>128</v>
      </c>
      <c r="C24" s="17">
        <f>'- 59 -'!E24</f>
        <v>3773586</v>
      </c>
      <c r="D24" s="17">
        <v>87000</v>
      </c>
      <c r="E24" s="17">
        <f t="shared" si="0"/>
        <v>3860586</v>
      </c>
      <c r="F24" s="17">
        <v>5000</v>
      </c>
      <c r="G24" s="17">
        <f t="shared" si="1"/>
        <v>3865586</v>
      </c>
      <c r="H24" s="361">
        <f>G24/'- 44 -'!J24</f>
        <v>0.6002336907533771</v>
      </c>
    </row>
    <row r="25" spans="1:8" ht="12.75">
      <c r="A25" s="14">
        <v>17</v>
      </c>
      <c r="B25" s="15" t="s">
        <v>129</v>
      </c>
      <c r="C25" s="15">
        <f>'- 59 -'!E25</f>
        <v>2681222</v>
      </c>
      <c r="D25" s="15">
        <v>166895</v>
      </c>
      <c r="E25" s="15">
        <f t="shared" si="0"/>
        <v>2848117</v>
      </c>
      <c r="F25" s="15">
        <v>0</v>
      </c>
      <c r="G25" s="15">
        <f t="shared" si="1"/>
        <v>2848117</v>
      </c>
      <c r="H25" s="360">
        <f>G25/'- 44 -'!J25</f>
        <v>0.5961660229049801</v>
      </c>
    </row>
    <row r="26" spans="1:8" ht="12.75">
      <c r="A26" s="16">
        <v>18</v>
      </c>
      <c r="B26" s="17" t="s">
        <v>130</v>
      </c>
      <c r="C26" s="17">
        <f>'- 59 -'!E26</f>
        <v>5932429</v>
      </c>
      <c r="D26" s="17">
        <v>472824</v>
      </c>
      <c r="E26" s="17">
        <f t="shared" si="0"/>
        <v>6405253</v>
      </c>
      <c r="F26" s="17">
        <v>4000</v>
      </c>
      <c r="G26" s="17">
        <f t="shared" si="1"/>
        <v>6409253</v>
      </c>
      <c r="H26" s="361">
        <f>G26/'- 44 -'!J26</f>
        <v>0.6379681263439578</v>
      </c>
    </row>
    <row r="27" spans="1:8" ht="12.75">
      <c r="A27" s="14">
        <v>19</v>
      </c>
      <c r="B27" s="15" t="s">
        <v>131</v>
      </c>
      <c r="C27" s="15">
        <f>'- 59 -'!E27</f>
        <v>7937336</v>
      </c>
      <c r="D27" s="15">
        <v>301660</v>
      </c>
      <c r="E27" s="15">
        <f t="shared" si="0"/>
        <v>8238996</v>
      </c>
      <c r="F27" s="15">
        <v>4000</v>
      </c>
      <c r="G27" s="15">
        <f t="shared" si="1"/>
        <v>8242996</v>
      </c>
      <c r="H27" s="360">
        <f>G27/'- 44 -'!J27</f>
        <v>0.6352256408418767</v>
      </c>
    </row>
    <row r="28" spans="1:8" ht="12.75">
      <c r="A28" s="16">
        <v>20</v>
      </c>
      <c r="B28" s="17" t="s">
        <v>132</v>
      </c>
      <c r="C28" s="17">
        <f>'- 59 -'!E28</f>
        <v>4676610</v>
      </c>
      <c r="D28" s="17">
        <v>127000</v>
      </c>
      <c r="E28" s="17">
        <f t="shared" si="0"/>
        <v>4803610</v>
      </c>
      <c r="F28" s="17">
        <v>0</v>
      </c>
      <c r="G28" s="17">
        <f t="shared" si="1"/>
        <v>4803610</v>
      </c>
      <c r="H28" s="361">
        <f>G28/'- 44 -'!J28</f>
        <v>0.5868044523066012</v>
      </c>
    </row>
    <row r="29" spans="1:8" ht="12.75">
      <c r="A29" s="14">
        <v>21</v>
      </c>
      <c r="B29" s="15" t="s">
        <v>133</v>
      </c>
      <c r="C29" s="15">
        <f>'- 59 -'!E29</f>
        <v>14735145</v>
      </c>
      <c r="D29" s="15">
        <v>597200</v>
      </c>
      <c r="E29" s="15">
        <f t="shared" si="0"/>
        <v>15332345</v>
      </c>
      <c r="F29" s="15">
        <v>2000</v>
      </c>
      <c r="G29" s="15">
        <f t="shared" si="1"/>
        <v>15334345</v>
      </c>
      <c r="H29" s="360">
        <f>G29/'- 44 -'!J29</f>
        <v>0.6360159684778101</v>
      </c>
    </row>
    <row r="30" spans="1:8" ht="12.75">
      <c r="A30" s="16">
        <v>22</v>
      </c>
      <c r="B30" s="17" t="s">
        <v>134</v>
      </c>
      <c r="C30" s="17">
        <f>'- 59 -'!E30</f>
        <v>6443845</v>
      </c>
      <c r="D30" s="17">
        <v>323000</v>
      </c>
      <c r="E30" s="17">
        <f t="shared" si="0"/>
        <v>6766845</v>
      </c>
      <c r="F30" s="17">
        <v>0</v>
      </c>
      <c r="G30" s="17">
        <f t="shared" si="1"/>
        <v>6766845</v>
      </c>
      <c r="H30" s="361">
        <f>G30/'- 44 -'!J30</f>
        <v>0.5285399357114504</v>
      </c>
    </row>
    <row r="31" spans="1:8" ht="12.75">
      <c r="A31" s="14">
        <v>23</v>
      </c>
      <c r="B31" s="15" t="s">
        <v>135</v>
      </c>
      <c r="C31" s="15">
        <f>'- 59 -'!E31</f>
        <v>7174676</v>
      </c>
      <c r="D31" s="15">
        <v>172000</v>
      </c>
      <c r="E31" s="15">
        <f t="shared" si="0"/>
        <v>7346676</v>
      </c>
      <c r="F31" s="15">
        <v>0</v>
      </c>
      <c r="G31" s="15">
        <f t="shared" si="1"/>
        <v>7346676</v>
      </c>
      <c r="H31" s="360">
        <f>G31/'- 44 -'!J31</f>
        <v>0.7033143390836866</v>
      </c>
    </row>
    <row r="32" spans="1:8" ht="12.75">
      <c r="A32" s="16">
        <v>24</v>
      </c>
      <c r="B32" s="17" t="s">
        <v>136</v>
      </c>
      <c r="C32" s="17">
        <f>'- 59 -'!E32</f>
        <v>14359941</v>
      </c>
      <c r="D32" s="17">
        <v>389700</v>
      </c>
      <c r="E32" s="17">
        <f t="shared" si="0"/>
        <v>14749641</v>
      </c>
      <c r="F32" s="17">
        <v>0</v>
      </c>
      <c r="G32" s="17">
        <f t="shared" si="1"/>
        <v>14749641</v>
      </c>
      <c r="H32" s="361">
        <f>G32/'- 44 -'!J32</f>
        <v>0.6250366714762466</v>
      </c>
    </row>
    <row r="33" spans="1:8" ht="12.75">
      <c r="A33" s="14">
        <v>25</v>
      </c>
      <c r="B33" s="15" t="s">
        <v>137</v>
      </c>
      <c r="C33" s="15">
        <f>'- 59 -'!E33</f>
        <v>6169225</v>
      </c>
      <c r="D33" s="15">
        <v>468690</v>
      </c>
      <c r="E33" s="15">
        <f t="shared" si="0"/>
        <v>6637915</v>
      </c>
      <c r="F33" s="15">
        <v>3100</v>
      </c>
      <c r="G33" s="15">
        <f t="shared" si="1"/>
        <v>6641015</v>
      </c>
      <c r="H33" s="360">
        <f>G33/'- 44 -'!J33</f>
        <v>0.6151848320088811</v>
      </c>
    </row>
    <row r="34" spans="1:8" ht="12.75">
      <c r="A34" s="16">
        <v>26</v>
      </c>
      <c r="B34" s="17" t="s">
        <v>138</v>
      </c>
      <c r="C34" s="17">
        <f>'- 59 -'!E34</f>
        <v>11690267</v>
      </c>
      <c r="D34" s="17">
        <v>290000</v>
      </c>
      <c r="E34" s="17">
        <f t="shared" si="0"/>
        <v>11980267</v>
      </c>
      <c r="F34" s="17">
        <v>8000</v>
      </c>
      <c r="G34" s="17">
        <f t="shared" si="1"/>
        <v>11988267</v>
      </c>
      <c r="H34" s="361">
        <f>G34/'- 44 -'!J34</f>
        <v>0.6784428894028596</v>
      </c>
    </row>
    <row r="35" spans="1:8" ht="12.75">
      <c r="A35" s="14">
        <v>28</v>
      </c>
      <c r="B35" s="15" t="s">
        <v>139</v>
      </c>
      <c r="C35" s="15">
        <f>'- 59 -'!E35</f>
        <v>4294998</v>
      </c>
      <c r="D35" s="15">
        <v>95000</v>
      </c>
      <c r="E35" s="15">
        <f t="shared" si="0"/>
        <v>4389998</v>
      </c>
      <c r="F35" s="15">
        <v>5000</v>
      </c>
      <c r="G35" s="15">
        <f t="shared" si="1"/>
        <v>4394998</v>
      </c>
      <c r="H35" s="360">
        <f>G35/'- 44 -'!J35</f>
        <v>0.6740279653486589</v>
      </c>
    </row>
    <row r="36" spans="1:8" ht="12.75">
      <c r="A36" s="16">
        <v>30</v>
      </c>
      <c r="B36" s="17" t="s">
        <v>140</v>
      </c>
      <c r="C36" s="17">
        <f>'- 59 -'!E36</f>
        <v>6336110</v>
      </c>
      <c r="D36" s="17">
        <v>140825</v>
      </c>
      <c r="E36" s="17">
        <f t="shared" si="0"/>
        <v>6476935</v>
      </c>
      <c r="F36" s="17">
        <v>0</v>
      </c>
      <c r="G36" s="17">
        <f t="shared" si="1"/>
        <v>6476935</v>
      </c>
      <c r="H36" s="361">
        <f>G36/'- 44 -'!J36</f>
        <v>0.6401699664858714</v>
      </c>
    </row>
    <row r="37" spans="1:8" ht="12.75">
      <c r="A37" s="14">
        <v>31</v>
      </c>
      <c r="B37" s="15" t="s">
        <v>141</v>
      </c>
      <c r="C37" s="15">
        <f>'- 59 -'!E37</f>
        <v>6647928</v>
      </c>
      <c r="D37" s="15">
        <v>168500</v>
      </c>
      <c r="E37" s="15">
        <f t="shared" si="0"/>
        <v>6816428</v>
      </c>
      <c r="F37" s="15">
        <v>1400</v>
      </c>
      <c r="G37" s="15">
        <f t="shared" si="1"/>
        <v>6817828</v>
      </c>
      <c r="H37" s="360">
        <f>G37/'- 44 -'!J37</f>
        <v>0.6108378886014308</v>
      </c>
    </row>
    <row r="38" spans="1:8" ht="12.75">
      <c r="A38" s="16">
        <v>32</v>
      </c>
      <c r="B38" s="17" t="s">
        <v>142</v>
      </c>
      <c r="C38" s="17">
        <f>'- 59 -'!E38</f>
        <v>4781743</v>
      </c>
      <c r="D38" s="17">
        <v>107240</v>
      </c>
      <c r="E38" s="17">
        <f t="shared" si="0"/>
        <v>4888983</v>
      </c>
      <c r="F38" s="17">
        <v>0</v>
      </c>
      <c r="G38" s="17">
        <f t="shared" si="1"/>
        <v>4888983</v>
      </c>
      <c r="H38" s="361">
        <f>G38/'- 44 -'!J38</f>
        <v>0.6896607517483504</v>
      </c>
    </row>
    <row r="39" spans="1:8" ht="12.75">
      <c r="A39" s="14">
        <v>33</v>
      </c>
      <c r="B39" s="15" t="s">
        <v>143</v>
      </c>
      <c r="C39" s="15">
        <f>'- 59 -'!E39</f>
        <v>8508119</v>
      </c>
      <c r="D39" s="15">
        <v>234668</v>
      </c>
      <c r="E39" s="15">
        <f t="shared" si="0"/>
        <v>8742787</v>
      </c>
      <c r="F39" s="15">
        <v>27000</v>
      </c>
      <c r="G39" s="15">
        <f t="shared" si="1"/>
        <v>8769787</v>
      </c>
      <c r="H39" s="360">
        <f>G39/'- 44 -'!J39</f>
        <v>0.634363930912401</v>
      </c>
    </row>
    <row r="40" spans="1:8" ht="12.75">
      <c r="A40" s="16">
        <v>34</v>
      </c>
      <c r="B40" s="17" t="s">
        <v>144</v>
      </c>
      <c r="C40" s="17">
        <f>'- 59 -'!E40</f>
        <v>4274144</v>
      </c>
      <c r="D40" s="17">
        <v>89237</v>
      </c>
      <c r="E40" s="17">
        <f t="shared" si="0"/>
        <v>4363381</v>
      </c>
      <c r="F40" s="17">
        <v>0</v>
      </c>
      <c r="G40" s="17">
        <f t="shared" si="1"/>
        <v>4363381</v>
      </c>
      <c r="H40" s="361">
        <f>G40/'- 44 -'!J40</f>
        <v>0.7528806861641654</v>
      </c>
    </row>
    <row r="41" spans="1:8" ht="12.75">
      <c r="A41" s="14">
        <v>35</v>
      </c>
      <c r="B41" s="15" t="s">
        <v>145</v>
      </c>
      <c r="C41" s="15">
        <f>'- 59 -'!E41</f>
        <v>9010408</v>
      </c>
      <c r="D41" s="15">
        <v>237363</v>
      </c>
      <c r="E41" s="15">
        <f t="shared" si="0"/>
        <v>9247771</v>
      </c>
      <c r="F41" s="15">
        <v>36366</v>
      </c>
      <c r="G41" s="15">
        <f t="shared" si="1"/>
        <v>9284137</v>
      </c>
      <c r="H41" s="360">
        <f>G41/'- 44 -'!J41</f>
        <v>0.6315724418343222</v>
      </c>
    </row>
    <row r="42" spans="1:8" ht="12.75">
      <c r="A42" s="16">
        <v>36</v>
      </c>
      <c r="B42" s="17" t="s">
        <v>146</v>
      </c>
      <c r="C42" s="17">
        <f>'- 59 -'!E42</f>
        <v>4512645</v>
      </c>
      <c r="D42" s="17">
        <v>137356</v>
      </c>
      <c r="E42" s="17">
        <f t="shared" si="0"/>
        <v>4650001</v>
      </c>
      <c r="F42" s="17">
        <v>0</v>
      </c>
      <c r="G42" s="17">
        <f t="shared" si="1"/>
        <v>4650001</v>
      </c>
      <c r="H42" s="361">
        <f>G42/'- 44 -'!J42</f>
        <v>0.6013081099506513</v>
      </c>
    </row>
    <row r="43" spans="1:8" ht="12.75">
      <c r="A43" s="14">
        <v>37</v>
      </c>
      <c r="B43" s="15" t="s">
        <v>147</v>
      </c>
      <c r="C43" s="15">
        <f>'- 59 -'!E43</f>
        <v>4248778</v>
      </c>
      <c r="D43" s="15">
        <v>97600</v>
      </c>
      <c r="E43" s="15">
        <f t="shared" si="0"/>
        <v>4346378</v>
      </c>
      <c r="F43" s="15">
        <v>2000</v>
      </c>
      <c r="G43" s="15">
        <f t="shared" si="1"/>
        <v>4348378</v>
      </c>
      <c r="H43" s="360">
        <f>G43/'- 44 -'!J43</f>
        <v>0.6266062594656441</v>
      </c>
    </row>
    <row r="44" spans="1:8" ht="12.75">
      <c r="A44" s="16">
        <v>38</v>
      </c>
      <c r="B44" s="17" t="s">
        <v>148</v>
      </c>
      <c r="C44" s="17">
        <f>'- 59 -'!E44</f>
        <v>5190150</v>
      </c>
      <c r="D44" s="17">
        <v>140506</v>
      </c>
      <c r="E44" s="17">
        <f t="shared" si="0"/>
        <v>5330656</v>
      </c>
      <c r="F44" s="17">
        <v>0</v>
      </c>
      <c r="G44" s="17">
        <f t="shared" si="1"/>
        <v>5330656</v>
      </c>
      <c r="H44" s="361">
        <f>G44/'- 44 -'!J44</f>
        <v>0.5753581028514391</v>
      </c>
    </row>
    <row r="45" spans="1:8" ht="12.75">
      <c r="A45" s="14">
        <v>39</v>
      </c>
      <c r="B45" s="15" t="s">
        <v>149</v>
      </c>
      <c r="C45" s="15">
        <f>'- 59 -'!E45</f>
        <v>9032709</v>
      </c>
      <c r="D45" s="15">
        <v>265000</v>
      </c>
      <c r="E45" s="15">
        <f t="shared" si="0"/>
        <v>9297709</v>
      </c>
      <c r="F45" s="15">
        <v>10000</v>
      </c>
      <c r="G45" s="15">
        <f t="shared" si="1"/>
        <v>9307709</v>
      </c>
      <c r="H45" s="360">
        <f>G45/'- 44 -'!J45</f>
        <v>0.5778188951692755</v>
      </c>
    </row>
    <row r="46" spans="1:8" ht="12.75">
      <c r="A46" s="16">
        <v>40</v>
      </c>
      <c r="B46" s="17" t="s">
        <v>150</v>
      </c>
      <c r="C46" s="17">
        <f>'- 59 -'!E46</f>
        <v>27124700</v>
      </c>
      <c r="D46" s="17">
        <v>891300</v>
      </c>
      <c r="E46" s="17">
        <f t="shared" si="0"/>
        <v>28016000</v>
      </c>
      <c r="F46" s="17">
        <v>0</v>
      </c>
      <c r="G46" s="17">
        <f t="shared" si="1"/>
        <v>28016000</v>
      </c>
      <c r="H46" s="361">
        <f>G46/'- 44 -'!J46</f>
        <v>0.5946415192055032</v>
      </c>
    </row>
    <row r="47" spans="1:8" ht="12.75">
      <c r="A47" s="14">
        <v>41</v>
      </c>
      <c r="B47" s="15" t="s">
        <v>151</v>
      </c>
      <c r="C47" s="15">
        <f>'- 59 -'!E47</f>
        <v>6813674</v>
      </c>
      <c r="D47" s="15">
        <v>257000</v>
      </c>
      <c r="E47" s="15">
        <f t="shared" si="0"/>
        <v>7070674</v>
      </c>
      <c r="F47" s="15">
        <v>48700</v>
      </c>
      <c r="G47" s="15">
        <f t="shared" si="1"/>
        <v>7119374</v>
      </c>
      <c r="H47" s="360">
        <f>G47/'- 44 -'!J47</f>
        <v>0.5661392255584079</v>
      </c>
    </row>
    <row r="48" spans="1:8" ht="12.75">
      <c r="A48" s="16">
        <v>42</v>
      </c>
      <c r="B48" s="17" t="s">
        <v>152</v>
      </c>
      <c r="C48" s="17">
        <f>'- 59 -'!E48</f>
        <v>4666241</v>
      </c>
      <c r="D48" s="17">
        <v>130238</v>
      </c>
      <c r="E48" s="17">
        <f t="shared" si="0"/>
        <v>4796479</v>
      </c>
      <c r="F48" s="17">
        <v>0</v>
      </c>
      <c r="G48" s="17">
        <f t="shared" si="1"/>
        <v>4796479</v>
      </c>
      <c r="H48" s="361">
        <f>G48/'- 44 -'!J48</f>
        <v>0.5857086702969</v>
      </c>
    </row>
    <row r="49" spans="1:8" ht="12.75">
      <c r="A49" s="14">
        <v>43</v>
      </c>
      <c r="B49" s="15" t="s">
        <v>153</v>
      </c>
      <c r="C49" s="15">
        <f>'- 59 -'!E49</f>
        <v>3377254</v>
      </c>
      <c r="D49" s="15">
        <v>115000</v>
      </c>
      <c r="E49" s="15">
        <f t="shared" si="0"/>
        <v>3492254</v>
      </c>
      <c r="F49" s="15">
        <v>22500</v>
      </c>
      <c r="G49" s="15">
        <f t="shared" si="1"/>
        <v>3514754</v>
      </c>
      <c r="H49" s="360">
        <f>G49/'- 44 -'!J49</f>
        <v>0.5470360167885664</v>
      </c>
    </row>
    <row r="50" spans="1:8" ht="12.75">
      <c r="A50" s="16">
        <v>44</v>
      </c>
      <c r="B50" s="17" t="s">
        <v>154</v>
      </c>
      <c r="C50" s="17">
        <f>'- 59 -'!E50</f>
        <v>5279024</v>
      </c>
      <c r="D50" s="17">
        <v>408000</v>
      </c>
      <c r="E50" s="17">
        <f t="shared" si="0"/>
        <v>5687024</v>
      </c>
      <c r="F50" s="17">
        <v>640</v>
      </c>
      <c r="G50" s="17">
        <f t="shared" si="1"/>
        <v>5687664</v>
      </c>
      <c r="H50" s="361">
        <f>G50/'- 44 -'!J50</f>
        <v>0.6022338605449776</v>
      </c>
    </row>
    <row r="51" spans="1:8" ht="12.75">
      <c r="A51" s="14">
        <v>45</v>
      </c>
      <c r="B51" s="15" t="s">
        <v>155</v>
      </c>
      <c r="C51" s="15">
        <f>'- 59 -'!E51</f>
        <v>8332477</v>
      </c>
      <c r="D51" s="15">
        <v>380000</v>
      </c>
      <c r="E51" s="15">
        <f t="shared" si="0"/>
        <v>8712477</v>
      </c>
      <c r="F51" s="15">
        <v>7500</v>
      </c>
      <c r="G51" s="15">
        <f t="shared" si="1"/>
        <v>8719977</v>
      </c>
      <c r="H51" s="360">
        <f>G51/'- 44 -'!J51</f>
        <v>0.7259020084646058</v>
      </c>
    </row>
    <row r="52" spans="1:8" ht="12.75">
      <c r="A52" s="16">
        <v>46</v>
      </c>
      <c r="B52" s="17" t="s">
        <v>156</v>
      </c>
      <c r="C52" s="17">
        <f>'- 59 -'!E52</f>
        <v>6267026</v>
      </c>
      <c r="D52" s="17">
        <v>175000</v>
      </c>
      <c r="E52" s="17">
        <f t="shared" si="0"/>
        <v>6442026</v>
      </c>
      <c r="F52" s="17">
        <v>16000</v>
      </c>
      <c r="G52" s="17">
        <f t="shared" si="1"/>
        <v>6458026</v>
      </c>
      <c r="H52" s="361">
        <f>G52/'- 44 -'!J52</f>
        <v>0.5992670004905098</v>
      </c>
    </row>
    <row r="53" spans="1:8" ht="12.75">
      <c r="A53" s="14">
        <v>47</v>
      </c>
      <c r="B53" s="15" t="s">
        <v>157</v>
      </c>
      <c r="C53" s="15">
        <f>'- 59 -'!E53</f>
        <v>5731571</v>
      </c>
      <c r="D53" s="15">
        <v>329021</v>
      </c>
      <c r="E53" s="15">
        <f t="shared" si="0"/>
        <v>6060592</v>
      </c>
      <c r="F53" s="15">
        <v>7500</v>
      </c>
      <c r="G53" s="15">
        <f t="shared" si="1"/>
        <v>6068092</v>
      </c>
      <c r="H53" s="360">
        <f>G53/'- 44 -'!J53</f>
        <v>0.6151526382632927</v>
      </c>
    </row>
    <row r="54" spans="1:8" ht="12.75">
      <c r="A54" s="16">
        <v>48</v>
      </c>
      <c r="B54" s="17" t="s">
        <v>158</v>
      </c>
      <c r="C54" s="17">
        <f>'- 59 -'!E54</f>
        <v>20890132</v>
      </c>
      <c r="D54" s="17">
        <v>7506166</v>
      </c>
      <c r="E54" s="17">
        <f t="shared" si="0"/>
        <v>28396298</v>
      </c>
      <c r="F54" s="17">
        <v>838380</v>
      </c>
      <c r="G54" s="17">
        <f t="shared" si="1"/>
        <v>29234678</v>
      </c>
      <c r="H54" s="361">
        <f>G54/'- 44 -'!J54</f>
        <v>0.4545104851834324</v>
      </c>
    </row>
    <row r="55" spans="1:8" ht="12.75">
      <c r="A55" s="14">
        <v>49</v>
      </c>
      <c r="B55" s="15" t="s">
        <v>159</v>
      </c>
      <c r="C55" s="15">
        <f>'- 59 -'!E55</f>
        <v>20771075</v>
      </c>
      <c r="D55" s="15">
        <v>2733800</v>
      </c>
      <c r="E55" s="15">
        <f t="shared" si="0"/>
        <v>23504875</v>
      </c>
      <c r="F55" s="15">
        <v>25000</v>
      </c>
      <c r="G55" s="15">
        <f t="shared" si="1"/>
        <v>23529875</v>
      </c>
      <c r="H55" s="360">
        <f>G55/'- 44 -'!J55</f>
        <v>0.6336643728863997</v>
      </c>
    </row>
    <row r="56" spans="1:8" ht="12.75">
      <c r="A56" s="16">
        <v>50</v>
      </c>
      <c r="B56" s="17" t="s">
        <v>340</v>
      </c>
      <c r="C56" s="17">
        <f>'- 59 -'!E56</f>
        <v>8836597</v>
      </c>
      <c r="D56" s="17">
        <v>220000</v>
      </c>
      <c r="E56" s="17">
        <f t="shared" si="0"/>
        <v>9056597</v>
      </c>
      <c r="F56" s="17">
        <v>0</v>
      </c>
      <c r="G56" s="17">
        <f t="shared" si="1"/>
        <v>9056597</v>
      </c>
      <c r="H56" s="361">
        <f>G56/'- 44 -'!J56</f>
        <v>0.6140898426905343</v>
      </c>
    </row>
    <row r="57" spans="1:8" ht="12.75">
      <c r="A57" s="14">
        <v>2264</v>
      </c>
      <c r="B57" s="15" t="s">
        <v>160</v>
      </c>
      <c r="C57" s="15">
        <f>'- 59 -'!E57</f>
        <v>1278828</v>
      </c>
      <c r="D57" s="15">
        <v>96000</v>
      </c>
      <c r="E57" s="15">
        <f t="shared" si="0"/>
        <v>1374828</v>
      </c>
      <c r="F57" s="15">
        <v>0</v>
      </c>
      <c r="G57" s="15">
        <f t="shared" si="1"/>
        <v>1374828</v>
      </c>
      <c r="H57" s="360">
        <f>G57/'- 44 -'!J57</f>
        <v>0.7013169063515123</v>
      </c>
    </row>
    <row r="58" spans="1:8" ht="12.75">
      <c r="A58" s="16">
        <v>2309</v>
      </c>
      <c r="B58" s="17" t="s">
        <v>161</v>
      </c>
      <c r="C58" s="17">
        <f>'- 59 -'!E58</f>
        <v>1511061</v>
      </c>
      <c r="D58" s="17">
        <v>20000</v>
      </c>
      <c r="E58" s="17">
        <f t="shared" si="0"/>
        <v>1531061</v>
      </c>
      <c r="F58" s="17">
        <v>0</v>
      </c>
      <c r="G58" s="17">
        <f t="shared" si="1"/>
        <v>1531061</v>
      </c>
      <c r="H58" s="361">
        <f>G58/'- 44 -'!J58</f>
        <v>0.7240938664457109</v>
      </c>
    </row>
    <row r="59" spans="1:8" ht="12.75">
      <c r="A59" s="14">
        <v>2312</v>
      </c>
      <c r="B59" s="15" t="s">
        <v>162</v>
      </c>
      <c r="C59" s="15">
        <f>'- 59 -'!E59</f>
        <v>1403268</v>
      </c>
      <c r="D59" s="15">
        <v>15000</v>
      </c>
      <c r="E59" s="15">
        <f t="shared" si="0"/>
        <v>1418268</v>
      </c>
      <c r="F59" s="15">
        <v>0</v>
      </c>
      <c r="G59" s="15">
        <f t="shared" si="1"/>
        <v>1418268</v>
      </c>
      <c r="H59" s="360">
        <f>G59/'- 44 -'!J59</f>
        <v>0.9095729534627787</v>
      </c>
    </row>
    <row r="60" spans="1:8" ht="12.75">
      <c r="A60" s="16">
        <v>2355</v>
      </c>
      <c r="B60" s="17" t="s">
        <v>163</v>
      </c>
      <c r="C60" s="17">
        <f>'- 59 -'!E60</f>
        <v>16804953</v>
      </c>
      <c r="D60" s="17">
        <v>395000</v>
      </c>
      <c r="E60" s="17">
        <f t="shared" si="0"/>
        <v>17199953</v>
      </c>
      <c r="F60" s="17">
        <v>0</v>
      </c>
      <c r="G60" s="17">
        <f t="shared" si="1"/>
        <v>17199953</v>
      </c>
      <c r="H60" s="361">
        <f>G60/'- 44 -'!J60</f>
        <v>0.668545219084033</v>
      </c>
    </row>
    <row r="61" spans="1:8" ht="12.75">
      <c r="A61" s="14">
        <v>2439</v>
      </c>
      <c r="B61" s="15" t="s">
        <v>164</v>
      </c>
      <c r="C61" s="15">
        <f>'- 59 -'!E61</f>
        <v>976944</v>
      </c>
      <c r="D61" s="15">
        <v>0</v>
      </c>
      <c r="E61" s="15">
        <f t="shared" si="0"/>
        <v>976944</v>
      </c>
      <c r="F61" s="15">
        <v>0</v>
      </c>
      <c r="G61" s="15">
        <f t="shared" si="1"/>
        <v>976944</v>
      </c>
      <c r="H61" s="360">
        <f>G61/'- 44 -'!J61</f>
        <v>0.7191189882586239</v>
      </c>
    </row>
    <row r="62" spans="1:8" ht="12.75">
      <c r="A62" s="16">
        <v>2460</v>
      </c>
      <c r="B62" s="17" t="s">
        <v>165</v>
      </c>
      <c r="C62" s="17">
        <f>'- 59 -'!E62</f>
        <v>1891646</v>
      </c>
      <c r="D62" s="17">
        <v>35000</v>
      </c>
      <c r="E62" s="17">
        <f t="shared" si="0"/>
        <v>1926646</v>
      </c>
      <c r="F62" s="17">
        <v>112000</v>
      </c>
      <c r="G62" s="17">
        <f t="shared" si="1"/>
        <v>2038646</v>
      </c>
      <c r="H62" s="361">
        <f>G62/'- 44 -'!J62</f>
        <v>0.9466021806740755</v>
      </c>
    </row>
    <row r="63" spans="1:8" ht="12.75">
      <c r="A63" s="14">
        <v>3000</v>
      </c>
      <c r="B63" s="15" t="s">
        <v>363</v>
      </c>
      <c r="C63" s="15">
        <f>'- 59 -'!E63</f>
        <v>660650</v>
      </c>
      <c r="D63" s="15">
        <v>74800</v>
      </c>
      <c r="E63" s="15">
        <f t="shared" si="0"/>
        <v>735450</v>
      </c>
      <c r="F63" s="15">
        <v>453500</v>
      </c>
      <c r="G63" s="15">
        <f t="shared" si="1"/>
        <v>1188950</v>
      </c>
      <c r="H63" s="360">
        <f>G63/'- 44 -'!J63</f>
        <v>0.18215732988103356</v>
      </c>
    </row>
    <row r="64" spans="1:8" ht="4.5" customHeight="1">
      <c r="A64" s="18"/>
      <c r="B64" s="18"/>
      <c r="C64" s="18"/>
      <c r="D64" s="18"/>
      <c r="E64" s="18"/>
      <c r="F64" s="18"/>
      <c r="G64" s="18"/>
      <c r="H64" s="198"/>
    </row>
    <row r="65" spans="1:8" ht="12.75">
      <c r="A65" s="20"/>
      <c r="B65" s="21" t="s">
        <v>166</v>
      </c>
      <c r="C65" s="21">
        <f>SUM(C11:C63)</f>
        <v>746806614</v>
      </c>
      <c r="D65" s="21">
        <f>SUM(D11:D63)</f>
        <v>39858374</v>
      </c>
      <c r="E65" s="21">
        <f>SUM(E11:E63)</f>
        <v>786664988</v>
      </c>
      <c r="F65" s="21">
        <f>SUM(F11:F63)</f>
        <v>3752638</v>
      </c>
      <c r="G65" s="21">
        <f>SUM(G11:G63)</f>
        <v>790417626</v>
      </c>
      <c r="H65" s="103">
        <f>G65/'- 44 -'!$J65</f>
        <v>0.5754870134272885</v>
      </c>
    </row>
    <row r="66" spans="1:8" ht="4.5" customHeight="1">
      <c r="A66" s="18"/>
      <c r="B66" s="18"/>
      <c r="C66" s="18"/>
      <c r="D66" s="18"/>
      <c r="E66" s="18"/>
      <c r="F66" s="18"/>
      <c r="G66" s="18"/>
      <c r="H66" s="198"/>
    </row>
    <row r="67" spans="1:8" ht="12.75">
      <c r="A67" s="16">
        <v>2155</v>
      </c>
      <c r="B67" s="17" t="s">
        <v>167</v>
      </c>
      <c r="C67" s="17">
        <f>'- 59 -'!E67</f>
        <v>230150</v>
      </c>
      <c r="D67" s="17">
        <v>0</v>
      </c>
      <c r="E67" s="17">
        <f>SUM(C67,D67)</f>
        <v>230150</v>
      </c>
      <c r="F67" s="17">
        <v>0</v>
      </c>
      <c r="G67" s="17">
        <f>SUM(E67,F67)</f>
        <v>230150</v>
      </c>
      <c r="H67" s="361">
        <f>G67/'- 44 -'!J67</f>
        <v>0.16410883164351983</v>
      </c>
    </row>
    <row r="68" spans="1:8" ht="12.75">
      <c r="A68" s="14">
        <v>2408</v>
      </c>
      <c r="B68" s="15" t="s">
        <v>169</v>
      </c>
      <c r="C68" s="15">
        <f>'- 59 -'!E68</f>
        <v>420795</v>
      </c>
      <c r="D68" s="15">
        <v>38000</v>
      </c>
      <c r="E68" s="15">
        <f>SUM(C68,D68)</f>
        <v>458795</v>
      </c>
      <c r="F68" s="15">
        <v>3500</v>
      </c>
      <c r="G68" s="15">
        <f>SUM(E68,F68)</f>
        <v>462295</v>
      </c>
      <c r="H68" s="360">
        <f>G68/'- 44 -'!J68</f>
        <v>0.19823418300947873</v>
      </c>
    </row>
    <row r="69" ht="6.75" customHeight="1"/>
    <row r="70" spans="1:8" ht="12" customHeight="1">
      <c r="A70" s="396" t="s">
        <v>351</v>
      </c>
      <c r="B70" s="271" t="s">
        <v>450</v>
      </c>
      <c r="D70" s="124"/>
      <c r="E70" s="183"/>
      <c r="F70" s="183"/>
      <c r="G70" s="183"/>
      <c r="H70" s="183"/>
    </row>
    <row r="71" spans="1:8" ht="12" customHeight="1">
      <c r="A71" s="396" t="s">
        <v>352</v>
      </c>
      <c r="B71" s="271" t="s">
        <v>444</v>
      </c>
      <c r="D71" s="124"/>
      <c r="E71" s="183"/>
      <c r="F71" s="183"/>
      <c r="G71" s="183"/>
      <c r="H71" s="183"/>
    </row>
    <row r="72" spans="1:8" ht="12" customHeight="1">
      <c r="A72" s="396" t="s">
        <v>353</v>
      </c>
      <c r="B72" s="271" t="s">
        <v>325</v>
      </c>
      <c r="D72" s="124"/>
      <c r="E72" s="183"/>
      <c r="F72" s="183"/>
      <c r="G72" s="183"/>
      <c r="H72" s="183"/>
    </row>
    <row r="73" spans="1:8" ht="12" customHeight="1">
      <c r="A73" s="7"/>
      <c r="B73" s="7"/>
      <c r="D73" s="124"/>
      <c r="E73" s="123"/>
      <c r="F73" s="123"/>
      <c r="G73" s="123"/>
      <c r="H73" s="123"/>
    </row>
    <row r="74" spans="1:8" ht="12" customHeight="1">
      <c r="A74" s="7"/>
      <c r="B74" s="7"/>
      <c r="D74" s="174"/>
      <c r="E74" s="129"/>
      <c r="F74" s="129"/>
      <c r="G74" s="129"/>
      <c r="H74" s="129"/>
    </row>
    <row r="75" spans="3:8" ht="12" customHeight="1">
      <c r="C75" s="129"/>
      <c r="D75" s="129"/>
      <c r="E75" s="129"/>
      <c r="F75" s="129"/>
      <c r="G75" s="129"/>
      <c r="H75" s="129"/>
    </row>
    <row r="76" spans="3:8" ht="12.75">
      <c r="C76" s="129"/>
      <c r="D76" s="129"/>
      <c r="E76" s="129"/>
      <c r="F76" s="129"/>
      <c r="G76" s="174"/>
      <c r="H76" s="174"/>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2.83203125" style="82" customWidth="1"/>
    <col min="3" max="3" width="16.83203125" style="82" customWidth="1"/>
    <col min="4" max="4" width="8.83203125" style="82" customWidth="1"/>
    <col min="5" max="5" width="15.83203125" style="82" customWidth="1"/>
    <col min="6" max="6" width="8.83203125" style="82" customWidth="1"/>
    <col min="7" max="7" width="15.83203125" style="82" customWidth="1"/>
    <col min="8" max="8" width="8.83203125" style="82" customWidth="1"/>
    <col min="9" max="9" width="15.83203125" style="82" customWidth="1"/>
    <col min="10" max="10" width="8.83203125" style="82" customWidth="1"/>
    <col min="11" max="16384" width="15.83203125" style="82" customWidth="1"/>
  </cols>
  <sheetData>
    <row r="1" spans="1:2" ht="6.75" customHeight="1">
      <c r="A1" s="18"/>
      <c r="B1" s="80"/>
    </row>
    <row r="2" spans="1:10" ht="12.75">
      <c r="A2" s="12"/>
      <c r="B2" s="106"/>
      <c r="C2" s="107" t="str">
        <f>REVYEAR</f>
        <v>ANALYSIS OF OPERATING FUND REVENUE: 2002/2003 BUDGET</v>
      </c>
      <c r="D2" s="107"/>
      <c r="E2" s="107"/>
      <c r="F2" s="107"/>
      <c r="G2" s="107"/>
      <c r="H2" s="347"/>
      <c r="I2" s="347"/>
      <c r="J2" s="108" t="s">
        <v>4</v>
      </c>
    </row>
    <row r="3" spans="1:2" ht="12.75">
      <c r="A3" s="13"/>
      <c r="B3" s="109"/>
    </row>
    <row r="4" spans="1:10" ht="12.75">
      <c r="A4" s="11"/>
      <c r="C4" s="142"/>
      <c r="D4" s="142"/>
      <c r="E4" s="142"/>
      <c r="F4" s="142"/>
      <c r="G4" s="142"/>
      <c r="H4" s="142"/>
      <c r="I4" s="142"/>
      <c r="J4" s="153"/>
    </row>
    <row r="5" spans="1:10" ht="12.75">
      <c r="A5" s="11"/>
      <c r="C5" s="57"/>
      <c r="D5" s="142"/>
      <c r="E5" s="142"/>
      <c r="F5" s="142"/>
      <c r="G5" s="142"/>
      <c r="H5" s="142"/>
      <c r="I5" s="142"/>
      <c r="J5" s="142"/>
    </row>
    <row r="6" spans="1:10" ht="12.75">
      <c r="A6" s="11"/>
      <c r="C6" s="142"/>
      <c r="D6" s="142"/>
      <c r="E6" s="142"/>
      <c r="F6" s="142"/>
      <c r="G6" s="142"/>
      <c r="H6" s="142"/>
      <c r="I6" s="142"/>
      <c r="J6" s="142"/>
    </row>
    <row r="7" spans="1:10" ht="12.75">
      <c r="A7" s="18"/>
      <c r="C7" s="68" t="s">
        <v>185</v>
      </c>
      <c r="D7" s="67"/>
      <c r="E7" s="66" t="s">
        <v>186</v>
      </c>
      <c r="F7" s="67"/>
      <c r="G7" s="66" t="s">
        <v>187</v>
      </c>
      <c r="H7" s="67"/>
      <c r="I7" s="184"/>
      <c r="J7" s="67"/>
    </row>
    <row r="8" spans="1:10" ht="12.75">
      <c r="A8" s="94"/>
      <c r="B8" s="46"/>
      <c r="C8" s="69" t="s">
        <v>207</v>
      </c>
      <c r="D8" s="71"/>
      <c r="E8" s="70" t="s">
        <v>207</v>
      </c>
      <c r="F8" s="71"/>
      <c r="G8" s="70" t="s">
        <v>208</v>
      </c>
      <c r="H8" s="71"/>
      <c r="I8" s="70" t="s">
        <v>209</v>
      </c>
      <c r="J8" s="71"/>
    </row>
    <row r="9" spans="1:10" ht="12.75">
      <c r="A9" s="52" t="s">
        <v>100</v>
      </c>
      <c r="B9" s="53" t="s">
        <v>101</v>
      </c>
      <c r="C9" s="154" t="s">
        <v>211</v>
      </c>
      <c r="D9" s="154" t="s">
        <v>103</v>
      </c>
      <c r="E9" s="154" t="s">
        <v>211</v>
      </c>
      <c r="F9" s="154" t="s">
        <v>103</v>
      </c>
      <c r="G9" s="154" t="s">
        <v>211</v>
      </c>
      <c r="H9" s="154" t="s">
        <v>103</v>
      </c>
      <c r="I9" s="187" t="s">
        <v>211</v>
      </c>
      <c r="J9" s="187" t="s">
        <v>103</v>
      </c>
    </row>
    <row r="10" spans="1:10" ht="4.5" customHeight="1">
      <c r="A10" s="77"/>
      <c r="B10" s="77"/>
      <c r="C10" s="148"/>
      <c r="D10" s="148"/>
      <c r="E10" s="148"/>
      <c r="F10" s="148"/>
      <c r="G10" s="148"/>
      <c r="H10" s="148"/>
      <c r="I10" s="148"/>
      <c r="J10" s="148"/>
    </row>
    <row r="11" spans="1:10" ht="12.75">
      <c r="A11" s="14">
        <v>1</v>
      </c>
      <c r="B11" s="15" t="s">
        <v>115</v>
      </c>
      <c r="C11" s="15">
        <v>12000</v>
      </c>
      <c r="D11" s="360">
        <f>C11/'- 44 -'!J11</f>
        <v>4.6833197712198295E-05</v>
      </c>
      <c r="E11" s="15">
        <v>114877800</v>
      </c>
      <c r="F11" s="360">
        <f>E11/'- 44 -'!J11</f>
        <v>0.4483412266785311</v>
      </c>
      <c r="G11" s="15">
        <v>2109600</v>
      </c>
      <c r="H11" s="360">
        <f>G11/'- 44 -'!J11</f>
        <v>0.00823327615780446</v>
      </c>
      <c r="I11" s="15">
        <v>1240000</v>
      </c>
      <c r="J11" s="360">
        <f>I11/'- 44 -'!J11</f>
        <v>0.00483943043026049</v>
      </c>
    </row>
    <row r="12" spans="1:10" ht="12.75">
      <c r="A12" s="16">
        <v>2</v>
      </c>
      <c r="B12" s="17" t="s">
        <v>116</v>
      </c>
      <c r="C12" s="17">
        <v>12495</v>
      </c>
      <c r="D12" s="361">
        <f>C12/'- 44 -'!J12</f>
        <v>0.00019274651145011461</v>
      </c>
      <c r="E12" s="17">
        <v>29207492</v>
      </c>
      <c r="F12" s="361">
        <f>E12/'- 44 -'!J12</f>
        <v>0.4505515959349444</v>
      </c>
      <c r="G12" s="17">
        <v>805000</v>
      </c>
      <c r="H12" s="361">
        <f>G12/'- 44 -'!J12</f>
        <v>0.012417842474377131</v>
      </c>
      <c r="I12" s="17">
        <v>53000</v>
      </c>
      <c r="J12" s="361">
        <f>I12/'- 44 -'!J12</f>
        <v>0.0008175722374434634</v>
      </c>
    </row>
    <row r="13" spans="1:10" ht="12.75">
      <c r="A13" s="14">
        <v>3</v>
      </c>
      <c r="B13" s="15" t="s">
        <v>117</v>
      </c>
      <c r="C13" s="15">
        <v>8000</v>
      </c>
      <c r="D13" s="360">
        <f>C13/'- 44 -'!J13</f>
        <v>0.0001710700452715491</v>
      </c>
      <c r="E13" s="15">
        <v>24096376</v>
      </c>
      <c r="F13" s="360">
        <f>E13/'- 44 -'!J13</f>
        <v>0.5152710166500337</v>
      </c>
      <c r="G13" s="15">
        <v>250000</v>
      </c>
      <c r="H13" s="360">
        <f>G13/'- 44 -'!J13</f>
        <v>0.005345938914735909</v>
      </c>
      <c r="I13" s="15">
        <v>14000</v>
      </c>
      <c r="J13" s="360">
        <f>I13/'- 44 -'!J13</f>
        <v>0.00029937257922521093</v>
      </c>
    </row>
    <row r="14" spans="1:10" ht="12.75">
      <c r="A14" s="16">
        <v>4</v>
      </c>
      <c r="B14" s="17" t="s">
        <v>118</v>
      </c>
      <c r="C14" s="17">
        <v>16000</v>
      </c>
      <c r="D14" s="361">
        <f>C14/'- 44 -'!J14</f>
        <v>0.00036508959446965934</v>
      </c>
      <c r="E14" s="17">
        <v>18767106</v>
      </c>
      <c r="F14" s="361">
        <f>E14/'- 44 -'!J14</f>
        <v>0.4282296949318194</v>
      </c>
      <c r="G14" s="17">
        <v>288000</v>
      </c>
      <c r="H14" s="361">
        <f>G14/'- 44 -'!J14</f>
        <v>0.006571612700453868</v>
      </c>
      <c r="I14" s="17">
        <v>0</v>
      </c>
      <c r="J14" s="361">
        <f>I14/'- 44 -'!J14</f>
        <v>0</v>
      </c>
    </row>
    <row r="15" spans="1:10" ht="12.75">
      <c r="A15" s="14">
        <v>5</v>
      </c>
      <c r="B15" s="15" t="s">
        <v>119</v>
      </c>
      <c r="C15" s="15">
        <v>0</v>
      </c>
      <c r="D15" s="360">
        <f>C15/'- 44 -'!J15</f>
        <v>0</v>
      </c>
      <c r="E15" s="15">
        <v>27316024</v>
      </c>
      <c r="F15" s="360">
        <f>E15/'- 44 -'!J15</f>
        <v>0.5010926400166185</v>
      </c>
      <c r="G15" s="15">
        <v>435000</v>
      </c>
      <c r="H15" s="360">
        <f>G15/'- 44 -'!J15</f>
        <v>0.007979759367879785</v>
      </c>
      <c r="I15" s="15">
        <v>0</v>
      </c>
      <c r="J15" s="360">
        <f>I15/'- 44 -'!J15</f>
        <v>0</v>
      </c>
    </row>
    <row r="16" spans="1:10" ht="12.75">
      <c r="A16" s="16">
        <v>6</v>
      </c>
      <c r="B16" s="17" t="s">
        <v>120</v>
      </c>
      <c r="C16" s="17">
        <v>15000</v>
      </c>
      <c r="D16" s="361">
        <f>C16/'- 44 -'!J16</f>
        <v>0.00023620401999400892</v>
      </c>
      <c r="E16" s="17">
        <v>24936430</v>
      </c>
      <c r="F16" s="361">
        <f>E16/'- 44 -'!J16</f>
        <v>0.39267233401994694</v>
      </c>
      <c r="G16" s="17">
        <v>126104</v>
      </c>
      <c r="H16" s="361">
        <f>G16/'- 44 -'!J16</f>
        <v>0.0019857514491549667</v>
      </c>
      <c r="I16" s="17">
        <v>0</v>
      </c>
      <c r="J16" s="361">
        <f>I16/'- 44 -'!J16</f>
        <v>0</v>
      </c>
    </row>
    <row r="17" spans="1:10" ht="12.75">
      <c r="A17" s="14">
        <v>9</v>
      </c>
      <c r="B17" s="15" t="s">
        <v>121</v>
      </c>
      <c r="C17" s="15">
        <v>12000</v>
      </c>
      <c r="D17" s="360">
        <f>C17/'- 44 -'!J17</f>
        <v>0.00014121124676504156</v>
      </c>
      <c r="E17" s="15">
        <v>31643545</v>
      </c>
      <c r="F17" s="360">
        <f>E17/'- 44 -'!J17</f>
        <v>0.3723687034596414</v>
      </c>
      <c r="G17" s="15">
        <v>380000</v>
      </c>
      <c r="H17" s="360">
        <f>G17/'- 44 -'!J17</f>
        <v>0.004471689480892983</v>
      </c>
      <c r="I17" s="15">
        <v>20000</v>
      </c>
      <c r="J17" s="360">
        <f>I17/'- 44 -'!J17</f>
        <v>0.00023535207794173594</v>
      </c>
    </row>
    <row r="18" spans="1:10" ht="12.75">
      <c r="A18" s="16">
        <v>10</v>
      </c>
      <c r="B18" s="17" t="s">
        <v>122</v>
      </c>
      <c r="C18" s="17">
        <v>3500</v>
      </c>
      <c r="D18" s="361">
        <f>C18/'- 44 -'!J18</f>
        <v>5.482595266358576E-05</v>
      </c>
      <c r="E18" s="17">
        <v>24633230</v>
      </c>
      <c r="F18" s="361">
        <f>E18/'- 44 -'!J18</f>
        <v>0.38586865769463446</v>
      </c>
      <c r="G18" s="17">
        <v>752500</v>
      </c>
      <c r="H18" s="361">
        <f>G18/'- 44 -'!J18</f>
        <v>0.01178757982267094</v>
      </c>
      <c r="I18" s="17">
        <v>40000</v>
      </c>
      <c r="J18" s="361">
        <f>I18/'- 44 -'!J18</f>
        <v>0.0006265823161552658</v>
      </c>
    </row>
    <row r="19" spans="1:10" ht="12.75">
      <c r="A19" s="14">
        <v>11</v>
      </c>
      <c r="B19" s="15" t="s">
        <v>123</v>
      </c>
      <c r="C19" s="15">
        <v>4400</v>
      </c>
      <c r="D19" s="360">
        <f>C19/'- 44 -'!J19</f>
        <v>0.0001298409539792608</v>
      </c>
      <c r="E19" s="15">
        <v>13027223</v>
      </c>
      <c r="F19" s="360">
        <f>E19/'- 44 -'!J19</f>
        <v>0.38442433227740175</v>
      </c>
      <c r="G19" s="15">
        <v>264000</v>
      </c>
      <c r="H19" s="360">
        <f>G19/'- 44 -'!J19</f>
        <v>0.007790457238755648</v>
      </c>
      <c r="I19" s="15">
        <v>176800</v>
      </c>
      <c r="J19" s="360">
        <f>I19/'- 44 -'!J19</f>
        <v>0.005217245605348479</v>
      </c>
    </row>
    <row r="20" spans="1:10" ht="12.75">
      <c r="A20" s="16">
        <v>12</v>
      </c>
      <c r="B20" s="17" t="s">
        <v>124</v>
      </c>
      <c r="C20" s="17">
        <v>8000</v>
      </c>
      <c r="D20" s="361">
        <f>C20/'- 44 -'!J20</f>
        <v>0.00014883870461210216</v>
      </c>
      <c r="E20" s="17">
        <v>21533015</v>
      </c>
      <c r="F20" s="361">
        <f>E20/'- 44 -'!J20</f>
        <v>0.4006182573741206</v>
      </c>
      <c r="G20" s="17">
        <v>100000</v>
      </c>
      <c r="H20" s="361">
        <f>G20/'- 44 -'!J20</f>
        <v>0.0018604838076512768</v>
      </c>
      <c r="I20" s="17">
        <v>0</v>
      </c>
      <c r="J20" s="361">
        <f>I20/'- 44 -'!J20</f>
        <v>0</v>
      </c>
    </row>
    <row r="21" spans="1:10" ht="12.75">
      <c r="A21" s="14">
        <v>13</v>
      </c>
      <c r="B21" s="15" t="s">
        <v>125</v>
      </c>
      <c r="C21" s="15">
        <v>0</v>
      </c>
      <c r="D21" s="360">
        <f>C21/'- 44 -'!J21</f>
        <v>0</v>
      </c>
      <c r="E21" s="15">
        <v>8466222</v>
      </c>
      <c r="F21" s="360">
        <f>E21/'- 44 -'!J21</f>
        <v>0.3853380048462289</v>
      </c>
      <c r="G21" s="15">
        <v>149220</v>
      </c>
      <c r="H21" s="360">
        <f>G21/'- 44 -'!J21</f>
        <v>0.006791711472148293</v>
      </c>
      <c r="I21" s="15">
        <v>258786</v>
      </c>
      <c r="J21" s="360">
        <f>I21/'- 44 -'!J21</f>
        <v>0.011778580920998313</v>
      </c>
    </row>
    <row r="22" spans="1:10" ht="12.75">
      <c r="A22" s="16">
        <v>14</v>
      </c>
      <c r="B22" s="17" t="s">
        <v>126</v>
      </c>
      <c r="C22" s="17">
        <v>0</v>
      </c>
      <c r="D22" s="361">
        <f>C22/'- 44 -'!J22</f>
        <v>0</v>
      </c>
      <c r="E22" s="17">
        <v>7671513</v>
      </c>
      <c r="F22" s="361">
        <f>E22/'- 44 -'!J22</f>
        <v>0.3083886350287491</v>
      </c>
      <c r="G22" s="17">
        <v>139158</v>
      </c>
      <c r="H22" s="361">
        <f>G22/'- 44 -'!J22</f>
        <v>0.0055940393600754715</v>
      </c>
      <c r="I22" s="17">
        <v>0</v>
      </c>
      <c r="J22" s="361">
        <f>I22/'- 44 -'!J22</f>
        <v>0</v>
      </c>
    </row>
    <row r="23" spans="1:10" ht="12.75">
      <c r="A23" s="14">
        <v>15</v>
      </c>
      <c r="B23" s="15" t="s">
        <v>127</v>
      </c>
      <c r="C23" s="15">
        <v>0</v>
      </c>
      <c r="D23" s="360">
        <f>C23/'- 44 -'!J23</f>
        <v>0</v>
      </c>
      <c r="E23" s="15">
        <v>10356893</v>
      </c>
      <c r="F23" s="360">
        <f>E23/'- 44 -'!J23</f>
        <v>0.2925210268783196</v>
      </c>
      <c r="G23" s="15">
        <v>271000</v>
      </c>
      <c r="H23" s="360">
        <f>G23/'- 44 -'!J23</f>
        <v>0.007654148621987753</v>
      </c>
      <c r="I23" s="15">
        <v>0</v>
      </c>
      <c r="J23" s="360">
        <f>I23/'- 44 -'!J23</f>
        <v>0</v>
      </c>
    </row>
    <row r="24" spans="1:10" ht="12.75">
      <c r="A24" s="16">
        <v>16</v>
      </c>
      <c r="B24" s="17" t="s">
        <v>128</v>
      </c>
      <c r="C24" s="17">
        <v>0</v>
      </c>
      <c r="D24" s="361">
        <f>C24/'- 44 -'!J24</f>
        <v>0</v>
      </c>
      <c r="E24" s="17">
        <v>2299149</v>
      </c>
      <c r="F24" s="361">
        <f>E24/'- 44 -'!J24</f>
        <v>0.3570032305223415</v>
      </c>
      <c r="G24" s="17">
        <v>103000</v>
      </c>
      <c r="H24" s="361">
        <f>G24/'- 44 -'!J24</f>
        <v>0.01599345355338048</v>
      </c>
      <c r="I24" s="17">
        <v>120000</v>
      </c>
      <c r="J24" s="361">
        <f>I24/'- 44 -'!J24</f>
        <v>0.018633149770928715</v>
      </c>
    </row>
    <row r="25" spans="1:10" ht="12.75">
      <c r="A25" s="14">
        <v>17</v>
      </c>
      <c r="B25" s="15" t="s">
        <v>129</v>
      </c>
      <c r="C25" s="15">
        <v>18850</v>
      </c>
      <c r="D25" s="360">
        <f>C25/'- 44 -'!J25</f>
        <v>0.003945669904627821</v>
      </c>
      <c r="E25" s="15">
        <v>1770922</v>
      </c>
      <c r="F25" s="360">
        <f>E25/'- 44 -'!J25</f>
        <v>0.37068825670256283</v>
      </c>
      <c r="G25" s="15">
        <v>108500</v>
      </c>
      <c r="H25" s="360">
        <f>G25/'- 44 -'!J25</f>
        <v>0.022711150379422736</v>
      </c>
      <c r="I25" s="15">
        <v>0</v>
      </c>
      <c r="J25" s="360">
        <f>I25/'- 44 -'!J25</f>
        <v>0</v>
      </c>
    </row>
    <row r="26" spans="1:10" ht="12.75">
      <c r="A26" s="16">
        <v>18</v>
      </c>
      <c r="B26" s="17" t="s">
        <v>130</v>
      </c>
      <c r="C26" s="17">
        <v>14000</v>
      </c>
      <c r="D26" s="361">
        <f>C26/'- 44 -'!J26</f>
        <v>0.0013935405216201342</v>
      </c>
      <c r="E26" s="17">
        <v>3325100</v>
      </c>
      <c r="F26" s="361">
        <f>E26/'- 44 -'!J26</f>
        <v>0.3309758277456506</v>
      </c>
      <c r="G26" s="17">
        <v>165000</v>
      </c>
      <c r="H26" s="361">
        <f>G26/'- 44 -'!J26</f>
        <v>0.01642387043338015</v>
      </c>
      <c r="I26" s="17">
        <v>0</v>
      </c>
      <c r="J26" s="361">
        <f>I26/'- 44 -'!J26</f>
        <v>0</v>
      </c>
    </row>
    <row r="27" spans="1:10" ht="12.75">
      <c r="A27" s="14">
        <v>19</v>
      </c>
      <c r="B27" s="15" t="s">
        <v>131</v>
      </c>
      <c r="C27" s="15">
        <v>0</v>
      </c>
      <c r="D27" s="360">
        <f>C27/'- 44 -'!J27</f>
        <v>0</v>
      </c>
      <c r="E27" s="15">
        <v>4232989</v>
      </c>
      <c r="F27" s="360">
        <f>E27/'- 44 -'!J27</f>
        <v>0.3262045923838389</v>
      </c>
      <c r="G27" s="15">
        <v>390000</v>
      </c>
      <c r="H27" s="360">
        <f>G27/'- 44 -'!J27</f>
        <v>0.030054363720221616</v>
      </c>
      <c r="I27" s="15">
        <v>0</v>
      </c>
      <c r="J27" s="360">
        <f>I27/'- 44 -'!J27</f>
        <v>0</v>
      </c>
    </row>
    <row r="28" spans="1:10" ht="12.75">
      <c r="A28" s="16">
        <v>20</v>
      </c>
      <c r="B28" s="17" t="s">
        <v>132</v>
      </c>
      <c r="C28" s="17">
        <v>0</v>
      </c>
      <c r="D28" s="361">
        <f>C28/'- 44 -'!J28</f>
        <v>0</v>
      </c>
      <c r="E28" s="17">
        <v>3351439</v>
      </c>
      <c r="F28" s="361">
        <f>E28/'- 44 -'!J28</f>
        <v>0.4094086170263579</v>
      </c>
      <c r="G28" s="17">
        <v>25000</v>
      </c>
      <c r="H28" s="361">
        <f>G28/'- 44 -'!J28</f>
        <v>0.0030539763443878727</v>
      </c>
      <c r="I28" s="17">
        <v>0</v>
      </c>
      <c r="J28" s="361">
        <f>I28/'- 44 -'!J28</f>
        <v>0</v>
      </c>
    </row>
    <row r="29" spans="1:10" ht="12.75">
      <c r="A29" s="14">
        <v>21</v>
      </c>
      <c r="B29" s="15" t="s">
        <v>133</v>
      </c>
      <c r="C29" s="15">
        <v>2000</v>
      </c>
      <c r="D29" s="360">
        <f>C29/'- 44 -'!J29</f>
        <v>8.295313148071339E-05</v>
      </c>
      <c r="E29" s="15">
        <v>8590000</v>
      </c>
      <c r="F29" s="360">
        <f>E29/'- 44 -'!J29</f>
        <v>0.35628369970966406</v>
      </c>
      <c r="G29" s="15">
        <v>32500</v>
      </c>
      <c r="H29" s="360">
        <f>G29/'- 44 -'!J29</f>
        <v>0.0013479883865615927</v>
      </c>
      <c r="I29" s="15">
        <v>0</v>
      </c>
      <c r="J29" s="360">
        <f>I29/'- 44 -'!J29</f>
        <v>0</v>
      </c>
    </row>
    <row r="30" spans="1:10" ht="12.75">
      <c r="A30" s="16">
        <v>22</v>
      </c>
      <c r="B30" s="17" t="s">
        <v>134</v>
      </c>
      <c r="C30" s="17">
        <v>60000</v>
      </c>
      <c r="D30" s="361">
        <f>C30/'- 44 -'!J30</f>
        <v>0.004686437496748784</v>
      </c>
      <c r="E30" s="17">
        <v>5719557</v>
      </c>
      <c r="F30" s="361">
        <f>E30/'- 44 -'!J30</f>
        <v>0.44673910649319976</v>
      </c>
      <c r="G30" s="17">
        <v>30000</v>
      </c>
      <c r="H30" s="361">
        <f>G30/'- 44 -'!J30</f>
        <v>0.002343218748374392</v>
      </c>
      <c r="I30" s="17">
        <v>120000</v>
      </c>
      <c r="J30" s="361">
        <f>I30/'- 44 -'!J30</f>
        <v>0.009372874993497569</v>
      </c>
    </row>
    <row r="31" spans="1:10" ht="12.75">
      <c r="A31" s="14">
        <v>23</v>
      </c>
      <c r="B31" s="15" t="s">
        <v>135</v>
      </c>
      <c r="C31" s="15">
        <v>0</v>
      </c>
      <c r="D31" s="360">
        <f>C31/'- 44 -'!J31</f>
        <v>0</v>
      </c>
      <c r="E31" s="15">
        <v>2738117</v>
      </c>
      <c r="F31" s="360">
        <f>E31/'- 44 -'!J31</f>
        <v>0.2621262933316791</v>
      </c>
      <c r="G31" s="15">
        <v>70000</v>
      </c>
      <c r="H31" s="360">
        <f>G31/'- 44 -'!J31</f>
        <v>0.006701262412532969</v>
      </c>
      <c r="I31" s="15">
        <v>253000</v>
      </c>
      <c r="J31" s="360">
        <f>I31/'- 44 -'!J31</f>
        <v>0.02422027700529773</v>
      </c>
    </row>
    <row r="32" spans="1:10" ht="12.75">
      <c r="A32" s="16">
        <v>24</v>
      </c>
      <c r="B32" s="17" t="s">
        <v>136</v>
      </c>
      <c r="C32" s="17">
        <v>15000</v>
      </c>
      <c r="D32" s="361">
        <f>C32/'- 44 -'!J32</f>
        <v>0.0006356459843425139</v>
      </c>
      <c r="E32" s="17">
        <v>8480400</v>
      </c>
      <c r="F32" s="361">
        <f>E32/'- 44 -'!J32</f>
        <v>0.35936881370788365</v>
      </c>
      <c r="G32" s="17">
        <v>35000</v>
      </c>
      <c r="H32" s="361">
        <f>G32/'- 44 -'!J32</f>
        <v>0.0014831739634658656</v>
      </c>
      <c r="I32" s="17">
        <v>230000</v>
      </c>
      <c r="J32" s="361">
        <f>I32/'- 44 -'!J32</f>
        <v>0.009746571759918546</v>
      </c>
    </row>
    <row r="33" spans="1:10" ht="12.75">
      <c r="A33" s="14">
        <v>25</v>
      </c>
      <c r="B33" s="15" t="s">
        <v>137</v>
      </c>
      <c r="C33" s="15">
        <v>0</v>
      </c>
      <c r="D33" s="360">
        <f>C33/'- 44 -'!J33</f>
        <v>0</v>
      </c>
      <c r="E33" s="15">
        <v>4079539</v>
      </c>
      <c r="F33" s="360">
        <f>E33/'- 44 -'!J33</f>
        <v>0.3779046598130976</v>
      </c>
      <c r="G33" s="15">
        <v>44000</v>
      </c>
      <c r="H33" s="360">
        <f>G33/'- 44 -'!J33</f>
        <v>0.00407590294682225</v>
      </c>
      <c r="I33" s="15">
        <v>0</v>
      </c>
      <c r="J33" s="360">
        <f>I33/'- 44 -'!J33</f>
        <v>0</v>
      </c>
    </row>
    <row r="34" spans="1:10" ht="12.75">
      <c r="A34" s="16">
        <v>26</v>
      </c>
      <c r="B34" s="17" t="s">
        <v>138</v>
      </c>
      <c r="C34" s="17">
        <v>0</v>
      </c>
      <c r="D34" s="361">
        <f>C34/'- 44 -'!J34</f>
        <v>0</v>
      </c>
      <c r="E34" s="17">
        <v>5532000</v>
      </c>
      <c r="F34" s="361">
        <f>E34/'- 44 -'!J34</f>
        <v>0.31306827452013036</v>
      </c>
      <c r="G34" s="17">
        <v>50000</v>
      </c>
      <c r="H34" s="361">
        <f>G34/'- 44 -'!J34</f>
        <v>0.002829612025670014</v>
      </c>
      <c r="I34" s="17">
        <v>0</v>
      </c>
      <c r="J34" s="361">
        <f>I34/'- 44 -'!J34</f>
        <v>0</v>
      </c>
    </row>
    <row r="35" spans="1:10" ht="12.75">
      <c r="A35" s="14">
        <v>28</v>
      </c>
      <c r="B35" s="15" t="s">
        <v>139</v>
      </c>
      <c r="C35" s="15">
        <v>0</v>
      </c>
      <c r="D35" s="360">
        <f>C35/'- 44 -'!J35</f>
        <v>0</v>
      </c>
      <c r="E35" s="15">
        <v>2024000</v>
      </c>
      <c r="F35" s="360">
        <f>E35/'- 44 -'!J35</f>
        <v>0.3104057389481601</v>
      </c>
      <c r="G35" s="15">
        <v>10300</v>
      </c>
      <c r="H35" s="360">
        <f>G35/'- 44 -'!J35</f>
        <v>0.0015796339482045698</v>
      </c>
      <c r="I35" s="15">
        <v>79200</v>
      </c>
      <c r="J35" s="360">
        <f>I35/'- 44 -'!J35</f>
        <v>0.012146311524058439</v>
      </c>
    </row>
    <row r="36" spans="1:10" ht="12.75">
      <c r="A36" s="16">
        <v>30</v>
      </c>
      <c r="B36" s="17" t="s">
        <v>140</v>
      </c>
      <c r="C36" s="17">
        <v>0</v>
      </c>
      <c r="D36" s="361">
        <f>C36/'- 44 -'!J36</f>
        <v>0</v>
      </c>
      <c r="E36" s="17">
        <v>3589089</v>
      </c>
      <c r="F36" s="361">
        <f>E36/'- 44 -'!J36</f>
        <v>0.35473985532428687</v>
      </c>
      <c r="G36" s="17">
        <v>31000</v>
      </c>
      <c r="H36" s="361">
        <f>G36/'- 44 -'!J36</f>
        <v>0.0030639907550503464</v>
      </c>
      <c r="I36" s="17">
        <v>0</v>
      </c>
      <c r="J36" s="361">
        <f>I36/'- 44 -'!J36</f>
        <v>0</v>
      </c>
    </row>
    <row r="37" spans="1:10" ht="12.75">
      <c r="A37" s="14">
        <v>31</v>
      </c>
      <c r="B37" s="15" t="s">
        <v>141</v>
      </c>
      <c r="C37" s="15">
        <v>0</v>
      </c>
      <c r="D37" s="360">
        <f>C37/'- 44 -'!J37</f>
        <v>0</v>
      </c>
      <c r="E37" s="15">
        <v>4168908</v>
      </c>
      <c r="F37" s="360">
        <f>E37/'- 44 -'!J37</f>
        <v>0.3735100035515143</v>
      </c>
      <c r="G37" s="15">
        <v>58000</v>
      </c>
      <c r="H37" s="360">
        <f>G37/'- 44 -'!J37</f>
        <v>0.0051964639675396605</v>
      </c>
      <c r="I37" s="15">
        <v>0</v>
      </c>
      <c r="J37" s="360">
        <f>I37/'- 44 -'!J37</f>
        <v>0</v>
      </c>
    </row>
    <row r="38" spans="1:10" ht="12.75">
      <c r="A38" s="16">
        <v>32</v>
      </c>
      <c r="B38" s="17" t="s">
        <v>142</v>
      </c>
      <c r="C38" s="17">
        <v>16000</v>
      </c>
      <c r="D38" s="361">
        <f>C38/'- 44 -'!J38</f>
        <v>0.0022570281033854295</v>
      </c>
      <c r="E38" s="17">
        <v>2075405</v>
      </c>
      <c r="F38" s="361">
        <f>E38/'- 44 -'!J38</f>
        <v>0.2927654631816648</v>
      </c>
      <c r="G38" s="17">
        <v>45280</v>
      </c>
      <c r="H38" s="361">
        <f>G38/'- 44 -'!J38</f>
        <v>0.006387389532580765</v>
      </c>
      <c r="I38" s="17">
        <v>16000</v>
      </c>
      <c r="J38" s="361">
        <f>I38/'- 44 -'!J38</f>
        <v>0.0022570281033854295</v>
      </c>
    </row>
    <row r="39" spans="1:10" ht="12.75">
      <c r="A39" s="14">
        <v>33</v>
      </c>
      <c r="B39" s="15" t="s">
        <v>143</v>
      </c>
      <c r="C39" s="15">
        <v>22400</v>
      </c>
      <c r="D39" s="360">
        <f>C39/'- 44 -'!J39</f>
        <v>0.001620307545945846</v>
      </c>
      <c r="E39" s="15">
        <v>4558470</v>
      </c>
      <c r="F39" s="360">
        <f>E39/'- 44 -'!J39</f>
        <v>0.32973764906106073</v>
      </c>
      <c r="G39" s="15">
        <v>112725</v>
      </c>
      <c r="H39" s="360">
        <f>G39/'- 44 -'!J39</f>
        <v>0.008153980719497566</v>
      </c>
      <c r="I39" s="15">
        <v>138654</v>
      </c>
      <c r="J39" s="360">
        <f>I39/'- 44 -'!J39</f>
        <v>0.010029559039088183</v>
      </c>
    </row>
    <row r="40" spans="1:10" ht="12.75">
      <c r="A40" s="16">
        <v>34</v>
      </c>
      <c r="B40" s="17" t="s">
        <v>144</v>
      </c>
      <c r="C40" s="17">
        <v>3000</v>
      </c>
      <c r="D40" s="361">
        <f>C40/'- 44 -'!J40</f>
        <v>0.0005176357642141487</v>
      </c>
      <c r="E40" s="17">
        <v>1121200</v>
      </c>
      <c r="F40" s="361">
        <f>E40/'- 44 -'!J40</f>
        <v>0.19345773961230117</v>
      </c>
      <c r="G40" s="17">
        <v>27000</v>
      </c>
      <c r="H40" s="361">
        <f>G40/'- 44 -'!J40</f>
        <v>0.004658721877927338</v>
      </c>
      <c r="I40" s="17">
        <v>255000</v>
      </c>
      <c r="J40" s="361">
        <f>I40/'- 44 -'!J40</f>
        <v>0.04399903995820264</v>
      </c>
    </row>
    <row r="41" spans="1:10" ht="12.75">
      <c r="A41" s="14">
        <v>35</v>
      </c>
      <c r="B41" s="15" t="s">
        <v>145</v>
      </c>
      <c r="C41" s="15">
        <v>19100</v>
      </c>
      <c r="D41" s="360">
        <f>C41/'- 44 -'!J41</f>
        <v>0.0012993166342801224</v>
      </c>
      <c r="E41" s="15">
        <v>4639004</v>
      </c>
      <c r="F41" s="360">
        <f>E41/'- 44 -'!J41</f>
        <v>0.3155777520257605</v>
      </c>
      <c r="G41" s="15">
        <v>62500</v>
      </c>
      <c r="H41" s="360">
        <f>G41/'- 44 -'!J41</f>
        <v>0.004251690557199353</v>
      </c>
      <c r="I41" s="15">
        <v>354565</v>
      </c>
      <c r="J41" s="360">
        <f>I41/'- 44 -'!J41</f>
        <v>0.02412001059861422</v>
      </c>
    </row>
    <row r="42" spans="1:10" ht="12.75">
      <c r="A42" s="16">
        <v>36</v>
      </c>
      <c r="B42" s="17" t="s">
        <v>146</v>
      </c>
      <c r="C42" s="17">
        <v>0</v>
      </c>
      <c r="D42" s="361">
        <f>C42/'- 44 -'!J42</f>
        <v>0</v>
      </c>
      <c r="E42" s="17">
        <v>3003141</v>
      </c>
      <c r="F42" s="361">
        <f>E42/'- 44 -'!J42</f>
        <v>0.38834680651150594</v>
      </c>
      <c r="G42" s="17">
        <v>8000</v>
      </c>
      <c r="H42" s="361">
        <f>G42/'- 44 -'!J42</f>
        <v>0.0010345083537842703</v>
      </c>
      <c r="I42" s="17">
        <v>0</v>
      </c>
      <c r="J42" s="361">
        <f>I42/'- 44 -'!J42</f>
        <v>0</v>
      </c>
    </row>
    <row r="43" spans="1:10" ht="12.75">
      <c r="A43" s="14">
        <v>37</v>
      </c>
      <c r="B43" s="15" t="s">
        <v>147</v>
      </c>
      <c r="C43" s="15">
        <v>0</v>
      </c>
      <c r="D43" s="360">
        <f>C43/'- 44 -'!J43</f>
        <v>0</v>
      </c>
      <c r="E43" s="15">
        <v>2360820</v>
      </c>
      <c r="F43" s="360">
        <f>E43/'- 44 -'!J43</f>
        <v>0.3401968709876837</v>
      </c>
      <c r="G43" s="15">
        <v>4712</v>
      </c>
      <c r="H43" s="360">
        <f>G43/'- 44 -'!J43</f>
        <v>0.0006790046069136849</v>
      </c>
      <c r="I43" s="15">
        <v>200560</v>
      </c>
      <c r="J43" s="360">
        <f>I43/'- 44 -'!J43</f>
        <v>0.028900926138074837</v>
      </c>
    </row>
    <row r="44" spans="1:10" ht="12.75">
      <c r="A44" s="16">
        <v>38</v>
      </c>
      <c r="B44" s="17" t="s">
        <v>148</v>
      </c>
      <c r="C44" s="17">
        <v>280770</v>
      </c>
      <c r="D44" s="361">
        <f>C44/'- 44 -'!J44</f>
        <v>0.030304580625273612</v>
      </c>
      <c r="E44" s="17">
        <v>3392345</v>
      </c>
      <c r="F44" s="361">
        <f>E44/'- 44 -'!J44</f>
        <v>0.3661487785776394</v>
      </c>
      <c r="G44" s="17">
        <v>31725</v>
      </c>
      <c r="H44" s="361">
        <f>G44/'- 44 -'!J44</f>
        <v>0.0034242006636635157</v>
      </c>
      <c r="I44" s="17">
        <v>173940</v>
      </c>
      <c r="J44" s="361">
        <f>I44/'- 44 -'!J44</f>
        <v>0.018774009879830793</v>
      </c>
    </row>
    <row r="45" spans="1:10" ht="12.75">
      <c r="A45" s="14">
        <v>39</v>
      </c>
      <c r="B45" s="15" t="s">
        <v>149</v>
      </c>
      <c r="C45" s="15">
        <v>13000</v>
      </c>
      <c r="D45" s="360">
        <f>C45/'- 44 -'!J45</f>
        <v>0.0008070348608020064</v>
      </c>
      <c r="E45" s="15">
        <v>5939641</v>
      </c>
      <c r="F45" s="360">
        <f>E45/'- 44 -'!J45</f>
        <v>0.3687305652037608</v>
      </c>
      <c r="G45" s="15">
        <v>80000</v>
      </c>
      <c r="H45" s="360">
        <f>G45/'- 44 -'!J45</f>
        <v>0.004966368374166193</v>
      </c>
      <c r="I45" s="15">
        <v>703000</v>
      </c>
      <c r="J45" s="360">
        <f>I45/'- 44 -'!J45</f>
        <v>0.043641962087985424</v>
      </c>
    </row>
    <row r="46" spans="1:10" ht="12.75">
      <c r="A46" s="16">
        <v>40</v>
      </c>
      <c r="B46" s="17" t="s">
        <v>150</v>
      </c>
      <c r="C46" s="17">
        <v>15100</v>
      </c>
      <c r="D46" s="361">
        <f>C46/'- 44 -'!J46</f>
        <v>0.0003204985344090198</v>
      </c>
      <c r="E46" s="17">
        <v>17931500</v>
      </c>
      <c r="F46" s="361">
        <f>E46/'- 44 -'!J46</f>
        <v>0.380597315877837</v>
      </c>
      <c r="G46" s="17">
        <v>176700</v>
      </c>
      <c r="H46" s="361">
        <f>G46/'- 44 -'!J46</f>
        <v>0.003750469604640649</v>
      </c>
      <c r="I46" s="17">
        <v>384600</v>
      </c>
      <c r="J46" s="361">
        <f>I46/'- 44 -'!J46</f>
        <v>0.008163161346603246</v>
      </c>
    </row>
    <row r="47" spans="1:10" ht="12.75">
      <c r="A47" s="14">
        <v>41</v>
      </c>
      <c r="B47" s="15" t="s">
        <v>151</v>
      </c>
      <c r="C47" s="15">
        <v>0</v>
      </c>
      <c r="D47" s="360">
        <f>C47/'- 44 -'!J47</f>
        <v>0</v>
      </c>
      <c r="E47" s="15">
        <v>4697682</v>
      </c>
      <c r="F47" s="360">
        <f>E47/'- 44 -'!J47</f>
        <v>0.3735640309667216</v>
      </c>
      <c r="G47" s="15">
        <v>29600</v>
      </c>
      <c r="H47" s="360">
        <f>G47/'- 44 -'!J47</f>
        <v>0.002353819461729202</v>
      </c>
      <c r="I47" s="15">
        <v>680450</v>
      </c>
      <c r="J47" s="360">
        <f>I47/'- 44 -'!J47</f>
        <v>0.05411001529505525</v>
      </c>
    </row>
    <row r="48" spans="1:10" ht="12.75">
      <c r="A48" s="16">
        <v>42</v>
      </c>
      <c r="B48" s="17" t="s">
        <v>152</v>
      </c>
      <c r="C48" s="17">
        <v>0</v>
      </c>
      <c r="D48" s="361">
        <f>C48/'- 44 -'!J48</f>
        <v>0</v>
      </c>
      <c r="E48" s="17">
        <v>3324248</v>
      </c>
      <c r="F48" s="361">
        <f>E48/'- 44 -'!J48</f>
        <v>0.40593128330534317</v>
      </c>
      <c r="G48" s="17">
        <v>20000</v>
      </c>
      <c r="H48" s="361">
        <f>G48/'- 44 -'!J48</f>
        <v>0.002442244280843927</v>
      </c>
      <c r="I48" s="17">
        <v>0</v>
      </c>
      <c r="J48" s="361">
        <f>I48/'- 44 -'!J48</f>
        <v>0</v>
      </c>
    </row>
    <row r="49" spans="1:10" ht="12.75">
      <c r="A49" s="14">
        <v>43</v>
      </c>
      <c r="B49" s="15" t="s">
        <v>153</v>
      </c>
      <c r="C49" s="15">
        <v>0</v>
      </c>
      <c r="D49" s="360">
        <f>C49/'- 44 -'!J49</f>
        <v>0</v>
      </c>
      <c r="E49" s="15">
        <v>2883333</v>
      </c>
      <c r="F49" s="360">
        <f>E49/'- 44 -'!J49</f>
        <v>0.44876170548352107</v>
      </c>
      <c r="G49" s="15">
        <v>5000</v>
      </c>
      <c r="H49" s="360">
        <f>G49/'- 44 -'!J49</f>
        <v>0.0007781995792430515</v>
      </c>
      <c r="I49" s="15">
        <v>0</v>
      </c>
      <c r="J49" s="360">
        <f>I49/'- 44 -'!J49</f>
        <v>0</v>
      </c>
    </row>
    <row r="50" spans="1:10" ht="12.75">
      <c r="A50" s="16">
        <v>44</v>
      </c>
      <c r="B50" s="17" t="s">
        <v>154</v>
      </c>
      <c r="C50" s="17">
        <v>0</v>
      </c>
      <c r="D50" s="361">
        <f>C50/'- 44 -'!J50</f>
        <v>0</v>
      </c>
      <c r="E50" s="17">
        <v>3713514</v>
      </c>
      <c r="F50" s="361">
        <f>E50/'- 44 -'!J50</f>
        <v>0.3932025296163455</v>
      </c>
      <c r="G50" s="17">
        <v>23000</v>
      </c>
      <c r="H50" s="361">
        <f>G50/'- 44 -'!J50</f>
        <v>0.002435337036880956</v>
      </c>
      <c r="I50" s="17">
        <v>0</v>
      </c>
      <c r="J50" s="361">
        <f>I50/'- 44 -'!J50</f>
        <v>0</v>
      </c>
    </row>
    <row r="51" spans="1:10" ht="12.75">
      <c r="A51" s="14">
        <v>45</v>
      </c>
      <c r="B51" s="15" t="s">
        <v>155</v>
      </c>
      <c r="C51" s="15">
        <v>0</v>
      </c>
      <c r="D51" s="360">
        <f>C51/'- 44 -'!J51</f>
        <v>0</v>
      </c>
      <c r="E51" s="15">
        <v>3091132</v>
      </c>
      <c r="F51" s="360">
        <f>E51/'- 44 -'!J51</f>
        <v>0.2573239501926684</v>
      </c>
      <c r="G51" s="15">
        <v>15000</v>
      </c>
      <c r="H51" s="360">
        <f>G51/'- 44 -'!J51</f>
        <v>0.001248687941145841</v>
      </c>
      <c r="I51" s="15">
        <v>130000</v>
      </c>
      <c r="J51" s="360">
        <f>I51/'- 44 -'!J51</f>
        <v>0.010821962156597288</v>
      </c>
    </row>
    <row r="52" spans="1:10" ht="12.75">
      <c r="A52" s="16">
        <v>46</v>
      </c>
      <c r="B52" s="17" t="s">
        <v>156</v>
      </c>
      <c r="C52" s="17">
        <v>0</v>
      </c>
      <c r="D52" s="361">
        <f>C52/'- 44 -'!J52</f>
        <v>0</v>
      </c>
      <c r="E52" s="17">
        <v>2983511</v>
      </c>
      <c r="F52" s="361">
        <f>E52/'- 44 -'!J52</f>
        <v>0.2768523520810293</v>
      </c>
      <c r="G52" s="17">
        <v>159550</v>
      </c>
      <c r="H52" s="361">
        <f>G52/'- 44 -'!J52</f>
        <v>0.014805305820735446</v>
      </c>
      <c r="I52" s="17">
        <v>0</v>
      </c>
      <c r="J52" s="361">
        <f>I52/'- 44 -'!J52</f>
        <v>0</v>
      </c>
    </row>
    <row r="53" spans="1:10" ht="12.75">
      <c r="A53" s="14">
        <v>47</v>
      </c>
      <c r="B53" s="15" t="s">
        <v>157</v>
      </c>
      <c r="C53" s="15">
        <v>0</v>
      </c>
      <c r="D53" s="360">
        <f>C53/'- 44 -'!J53</f>
        <v>0</v>
      </c>
      <c r="E53" s="15">
        <v>3636947</v>
      </c>
      <c r="F53" s="360">
        <f>E53/'- 44 -'!J53</f>
        <v>0.36869538930421086</v>
      </c>
      <c r="G53" s="15">
        <v>29000</v>
      </c>
      <c r="H53" s="360">
        <f>G53/'- 44 -'!J53</f>
        <v>0.0029398741003985253</v>
      </c>
      <c r="I53" s="15">
        <v>0</v>
      </c>
      <c r="J53" s="360">
        <f>I53/'- 44 -'!J53</f>
        <v>0</v>
      </c>
    </row>
    <row r="54" spans="1:10" ht="12.75">
      <c r="A54" s="16">
        <v>48</v>
      </c>
      <c r="B54" s="17" t="s">
        <v>158</v>
      </c>
      <c r="C54" s="17">
        <v>13184300</v>
      </c>
      <c r="D54" s="361">
        <f>C54/'- 44 -'!J54</f>
        <v>0.20497583690861682</v>
      </c>
      <c r="E54" s="17">
        <v>1398928</v>
      </c>
      <c r="F54" s="361">
        <f>E54/'- 44 -'!J54</f>
        <v>0.02174908319553541</v>
      </c>
      <c r="G54" s="17">
        <v>0</v>
      </c>
      <c r="H54" s="361">
        <f>G54/'- 44 -'!J54</f>
        <v>0</v>
      </c>
      <c r="I54" s="17">
        <v>18097746</v>
      </c>
      <c r="J54" s="361">
        <f>I54/'- 44 -'!J54</f>
        <v>0.28136500477913673</v>
      </c>
    </row>
    <row r="55" spans="1:10" ht="12.75">
      <c r="A55" s="14">
        <v>49</v>
      </c>
      <c r="B55" s="15" t="s">
        <v>159</v>
      </c>
      <c r="C55" s="15">
        <v>2784000</v>
      </c>
      <c r="D55" s="360">
        <f>C55/'- 44 -'!J55</f>
        <v>0.07497369255534662</v>
      </c>
      <c r="E55" s="15">
        <v>10522308</v>
      </c>
      <c r="F55" s="360">
        <f>E55/'- 44 -'!J55</f>
        <v>0.28336791844995124</v>
      </c>
      <c r="G55" s="15">
        <v>239242</v>
      </c>
      <c r="H55" s="360">
        <f>G55/'- 44 -'!J55</f>
        <v>0.006442836262329827</v>
      </c>
      <c r="I55" s="15">
        <v>0</v>
      </c>
      <c r="J55" s="360">
        <f>I55/'- 44 -'!J55</f>
        <v>0</v>
      </c>
    </row>
    <row r="56" spans="1:10" ht="12.75">
      <c r="A56" s="16">
        <v>50</v>
      </c>
      <c r="B56" s="17" t="s">
        <v>340</v>
      </c>
      <c r="C56" s="17">
        <v>0</v>
      </c>
      <c r="D56" s="361">
        <f>C56/'- 44 -'!J56</f>
        <v>0</v>
      </c>
      <c r="E56" s="17">
        <v>5584403</v>
      </c>
      <c r="F56" s="361">
        <f>E56/'- 44 -'!J56</f>
        <v>0.3786549362625441</v>
      </c>
      <c r="G56" s="17">
        <v>20000</v>
      </c>
      <c r="H56" s="361">
        <f>G56/'- 44 -'!J56</f>
        <v>0.0013561160835367507</v>
      </c>
      <c r="I56" s="17">
        <v>35000</v>
      </c>
      <c r="J56" s="361">
        <f>I56/'- 44 -'!J56</f>
        <v>0.0023732031461893136</v>
      </c>
    </row>
    <row r="57" spans="1:10" ht="12.75">
      <c r="A57" s="14">
        <v>2264</v>
      </c>
      <c r="B57" s="15" t="s">
        <v>160</v>
      </c>
      <c r="C57" s="15">
        <v>0</v>
      </c>
      <c r="D57" s="360">
        <f>C57/'- 44 -'!J57</f>
        <v>0</v>
      </c>
      <c r="E57" s="15">
        <v>479014</v>
      </c>
      <c r="F57" s="360">
        <f>E57/'- 44 -'!J57</f>
        <v>0.24435101451167954</v>
      </c>
      <c r="G57" s="15">
        <v>0</v>
      </c>
      <c r="H57" s="360">
        <f>G57/'- 44 -'!J57</f>
        <v>0</v>
      </c>
      <c r="I57" s="15">
        <v>0</v>
      </c>
      <c r="J57" s="360">
        <f>I57/'- 44 -'!J57</f>
        <v>0</v>
      </c>
    </row>
    <row r="58" spans="1:10" ht="12.75">
      <c r="A58" s="16">
        <v>2309</v>
      </c>
      <c r="B58" s="17" t="s">
        <v>161</v>
      </c>
      <c r="C58" s="17">
        <v>880</v>
      </c>
      <c r="D58" s="361">
        <f>C58/'- 44 -'!J58</f>
        <v>0.00041618368077576636</v>
      </c>
      <c r="E58" s="17">
        <v>578010</v>
      </c>
      <c r="F58" s="361">
        <f>E58/'- 44 -'!J58</f>
        <v>0.27336173786954626</v>
      </c>
      <c r="G58" s="17">
        <v>0</v>
      </c>
      <c r="H58" s="361">
        <f>G58/'- 44 -'!J58</f>
        <v>0</v>
      </c>
      <c r="I58" s="17">
        <v>0</v>
      </c>
      <c r="J58" s="361">
        <f>I58/'- 44 -'!J58</f>
        <v>0</v>
      </c>
    </row>
    <row r="59" spans="1:10" ht="12.75">
      <c r="A59" s="14">
        <v>2312</v>
      </c>
      <c r="B59" s="15" t="s">
        <v>162</v>
      </c>
      <c r="C59" s="15">
        <v>0</v>
      </c>
      <c r="D59" s="360">
        <f>C59/'- 44 -'!J59</f>
        <v>0</v>
      </c>
      <c r="E59" s="15">
        <v>100000</v>
      </c>
      <c r="F59" s="360">
        <f>E59/'- 44 -'!J59</f>
        <v>0.06413265711859667</v>
      </c>
      <c r="G59" s="15">
        <v>6000</v>
      </c>
      <c r="H59" s="360">
        <f>G59/'- 44 -'!J59</f>
        <v>0.0038479594271158004</v>
      </c>
      <c r="I59" s="15">
        <v>0</v>
      </c>
      <c r="J59" s="360">
        <f>I59/'- 44 -'!J59</f>
        <v>0</v>
      </c>
    </row>
    <row r="60" spans="1:10" ht="12.75">
      <c r="A60" s="16">
        <v>2355</v>
      </c>
      <c r="B60" s="17" t="s">
        <v>163</v>
      </c>
      <c r="C60" s="17">
        <v>30850</v>
      </c>
      <c r="D60" s="361">
        <f>C60/'- 44 -'!J60</f>
        <v>0.0011991090910970757</v>
      </c>
      <c r="E60" s="17">
        <v>7944844</v>
      </c>
      <c r="F60" s="361">
        <f>E60/'- 44 -'!J60</f>
        <v>0.3088082550323518</v>
      </c>
      <c r="G60" s="17">
        <v>121000</v>
      </c>
      <c r="H60" s="361">
        <f>G60/'- 44 -'!J60</f>
        <v>0.004703150730072808</v>
      </c>
      <c r="I60" s="17">
        <v>330000</v>
      </c>
      <c r="J60" s="361">
        <f>I60/'- 44 -'!J60</f>
        <v>0.012826774718380387</v>
      </c>
    </row>
    <row r="61" spans="1:10" ht="12.75">
      <c r="A61" s="14">
        <v>2439</v>
      </c>
      <c r="B61" s="15" t="s">
        <v>164</v>
      </c>
      <c r="C61" s="15">
        <v>133085</v>
      </c>
      <c r="D61" s="360">
        <f>C61/'- 44 -'!J61</f>
        <v>0.09796257569768478</v>
      </c>
      <c r="E61" s="15">
        <v>246500</v>
      </c>
      <c r="F61" s="360">
        <f>E61/'- 44 -'!J61</f>
        <v>0.18144625547191115</v>
      </c>
      <c r="G61" s="15">
        <v>2000</v>
      </c>
      <c r="H61" s="360">
        <f>G61/'- 44 -'!J61</f>
        <v>0.0014721805717802122</v>
      </c>
      <c r="I61" s="15">
        <v>0</v>
      </c>
      <c r="J61" s="360">
        <f>I61/'- 44 -'!J61</f>
        <v>0</v>
      </c>
    </row>
    <row r="62" spans="1:10" ht="12.75">
      <c r="A62" s="16">
        <v>2460</v>
      </c>
      <c r="B62" s="17" t="s">
        <v>165</v>
      </c>
      <c r="C62" s="17">
        <v>0</v>
      </c>
      <c r="D62" s="361">
        <f>C62/'- 44 -'!J62</f>
        <v>0</v>
      </c>
      <c r="E62" s="17">
        <v>104000</v>
      </c>
      <c r="F62" s="361">
        <f>E62/'- 44 -'!J62</f>
        <v>0.0482902018251839</v>
      </c>
      <c r="G62" s="17">
        <v>0</v>
      </c>
      <c r="H62" s="361">
        <f>G62/'- 44 -'!J62</f>
        <v>0</v>
      </c>
      <c r="I62" s="17">
        <v>0</v>
      </c>
      <c r="J62" s="361">
        <f>I62/'- 44 -'!J62</f>
        <v>0</v>
      </c>
    </row>
    <row r="63" spans="1:10" ht="12.75">
      <c r="A63" s="14">
        <v>3000</v>
      </c>
      <c r="B63" s="15" t="s">
        <v>363</v>
      </c>
      <c r="C63" s="15">
        <v>0</v>
      </c>
      <c r="D63" s="360">
        <f>C63/'- 44 -'!J63</f>
        <v>0</v>
      </c>
      <c r="E63" s="15">
        <v>0</v>
      </c>
      <c r="F63" s="360">
        <f>E63/'- 44 -'!J63</f>
        <v>0</v>
      </c>
      <c r="G63" s="15">
        <v>3292900</v>
      </c>
      <c r="H63" s="360">
        <f>G63/'- 44 -'!J63</f>
        <v>0.5045005017580684</v>
      </c>
      <c r="I63" s="15">
        <v>40000</v>
      </c>
      <c r="J63" s="360">
        <f>I63/'- 44 -'!J63</f>
        <v>0.006128342819497323</v>
      </c>
    </row>
    <row r="64" spans="1:10" ht="4.5" customHeight="1">
      <c r="A64" s="18"/>
      <c r="B64" s="18"/>
      <c r="C64" s="18"/>
      <c r="D64" s="198"/>
      <c r="E64" s="18"/>
      <c r="F64" s="198"/>
      <c r="G64" s="18"/>
      <c r="H64" s="198"/>
      <c r="I64" s="18"/>
      <c r="J64" s="198"/>
    </row>
    <row r="65" spans="1:10" ht="12.75">
      <c r="A65" s="20"/>
      <c r="B65" s="21" t="s">
        <v>166</v>
      </c>
      <c r="C65" s="21">
        <f>SUM(C11:C63)</f>
        <v>16703730</v>
      </c>
      <c r="D65" s="103">
        <f>C65/'- 44 -'!$J65</f>
        <v>0.012161646419048606</v>
      </c>
      <c r="E65" s="21">
        <f>SUM(E11:E63)</f>
        <v>512743978</v>
      </c>
      <c r="F65" s="103">
        <f>E65/'- 44 -'!$J65</f>
        <v>0.37331847221742914</v>
      </c>
      <c r="G65" s="21">
        <f>SUM(G11:G63)</f>
        <v>11732816</v>
      </c>
      <c r="H65" s="103">
        <f>G65/'- 44 -'!$J65</f>
        <v>0.008542424936930625</v>
      </c>
      <c r="I65" s="21">
        <f>SUM(I11:I63)</f>
        <v>24144301</v>
      </c>
      <c r="J65" s="103">
        <f>I65/'- 44 -'!$J65</f>
        <v>0.017578974983257133</v>
      </c>
    </row>
    <row r="66" spans="1:10" ht="4.5" customHeight="1">
      <c r="A66" s="18"/>
      <c r="B66" s="18"/>
      <c r="C66" s="18"/>
      <c r="D66" s="198"/>
      <c r="E66" s="18"/>
      <c r="F66" s="198"/>
      <c r="G66" s="18"/>
      <c r="H66" s="198"/>
      <c r="I66" s="18"/>
      <c r="J66" s="198"/>
    </row>
    <row r="67" spans="1:10" ht="12.75">
      <c r="A67" s="16">
        <v>2155</v>
      </c>
      <c r="B67" s="17" t="s">
        <v>167</v>
      </c>
      <c r="C67" s="17">
        <v>0</v>
      </c>
      <c r="D67" s="361">
        <f>C67/'- 44 -'!J67</f>
        <v>0</v>
      </c>
      <c r="E67" s="17">
        <v>0</v>
      </c>
      <c r="F67" s="361">
        <f>E67/'- 44 -'!J67</f>
        <v>0</v>
      </c>
      <c r="G67" s="17">
        <v>214837</v>
      </c>
      <c r="H67" s="361">
        <f>G67/'- 44 -'!J67</f>
        <v>0.1531898720999299</v>
      </c>
      <c r="I67" s="17">
        <v>105293</v>
      </c>
      <c r="J67" s="361">
        <f>I67/'- 44 -'!J67</f>
        <v>0.07507934481964429</v>
      </c>
    </row>
    <row r="68" spans="1:10" ht="12.75">
      <c r="A68" s="14">
        <v>2408</v>
      </c>
      <c r="B68" s="15" t="s">
        <v>169</v>
      </c>
      <c r="C68" s="15">
        <v>0</v>
      </c>
      <c r="D68" s="360">
        <f>C68/'- 44 -'!J68</f>
        <v>0</v>
      </c>
      <c r="E68" s="15">
        <v>1769646</v>
      </c>
      <c r="F68" s="360">
        <f>E68/'- 44 -'!J68</f>
        <v>0.7588321937853362</v>
      </c>
      <c r="G68" s="15">
        <v>60000</v>
      </c>
      <c r="H68" s="360">
        <f>G68/'- 44 -'!J68</f>
        <v>0.02572827086723569</v>
      </c>
      <c r="I68" s="15">
        <v>0</v>
      </c>
      <c r="J68" s="360">
        <f>I68/'- 44 -'!J68</f>
        <v>0</v>
      </c>
    </row>
    <row r="69" ht="6.75" customHeight="1"/>
    <row r="70" spans="1:10" ht="12" customHeight="1">
      <c r="A70" s="7"/>
      <c r="B70" s="7"/>
      <c r="C70" s="18"/>
      <c r="D70" s="18"/>
      <c r="E70" s="18"/>
      <c r="F70" s="18"/>
      <c r="G70" s="18"/>
      <c r="H70" s="18"/>
      <c r="I70" s="18"/>
      <c r="J70" s="18"/>
    </row>
    <row r="71" spans="1:10" ht="12" customHeight="1">
      <c r="A71" s="7"/>
      <c r="B71" s="7"/>
      <c r="C71" s="18"/>
      <c r="D71" s="18"/>
      <c r="E71" s="18"/>
      <c r="F71" s="18"/>
      <c r="G71" s="18"/>
      <c r="H71" s="18"/>
      <c r="I71" s="18"/>
      <c r="J71" s="18"/>
    </row>
    <row r="72" spans="1:10" ht="12" customHeight="1">
      <c r="A72" s="7"/>
      <c r="B72" s="7"/>
      <c r="C72" s="18"/>
      <c r="D72" s="18"/>
      <c r="E72" s="18"/>
      <c r="F72" s="18"/>
      <c r="G72" s="18"/>
      <c r="H72" s="18"/>
      <c r="I72" s="18"/>
      <c r="J72" s="18"/>
    </row>
    <row r="73" spans="1:10" ht="12" customHeight="1">
      <c r="A73" s="7"/>
      <c r="B73" s="7"/>
      <c r="C73" s="18"/>
      <c r="D73" s="18"/>
      <c r="E73" s="18"/>
      <c r="F73" s="18"/>
      <c r="G73" s="18"/>
      <c r="H73" s="18"/>
      <c r="I73" s="18"/>
      <c r="J73" s="18"/>
    </row>
    <row r="74" spans="1:10" ht="12" customHeight="1">
      <c r="A74" s="7"/>
      <c r="B74" s="7"/>
      <c r="C74" s="18"/>
      <c r="D74" s="18"/>
      <c r="E74" s="18"/>
      <c r="F74" s="18"/>
      <c r="G74" s="18"/>
      <c r="H74" s="18"/>
      <c r="I74" s="18"/>
      <c r="J74" s="18"/>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8.83203125" style="82" customWidth="1"/>
    <col min="5" max="5" width="15.83203125" style="82" customWidth="1"/>
    <col min="6" max="6" width="8.83203125" style="82" customWidth="1"/>
    <col min="7" max="7" width="15.83203125" style="82" customWidth="1"/>
    <col min="8" max="8" width="8.83203125" style="82" customWidth="1"/>
    <col min="9" max="9" width="4.83203125" style="82" customWidth="1"/>
    <col min="10" max="10" width="19.83203125" style="82" customWidth="1"/>
    <col min="11" max="16384" width="15.83203125" style="82" customWidth="1"/>
  </cols>
  <sheetData>
    <row r="1" spans="1:2" ht="6.75" customHeight="1">
      <c r="A1" s="18"/>
      <c r="B1" s="80"/>
    </row>
    <row r="2" spans="1:10" ht="12.75">
      <c r="A2" s="12"/>
      <c r="B2" s="106"/>
      <c r="C2" s="107" t="str">
        <f>REVYEAR</f>
        <v>ANALYSIS OF OPERATING FUND REVENUE: 2002/2003 BUDGET</v>
      </c>
      <c r="D2" s="107"/>
      <c r="E2" s="107"/>
      <c r="F2" s="107"/>
      <c r="G2" s="107"/>
      <c r="H2" s="286"/>
      <c r="I2" s="286"/>
      <c r="J2" s="108" t="s">
        <v>5</v>
      </c>
    </row>
    <row r="3" spans="1:2" ht="12.75">
      <c r="A3" s="13"/>
      <c r="B3" s="109"/>
    </row>
    <row r="4" spans="1:10" ht="12.75">
      <c r="A4" s="11"/>
      <c r="C4" s="153"/>
      <c r="D4" s="142"/>
      <c r="E4" s="142"/>
      <c r="F4" s="142"/>
      <c r="G4" s="142"/>
      <c r="H4" s="142"/>
      <c r="I4" s="142"/>
      <c r="J4" s="142"/>
    </row>
    <row r="5" spans="1:10" ht="12.75">
      <c r="A5" s="11"/>
      <c r="C5" s="57"/>
      <c r="D5" s="142"/>
      <c r="E5" s="142"/>
      <c r="F5" s="142"/>
      <c r="G5" s="142"/>
      <c r="H5" s="142"/>
      <c r="I5" s="142"/>
      <c r="J5" s="142"/>
    </row>
    <row r="6" spans="1:10" ht="12.75">
      <c r="A6" s="11"/>
      <c r="C6" s="68" t="s">
        <v>177</v>
      </c>
      <c r="D6" s="67"/>
      <c r="E6" s="184"/>
      <c r="F6" s="184"/>
      <c r="G6" s="68" t="s">
        <v>69</v>
      </c>
      <c r="H6" s="67"/>
      <c r="I6" s="142"/>
      <c r="J6" s="144" t="s">
        <v>69</v>
      </c>
    </row>
    <row r="7" spans="1:10" ht="12.75">
      <c r="A7" s="18"/>
      <c r="C7" s="178" t="s">
        <v>188</v>
      </c>
      <c r="D7" s="180"/>
      <c r="E7" s="185"/>
      <c r="F7" s="185"/>
      <c r="G7" s="178" t="s">
        <v>189</v>
      </c>
      <c r="H7" s="180"/>
      <c r="I7" s="142"/>
      <c r="J7" s="146" t="s">
        <v>190</v>
      </c>
    </row>
    <row r="8" spans="1:10" ht="12.75">
      <c r="A8" s="94"/>
      <c r="B8" s="46"/>
      <c r="C8" s="69" t="s">
        <v>210</v>
      </c>
      <c r="D8" s="71"/>
      <c r="E8" s="70" t="s">
        <v>57</v>
      </c>
      <c r="F8" s="70"/>
      <c r="G8" s="69" t="s">
        <v>211</v>
      </c>
      <c r="H8" s="71"/>
      <c r="I8" s="142"/>
      <c r="J8" s="186" t="s">
        <v>206</v>
      </c>
    </row>
    <row r="9" spans="1:10" ht="12.75">
      <c r="A9" s="52" t="s">
        <v>100</v>
      </c>
      <c r="B9" s="53" t="s">
        <v>101</v>
      </c>
      <c r="C9" s="154" t="s">
        <v>211</v>
      </c>
      <c r="D9" s="154" t="s">
        <v>103</v>
      </c>
      <c r="E9" s="187" t="s">
        <v>211</v>
      </c>
      <c r="F9" s="187" t="s">
        <v>103</v>
      </c>
      <c r="G9" s="154" t="s">
        <v>211</v>
      </c>
      <c r="H9" s="187" t="s">
        <v>103</v>
      </c>
      <c r="I9" s="142"/>
      <c r="J9" s="187" t="s">
        <v>211</v>
      </c>
    </row>
    <row r="10" spans="1:10" ht="4.5" customHeight="1">
      <c r="A10" s="77"/>
      <c r="B10" s="77"/>
      <c r="C10" s="148"/>
      <c r="D10" s="148"/>
      <c r="E10" s="148"/>
      <c r="F10" s="148"/>
      <c r="G10" s="148"/>
      <c r="H10" s="164"/>
      <c r="I10" s="80"/>
      <c r="J10" s="148"/>
    </row>
    <row r="11" spans="1:10" ht="12.75">
      <c r="A11" s="14">
        <v>1</v>
      </c>
      <c r="B11" s="15" t="s">
        <v>115</v>
      </c>
      <c r="C11" s="15">
        <v>797000</v>
      </c>
      <c r="D11" s="360">
        <f>C11/J11</f>
        <v>0.0031105048813851698</v>
      </c>
      <c r="E11" s="15">
        <v>885000</v>
      </c>
      <c r="F11" s="360">
        <f>E11/J11</f>
        <v>0.003453948331274624</v>
      </c>
      <c r="G11" s="15">
        <f>SUM('- 43 -'!C11,'- 43 -'!E11,'- 43 -'!G11,'- 43 -'!I11,C11,E11)</f>
        <v>119921400</v>
      </c>
      <c r="H11" s="360">
        <f>G11/J11</f>
        <v>0.46802521967696803</v>
      </c>
      <c r="J11" s="15">
        <f>SUM('- 42 -'!G11,G11)</f>
        <v>256228500</v>
      </c>
    </row>
    <row r="12" spans="1:10" ht="12.75">
      <c r="A12" s="16">
        <v>2</v>
      </c>
      <c r="B12" s="17" t="s">
        <v>116</v>
      </c>
      <c r="C12" s="17">
        <v>1229147</v>
      </c>
      <c r="D12" s="361">
        <f aca="true" t="shared" si="0" ref="D12:D63">C12/J12</f>
        <v>0.0189606879799419</v>
      </c>
      <c r="E12" s="17">
        <v>439878</v>
      </c>
      <c r="F12" s="361">
        <f aca="true" t="shared" si="1" ref="F12:F63">E12/J12</f>
        <v>0.00678551020117275</v>
      </c>
      <c r="G12" s="17">
        <f>SUM('- 43 -'!C12,'- 43 -'!E12,'- 43 -'!G12,'- 43 -'!I12,C12,E12)</f>
        <v>31747012</v>
      </c>
      <c r="H12" s="361">
        <f>G12/J12</f>
        <v>0.48972595533932983</v>
      </c>
      <c r="J12" s="17">
        <f>SUM('- 42 -'!G12,G12)</f>
        <v>64826076</v>
      </c>
    </row>
    <row r="13" spans="1:10" ht="12.75">
      <c r="A13" s="14">
        <v>3</v>
      </c>
      <c r="B13" s="15" t="s">
        <v>117</v>
      </c>
      <c r="C13" s="15">
        <v>134500</v>
      </c>
      <c r="D13" s="360">
        <f t="shared" si="0"/>
        <v>0.0028761151361279195</v>
      </c>
      <c r="E13" s="15">
        <v>122000</v>
      </c>
      <c r="F13" s="360">
        <f t="shared" si="1"/>
        <v>0.002608818190391124</v>
      </c>
      <c r="G13" s="15">
        <f>SUM('- 43 -'!C13,'- 43 -'!E13,'- 43 -'!G13,'- 43 -'!I13,C13,E13)</f>
        <v>24624876</v>
      </c>
      <c r="H13" s="360">
        <f aca="true" t="shared" si="2" ref="H13:H63">G13/J13</f>
        <v>0.5265723315157854</v>
      </c>
      <c r="J13" s="15">
        <f>SUM('- 42 -'!G13,G13)</f>
        <v>46764470</v>
      </c>
    </row>
    <row r="14" spans="1:10" ht="12.75">
      <c r="A14" s="16">
        <v>4</v>
      </c>
      <c r="B14" s="17" t="s">
        <v>118</v>
      </c>
      <c r="C14" s="17">
        <v>779000</v>
      </c>
      <c r="D14" s="361">
        <f t="shared" si="0"/>
        <v>0.01777529963074154</v>
      </c>
      <c r="E14" s="17">
        <v>58000</v>
      </c>
      <c r="F14" s="361">
        <f t="shared" si="1"/>
        <v>0.001323449779952515</v>
      </c>
      <c r="G14" s="17">
        <f>SUM('- 43 -'!C14,'- 43 -'!E14,'- 43 -'!G14,'- 43 -'!I14,C14,E14)</f>
        <v>19908106</v>
      </c>
      <c r="H14" s="361">
        <f t="shared" si="2"/>
        <v>0.454265146637437</v>
      </c>
      <c r="J14" s="17">
        <f>SUM('- 42 -'!G14,G14)</f>
        <v>43824859</v>
      </c>
    </row>
    <row r="15" spans="1:10" ht="12.75">
      <c r="A15" s="14">
        <v>5</v>
      </c>
      <c r="B15" s="15" t="s">
        <v>119</v>
      </c>
      <c r="C15" s="15">
        <v>913500</v>
      </c>
      <c r="D15" s="360">
        <f t="shared" si="0"/>
        <v>0.016757494672547547</v>
      </c>
      <c r="E15" s="15">
        <v>117850</v>
      </c>
      <c r="F15" s="360">
        <f t="shared" si="1"/>
        <v>0.0021618727390911095</v>
      </c>
      <c r="G15" s="15">
        <f>SUM('- 43 -'!C15,'- 43 -'!E15,'- 43 -'!G15,'- 43 -'!I15,C15,E15)</f>
        <v>28782374</v>
      </c>
      <c r="H15" s="360">
        <f t="shared" si="2"/>
        <v>0.5279917667961369</v>
      </c>
      <c r="J15" s="15">
        <f>SUM('- 42 -'!G15,G15)</f>
        <v>54512922</v>
      </c>
    </row>
    <row r="16" spans="1:10" ht="12.75">
      <c r="A16" s="16">
        <v>6</v>
      </c>
      <c r="B16" s="17" t="s">
        <v>120</v>
      </c>
      <c r="C16" s="17">
        <v>195000</v>
      </c>
      <c r="D16" s="361">
        <f t="shared" si="0"/>
        <v>0.003070652259922116</v>
      </c>
      <c r="E16" s="17">
        <v>476000</v>
      </c>
      <c r="F16" s="361">
        <f t="shared" si="1"/>
        <v>0.007495540901143217</v>
      </c>
      <c r="G16" s="17">
        <f>SUM('- 43 -'!C16,'- 43 -'!E16,'- 43 -'!G16,'- 43 -'!I16,C16,E16)</f>
        <v>25748534</v>
      </c>
      <c r="H16" s="361">
        <f t="shared" si="2"/>
        <v>0.4054604826501612</v>
      </c>
      <c r="J16" s="17">
        <f>SUM('- 42 -'!G16,G16)</f>
        <v>63504423</v>
      </c>
    </row>
    <row r="17" spans="1:10" ht="12.75">
      <c r="A17" s="14">
        <v>9</v>
      </c>
      <c r="B17" s="15" t="s">
        <v>121</v>
      </c>
      <c r="C17" s="15">
        <v>375000</v>
      </c>
      <c r="D17" s="360">
        <f t="shared" si="0"/>
        <v>0.004412851461407549</v>
      </c>
      <c r="E17" s="15">
        <v>120000</v>
      </c>
      <c r="F17" s="360">
        <f t="shared" si="1"/>
        <v>0.0014121124676504157</v>
      </c>
      <c r="G17" s="15">
        <f>SUM('- 43 -'!C17,'- 43 -'!E17,'- 43 -'!G17,'- 43 -'!I17,C17,E17)</f>
        <v>32550545</v>
      </c>
      <c r="H17" s="360">
        <f t="shared" si="2"/>
        <v>0.38304192019429917</v>
      </c>
      <c r="J17" s="15">
        <f>SUM('- 42 -'!G17,G17)</f>
        <v>84979067</v>
      </c>
    </row>
    <row r="18" spans="1:10" ht="12.75">
      <c r="A18" s="16">
        <v>10</v>
      </c>
      <c r="B18" s="17" t="s">
        <v>122</v>
      </c>
      <c r="C18" s="17">
        <v>511610</v>
      </c>
      <c r="D18" s="361">
        <f t="shared" si="0"/>
        <v>0.00801414446920489</v>
      </c>
      <c r="E18" s="17">
        <v>87000</v>
      </c>
      <c r="F18" s="361">
        <f t="shared" si="1"/>
        <v>0.0013628165376377032</v>
      </c>
      <c r="G18" s="17">
        <f>SUM('- 43 -'!C18,'- 43 -'!E18,'- 43 -'!G18,'- 43 -'!I18,C18,E18)</f>
        <v>26027840</v>
      </c>
      <c r="H18" s="361">
        <f t="shared" si="2"/>
        <v>0.40771460679296684</v>
      </c>
      <c r="J18" s="17">
        <f>SUM('- 42 -'!G18,G18)</f>
        <v>63838380</v>
      </c>
    </row>
    <row r="19" spans="1:10" ht="12.75">
      <c r="A19" s="14">
        <v>11</v>
      </c>
      <c r="B19" s="15" t="s">
        <v>123</v>
      </c>
      <c r="C19" s="15">
        <v>398500</v>
      </c>
      <c r="D19" s="360">
        <f t="shared" si="0"/>
        <v>0.01175945912743987</v>
      </c>
      <c r="E19" s="15">
        <v>66500</v>
      </c>
      <c r="F19" s="360">
        <f t="shared" si="1"/>
        <v>0.001962368963550192</v>
      </c>
      <c r="G19" s="15">
        <f>SUM('- 43 -'!C19,'- 43 -'!E19,'- 43 -'!G19,'- 43 -'!I19,C19,E19)</f>
        <v>13937423</v>
      </c>
      <c r="H19" s="360">
        <f t="shared" si="2"/>
        <v>0.41128370416647525</v>
      </c>
      <c r="J19" s="15">
        <f>SUM('- 42 -'!G19,G19)</f>
        <v>33887613</v>
      </c>
    </row>
    <row r="20" spans="1:10" ht="12.75">
      <c r="A20" s="16">
        <v>12</v>
      </c>
      <c r="B20" s="17" t="s">
        <v>124</v>
      </c>
      <c r="C20" s="17">
        <v>332000</v>
      </c>
      <c r="D20" s="361">
        <f t="shared" si="0"/>
        <v>0.006176806241402239</v>
      </c>
      <c r="E20" s="17">
        <v>173218</v>
      </c>
      <c r="F20" s="361">
        <f t="shared" si="1"/>
        <v>0.003222692841937389</v>
      </c>
      <c r="G20" s="17">
        <f>SUM('- 43 -'!C20,'- 43 -'!E20,'- 43 -'!G20,'- 43 -'!I20,C20,E20)</f>
        <v>22146233</v>
      </c>
      <c r="H20" s="361">
        <f t="shared" si="2"/>
        <v>0.4120270789697236</v>
      </c>
      <c r="J20" s="17">
        <f>SUM('- 42 -'!G20,G20)</f>
        <v>53749460</v>
      </c>
    </row>
    <row r="21" spans="1:10" ht="12.75">
      <c r="A21" s="14">
        <v>13</v>
      </c>
      <c r="B21" s="15" t="s">
        <v>125</v>
      </c>
      <c r="C21" s="15">
        <v>171960</v>
      </c>
      <c r="D21" s="360">
        <f t="shared" si="0"/>
        <v>0.007826716959862087</v>
      </c>
      <c r="E21" s="15">
        <v>95782</v>
      </c>
      <c r="F21" s="360">
        <f t="shared" si="1"/>
        <v>0.004359494090774078</v>
      </c>
      <c r="G21" s="15">
        <f>SUM('- 43 -'!C21,'- 43 -'!E21,'- 43 -'!G21,'- 43 -'!I21,C21,E21)</f>
        <v>9141970</v>
      </c>
      <c r="H21" s="360">
        <f t="shared" si="2"/>
        <v>0.41609450829001166</v>
      </c>
      <c r="J21" s="15">
        <f>SUM('- 42 -'!G21,G21)</f>
        <v>21970898</v>
      </c>
    </row>
    <row r="22" spans="1:10" ht="12.75">
      <c r="A22" s="16">
        <v>14</v>
      </c>
      <c r="B22" s="17" t="s">
        <v>126</v>
      </c>
      <c r="C22" s="17">
        <v>48262</v>
      </c>
      <c r="D22" s="361">
        <f t="shared" si="0"/>
        <v>0.0019400934735765275</v>
      </c>
      <c r="E22" s="17">
        <v>90670</v>
      </c>
      <c r="F22" s="361">
        <f t="shared" si="1"/>
        <v>0.0036448608687825565</v>
      </c>
      <c r="G22" s="17">
        <f>SUM('- 43 -'!C22,'- 43 -'!E22,'- 43 -'!G22,'- 43 -'!I22,C22,E22)</f>
        <v>7949603</v>
      </c>
      <c r="H22" s="361">
        <f t="shared" si="2"/>
        <v>0.3195676287311836</v>
      </c>
      <c r="J22" s="17">
        <f>SUM('- 42 -'!G22,G22)</f>
        <v>24876121</v>
      </c>
    </row>
    <row r="23" spans="1:10" ht="12.75">
      <c r="A23" s="14">
        <v>15</v>
      </c>
      <c r="B23" s="15" t="s">
        <v>127</v>
      </c>
      <c r="C23" s="15">
        <v>349300</v>
      </c>
      <c r="D23" s="360">
        <f t="shared" si="0"/>
        <v>0.009865660936015949</v>
      </c>
      <c r="E23" s="15">
        <v>47000</v>
      </c>
      <c r="F23" s="360">
        <f t="shared" si="1"/>
        <v>0.0013274722702340384</v>
      </c>
      <c r="G23" s="15">
        <f>SUM('- 43 -'!C23,'- 43 -'!E23,'- 43 -'!G23,'- 43 -'!I23,C23,E23)</f>
        <v>11024193</v>
      </c>
      <c r="H23" s="360">
        <f t="shared" si="2"/>
        <v>0.31136830870655735</v>
      </c>
      <c r="J23" s="15">
        <f>SUM('- 42 -'!G23,G23)</f>
        <v>35405636</v>
      </c>
    </row>
    <row r="24" spans="1:10" ht="12.75">
      <c r="A24" s="16">
        <v>16</v>
      </c>
      <c r="B24" s="17" t="s">
        <v>128</v>
      </c>
      <c r="C24" s="17">
        <v>27000</v>
      </c>
      <c r="D24" s="361">
        <f t="shared" si="0"/>
        <v>0.004192458698458961</v>
      </c>
      <c r="E24" s="17">
        <v>25400</v>
      </c>
      <c r="F24" s="361">
        <f t="shared" si="1"/>
        <v>0.003944016701513245</v>
      </c>
      <c r="G24" s="17">
        <f>SUM('- 43 -'!C24,'- 43 -'!E24,'- 43 -'!G24,'- 43 -'!I24,C24,E24)</f>
        <v>2574549</v>
      </c>
      <c r="H24" s="361">
        <f t="shared" si="2"/>
        <v>0.39976630924662293</v>
      </c>
      <c r="J24" s="17">
        <f>SUM('- 42 -'!G24,G24)</f>
        <v>6440135</v>
      </c>
    </row>
    <row r="25" spans="1:10" ht="12.75">
      <c r="A25" s="14">
        <v>17</v>
      </c>
      <c r="B25" s="15" t="s">
        <v>129</v>
      </c>
      <c r="C25" s="15">
        <v>18000</v>
      </c>
      <c r="D25" s="360">
        <f t="shared" si="0"/>
        <v>0.003767748450042481</v>
      </c>
      <c r="E25" s="15">
        <v>13000</v>
      </c>
      <c r="F25" s="360">
        <f t="shared" si="1"/>
        <v>0.002721151658364014</v>
      </c>
      <c r="G25" s="15">
        <f>SUM('- 43 -'!C25,'- 43 -'!E25,'- 43 -'!G25,'- 43 -'!I25,C25,E25)</f>
        <v>1929272</v>
      </c>
      <c r="H25" s="360">
        <f t="shared" si="2"/>
        <v>0.4038339770950199</v>
      </c>
      <c r="J25" s="15">
        <f>SUM('- 42 -'!G25,G25)</f>
        <v>4777389</v>
      </c>
    </row>
    <row r="26" spans="1:10" ht="12.75">
      <c r="A26" s="16">
        <v>18</v>
      </c>
      <c r="B26" s="17" t="s">
        <v>130</v>
      </c>
      <c r="C26" s="17">
        <v>133000</v>
      </c>
      <c r="D26" s="361">
        <f t="shared" si="0"/>
        <v>0.013238634955391276</v>
      </c>
      <c r="E26" s="17">
        <v>0</v>
      </c>
      <c r="F26" s="361">
        <f t="shared" si="1"/>
        <v>0</v>
      </c>
      <c r="G26" s="17">
        <f>SUM('- 43 -'!C26,'- 43 -'!E26,'- 43 -'!G26,'- 43 -'!I26,C26,E26)</f>
        <v>3637100</v>
      </c>
      <c r="H26" s="361">
        <f t="shared" si="2"/>
        <v>0.36203187365604217</v>
      </c>
      <c r="J26" s="17">
        <f>SUM('- 42 -'!G26,G26)</f>
        <v>10046353</v>
      </c>
    </row>
    <row r="27" spans="1:10" ht="12.75">
      <c r="A27" s="14">
        <v>19</v>
      </c>
      <c r="B27" s="15" t="s">
        <v>131</v>
      </c>
      <c r="C27" s="15">
        <v>98000</v>
      </c>
      <c r="D27" s="360">
        <f t="shared" si="0"/>
        <v>0.00755212216559415</v>
      </c>
      <c r="E27" s="15">
        <v>12500</v>
      </c>
      <c r="F27" s="360">
        <f t="shared" si="1"/>
        <v>0.0009632808884686416</v>
      </c>
      <c r="G27" s="15">
        <f>SUM('- 43 -'!C27,'- 43 -'!E27,'- 43 -'!G27,'- 43 -'!I27,C27,E27)</f>
        <v>4733489</v>
      </c>
      <c r="H27" s="360">
        <f t="shared" si="2"/>
        <v>0.36477435915812334</v>
      </c>
      <c r="J27" s="15">
        <f>SUM('- 42 -'!G27,G27)</f>
        <v>12976485</v>
      </c>
    </row>
    <row r="28" spans="1:10" ht="12.75">
      <c r="A28" s="16">
        <v>20</v>
      </c>
      <c r="B28" s="17" t="s">
        <v>132</v>
      </c>
      <c r="C28" s="17">
        <v>0</v>
      </c>
      <c r="D28" s="361">
        <f t="shared" si="0"/>
        <v>0</v>
      </c>
      <c r="E28" s="17">
        <v>6000</v>
      </c>
      <c r="F28" s="361">
        <f t="shared" si="1"/>
        <v>0.0007329543226530894</v>
      </c>
      <c r="G28" s="17">
        <f>SUM('- 43 -'!C28,'- 43 -'!E28,'- 43 -'!G28,'- 43 -'!I28,C28,E28)</f>
        <v>3382439</v>
      </c>
      <c r="H28" s="361">
        <f t="shared" si="2"/>
        <v>0.41319554769339883</v>
      </c>
      <c r="J28" s="17">
        <f>SUM('- 42 -'!G28,G28)</f>
        <v>8186049</v>
      </c>
    </row>
    <row r="29" spans="1:10" ht="12.75">
      <c r="A29" s="14">
        <v>21</v>
      </c>
      <c r="B29" s="15" t="s">
        <v>133</v>
      </c>
      <c r="C29" s="15">
        <v>90500</v>
      </c>
      <c r="D29" s="360">
        <f t="shared" si="0"/>
        <v>0.003753629199502281</v>
      </c>
      <c r="E29" s="15">
        <v>60655</v>
      </c>
      <c r="F29" s="360">
        <f t="shared" si="1"/>
        <v>0.0025157610949813353</v>
      </c>
      <c r="G29" s="15">
        <f>SUM('- 43 -'!C29,'- 43 -'!E29,'- 43 -'!G29,'- 43 -'!I29,C29,E29)</f>
        <v>8775655</v>
      </c>
      <c r="H29" s="360">
        <f t="shared" si="2"/>
        <v>0.36398403152218994</v>
      </c>
      <c r="J29" s="15">
        <f>SUM('- 42 -'!G29,G29)</f>
        <v>24110000</v>
      </c>
    </row>
    <row r="30" spans="1:10" ht="12.75">
      <c r="A30" s="16">
        <v>22</v>
      </c>
      <c r="B30" s="17" t="s">
        <v>134</v>
      </c>
      <c r="C30" s="17">
        <v>96500</v>
      </c>
      <c r="D30" s="361">
        <f t="shared" si="0"/>
        <v>0.0075373536406042945</v>
      </c>
      <c r="E30" s="17">
        <v>10000</v>
      </c>
      <c r="F30" s="361">
        <f t="shared" si="1"/>
        <v>0.0007810729161247973</v>
      </c>
      <c r="G30" s="17">
        <f>SUM('- 43 -'!C30,'- 43 -'!E30,'- 43 -'!G30,'- 43 -'!I30,C30,E30)</f>
        <v>6036057</v>
      </c>
      <c r="H30" s="361">
        <f t="shared" si="2"/>
        <v>0.4714600642885496</v>
      </c>
      <c r="J30" s="17">
        <f>SUM('- 42 -'!G30,G30)</f>
        <v>12802902</v>
      </c>
    </row>
    <row r="31" spans="1:10" ht="12.75">
      <c r="A31" s="14">
        <v>23</v>
      </c>
      <c r="B31" s="15" t="s">
        <v>135</v>
      </c>
      <c r="C31" s="15">
        <v>23000</v>
      </c>
      <c r="D31" s="360">
        <f t="shared" si="0"/>
        <v>0.0022018433641179756</v>
      </c>
      <c r="E31" s="15">
        <v>15000</v>
      </c>
      <c r="F31" s="360">
        <f t="shared" si="1"/>
        <v>0.0014359848026856362</v>
      </c>
      <c r="G31" s="15">
        <f>SUM('- 43 -'!C31,'- 43 -'!E31,'- 43 -'!G31,'- 43 -'!I31,C31,E31)</f>
        <v>3099117</v>
      </c>
      <c r="H31" s="360">
        <f t="shared" si="2"/>
        <v>0.2966856609163134</v>
      </c>
      <c r="J31" s="15">
        <f>SUM('- 42 -'!G31,G31)</f>
        <v>10445793</v>
      </c>
    </row>
    <row r="32" spans="1:10" ht="12.75">
      <c r="A32" s="16">
        <v>24</v>
      </c>
      <c r="B32" s="17" t="s">
        <v>136</v>
      </c>
      <c r="C32" s="17">
        <v>51000</v>
      </c>
      <c r="D32" s="361">
        <f t="shared" si="0"/>
        <v>0.002161196346764547</v>
      </c>
      <c r="E32" s="17">
        <v>37000</v>
      </c>
      <c r="F32" s="361">
        <f t="shared" si="1"/>
        <v>0.0015679267613782008</v>
      </c>
      <c r="G32" s="17">
        <f>SUM('- 43 -'!C32,'- 43 -'!E32,'- 43 -'!G32,'- 43 -'!I32,C32,E32)</f>
        <v>8848400</v>
      </c>
      <c r="H32" s="361">
        <f t="shared" si="2"/>
        <v>0.3749633285237533</v>
      </c>
      <c r="J32" s="17">
        <f>SUM('- 42 -'!G32,G32)</f>
        <v>23598041</v>
      </c>
    </row>
    <row r="33" spans="1:10" ht="12.75">
      <c r="A33" s="14">
        <v>25</v>
      </c>
      <c r="B33" s="15" t="s">
        <v>137</v>
      </c>
      <c r="C33" s="15">
        <v>9500</v>
      </c>
      <c r="D33" s="360">
        <f t="shared" si="0"/>
        <v>0.0008800244998820767</v>
      </c>
      <c r="E33" s="15">
        <v>21100</v>
      </c>
      <c r="F33" s="360">
        <f t="shared" si="1"/>
        <v>0.0019545807313170334</v>
      </c>
      <c r="G33" s="15">
        <f>SUM('- 43 -'!C33,'- 43 -'!E33,'- 43 -'!G33,'- 43 -'!I33,C33,E33)</f>
        <v>4154139</v>
      </c>
      <c r="H33" s="360">
        <f t="shared" si="2"/>
        <v>0.384815167991119</v>
      </c>
      <c r="J33" s="15">
        <f>SUM('- 42 -'!G33,G33)</f>
        <v>10795154</v>
      </c>
    </row>
    <row r="34" spans="1:10" ht="12.75">
      <c r="A34" s="16">
        <v>26</v>
      </c>
      <c r="B34" s="17" t="s">
        <v>138</v>
      </c>
      <c r="C34" s="17">
        <v>0</v>
      </c>
      <c r="D34" s="361">
        <f t="shared" si="0"/>
        <v>0</v>
      </c>
      <c r="E34" s="17">
        <v>100000</v>
      </c>
      <c r="F34" s="361">
        <f t="shared" si="1"/>
        <v>0.005659224051340028</v>
      </c>
      <c r="G34" s="17">
        <f>SUM('- 43 -'!C34,'- 43 -'!E34,'- 43 -'!G34,'- 43 -'!I34,C34,E34)</f>
        <v>5682000</v>
      </c>
      <c r="H34" s="361">
        <f t="shared" si="2"/>
        <v>0.32155711059714037</v>
      </c>
      <c r="J34" s="17">
        <f>SUM('- 42 -'!G34,G34)</f>
        <v>17670267</v>
      </c>
    </row>
    <row r="35" spans="1:10" ht="12.75">
      <c r="A35" s="14">
        <v>28</v>
      </c>
      <c r="B35" s="15" t="s">
        <v>139</v>
      </c>
      <c r="C35" s="15">
        <v>0</v>
      </c>
      <c r="D35" s="360">
        <f t="shared" si="0"/>
        <v>0</v>
      </c>
      <c r="E35" s="15">
        <v>12000</v>
      </c>
      <c r="F35" s="360">
        <f t="shared" si="1"/>
        <v>0.0018403502309179453</v>
      </c>
      <c r="G35" s="15">
        <f>SUM('- 43 -'!C35,'- 43 -'!E35,'- 43 -'!G35,'- 43 -'!I35,C35,E35)</f>
        <v>2125500</v>
      </c>
      <c r="H35" s="360">
        <f t="shared" si="2"/>
        <v>0.32597203465134106</v>
      </c>
      <c r="J35" s="15">
        <f>SUM('- 42 -'!G35,G35)</f>
        <v>6520498</v>
      </c>
    </row>
    <row r="36" spans="1:10" ht="12.75">
      <c r="A36" s="16">
        <v>30</v>
      </c>
      <c r="B36" s="17" t="s">
        <v>140</v>
      </c>
      <c r="C36" s="17">
        <v>5500</v>
      </c>
      <c r="D36" s="361">
        <f t="shared" si="0"/>
        <v>0.0005436112629928034</v>
      </c>
      <c r="E36" s="17">
        <v>15000</v>
      </c>
      <c r="F36" s="361">
        <f t="shared" si="1"/>
        <v>0.0014825761717985548</v>
      </c>
      <c r="G36" s="17">
        <f>SUM('- 43 -'!C36,'- 43 -'!E36,'- 43 -'!G36,'- 43 -'!I36,C36,E36)</f>
        <v>3640589</v>
      </c>
      <c r="H36" s="361">
        <f t="shared" si="2"/>
        <v>0.35983003351412857</v>
      </c>
      <c r="J36" s="17">
        <f>SUM('- 42 -'!G36,G36)</f>
        <v>10117524</v>
      </c>
    </row>
    <row r="37" spans="1:10" ht="12.75">
      <c r="A37" s="14">
        <v>31</v>
      </c>
      <c r="B37" s="15" t="s">
        <v>141</v>
      </c>
      <c r="C37" s="15">
        <v>42200</v>
      </c>
      <c r="D37" s="360">
        <f t="shared" si="0"/>
        <v>0.003780875507416788</v>
      </c>
      <c r="E37" s="15">
        <v>74500</v>
      </c>
      <c r="F37" s="360">
        <f t="shared" si="1"/>
        <v>0.0066747683720983575</v>
      </c>
      <c r="G37" s="15">
        <f>SUM('- 43 -'!C37,'- 43 -'!E37,'- 43 -'!G37,'- 43 -'!I37,C37,E37)</f>
        <v>4343608</v>
      </c>
      <c r="H37" s="360">
        <f t="shared" si="2"/>
        <v>0.38916211139856915</v>
      </c>
      <c r="J37" s="15">
        <f>SUM('- 42 -'!G37,G37)</f>
        <v>11161436</v>
      </c>
    </row>
    <row r="38" spans="1:10" ht="12.75">
      <c r="A38" s="16">
        <v>32</v>
      </c>
      <c r="B38" s="17" t="s">
        <v>142</v>
      </c>
      <c r="C38" s="17">
        <v>27300</v>
      </c>
      <c r="D38" s="361">
        <f t="shared" si="0"/>
        <v>0.0038510542014013886</v>
      </c>
      <c r="E38" s="17">
        <v>20000</v>
      </c>
      <c r="F38" s="361">
        <f t="shared" si="1"/>
        <v>0.0028212851292317865</v>
      </c>
      <c r="G38" s="17">
        <f>SUM('- 43 -'!C38,'- 43 -'!E38,'- 43 -'!G38,'- 43 -'!I38,C38,E38)</f>
        <v>2199985</v>
      </c>
      <c r="H38" s="361">
        <f t="shared" si="2"/>
        <v>0.3103392482516496</v>
      </c>
      <c r="J38" s="17">
        <f>SUM('- 42 -'!G38,G38)</f>
        <v>7088968</v>
      </c>
    </row>
    <row r="39" spans="1:10" ht="12.75">
      <c r="A39" s="14">
        <v>33</v>
      </c>
      <c r="B39" s="15" t="s">
        <v>143</v>
      </c>
      <c r="C39" s="15">
        <v>180500</v>
      </c>
      <c r="D39" s="360">
        <f t="shared" si="0"/>
        <v>0.013056496073358266</v>
      </c>
      <c r="E39" s="15">
        <v>42000</v>
      </c>
      <c r="F39" s="360">
        <f t="shared" si="1"/>
        <v>0.003038076648648461</v>
      </c>
      <c r="G39" s="15">
        <f>SUM('- 43 -'!C39,'- 43 -'!E39,'- 43 -'!G39,'- 43 -'!I39,C39,E39)</f>
        <v>5054749</v>
      </c>
      <c r="H39" s="360">
        <f t="shared" si="2"/>
        <v>0.36563606908759905</v>
      </c>
      <c r="J39" s="15">
        <f>SUM('- 42 -'!G39,G39)</f>
        <v>13824536</v>
      </c>
    </row>
    <row r="40" spans="1:10" ht="12.75">
      <c r="A40" s="16">
        <v>34</v>
      </c>
      <c r="B40" s="17" t="s">
        <v>144</v>
      </c>
      <c r="C40" s="17">
        <v>0</v>
      </c>
      <c r="D40" s="361">
        <f t="shared" si="0"/>
        <v>0</v>
      </c>
      <c r="E40" s="17">
        <v>26000</v>
      </c>
      <c r="F40" s="361">
        <f t="shared" si="1"/>
        <v>0.004486176623189289</v>
      </c>
      <c r="G40" s="17">
        <f>SUM('- 43 -'!C40,'- 43 -'!E40,'- 43 -'!G40,'- 43 -'!I40,C40,E40)</f>
        <v>1432200</v>
      </c>
      <c r="H40" s="361">
        <f t="shared" si="2"/>
        <v>0.24711931383583458</v>
      </c>
      <c r="J40" s="17">
        <f>SUM('- 42 -'!G40,G40)</f>
        <v>5795581</v>
      </c>
    </row>
    <row r="41" spans="1:10" ht="12.75">
      <c r="A41" s="14">
        <v>35</v>
      </c>
      <c r="B41" s="15" t="s">
        <v>145</v>
      </c>
      <c r="C41" s="15">
        <v>203150</v>
      </c>
      <c r="D41" s="360">
        <f t="shared" si="0"/>
        <v>0.01381969498712078</v>
      </c>
      <c r="E41" s="15">
        <v>137579</v>
      </c>
      <c r="F41" s="360">
        <f t="shared" si="1"/>
        <v>0.009359093362702879</v>
      </c>
      <c r="G41" s="15">
        <f>SUM('- 43 -'!C41,'- 43 -'!E41,'- 43 -'!G41,'- 43 -'!I41,C41,E41)</f>
        <v>5415898</v>
      </c>
      <c r="H41" s="360">
        <f t="shared" si="2"/>
        <v>0.36842755816567785</v>
      </c>
      <c r="J41" s="15">
        <f>SUM('- 42 -'!G41,G41)</f>
        <v>14700035</v>
      </c>
    </row>
    <row r="42" spans="1:10" ht="12.75">
      <c r="A42" s="16">
        <v>36</v>
      </c>
      <c r="B42" s="17" t="s">
        <v>146</v>
      </c>
      <c r="C42" s="17">
        <v>5000</v>
      </c>
      <c r="D42" s="361">
        <f t="shared" si="0"/>
        <v>0.000646567721115169</v>
      </c>
      <c r="E42" s="17">
        <v>67000</v>
      </c>
      <c r="F42" s="361">
        <f t="shared" si="1"/>
        <v>0.008664007462943265</v>
      </c>
      <c r="G42" s="17">
        <f>SUM('- 43 -'!C42,'- 43 -'!E42,'- 43 -'!G42,'- 43 -'!I42,C42,E42)</f>
        <v>3083141</v>
      </c>
      <c r="H42" s="361">
        <f t="shared" si="2"/>
        <v>0.39869189004934863</v>
      </c>
      <c r="J42" s="17">
        <f>SUM('- 42 -'!G42,G42)</f>
        <v>7733142</v>
      </c>
    </row>
    <row r="43" spans="1:10" ht="12.75">
      <c r="A43" s="14">
        <v>37</v>
      </c>
      <c r="B43" s="15" t="s">
        <v>147</v>
      </c>
      <c r="C43" s="15">
        <v>7100</v>
      </c>
      <c r="D43" s="360">
        <f t="shared" si="0"/>
        <v>0.0010231181470898053</v>
      </c>
      <c r="E43" s="15">
        <v>18000</v>
      </c>
      <c r="F43" s="360">
        <f t="shared" si="1"/>
        <v>0.0025938206545938723</v>
      </c>
      <c r="G43" s="15">
        <f>SUM('- 43 -'!C43,'- 43 -'!E43,'- 43 -'!G43,'- 43 -'!I43,C43,E43)</f>
        <v>2591192</v>
      </c>
      <c r="H43" s="360">
        <f t="shared" si="2"/>
        <v>0.37339374053435587</v>
      </c>
      <c r="J43" s="15">
        <f>SUM('- 42 -'!G43,G43)</f>
        <v>6939570</v>
      </c>
    </row>
    <row r="44" spans="1:10" ht="12.75">
      <c r="A44" s="16">
        <v>38</v>
      </c>
      <c r="B44" s="17" t="s">
        <v>148</v>
      </c>
      <c r="C44" s="17">
        <v>50500</v>
      </c>
      <c r="D44" s="361">
        <f t="shared" si="0"/>
        <v>0.005450658266824509</v>
      </c>
      <c r="E44" s="17">
        <v>5000</v>
      </c>
      <c r="F44" s="361">
        <f t="shared" si="1"/>
        <v>0.0005396691353291593</v>
      </c>
      <c r="G44" s="17">
        <f>SUM('- 43 -'!C44,'- 43 -'!E44,'- 43 -'!G44,'- 43 -'!I44,C44,E44)</f>
        <v>3934280</v>
      </c>
      <c r="H44" s="361">
        <f t="shared" si="2"/>
        <v>0.424641897148561</v>
      </c>
      <c r="J44" s="17">
        <f>SUM('- 42 -'!G44,G44)</f>
        <v>9264936</v>
      </c>
    </row>
    <row r="45" spans="1:10" ht="12.75">
      <c r="A45" s="14">
        <v>39</v>
      </c>
      <c r="B45" s="15" t="s">
        <v>149</v>
      </c>
      <c r="C45" s="15">
        <v>0</v>
      </c>
      <c r="D45" s="360">
        <f t="shared" si="0"/>
        <v>0</v>
      </c>
      <c r="E45" s="15">
        <v>65000</v>
      </c>
      <c r="F45" s="360">
        <f t="shared" si="1"/>
        <v>0.004035174304010032</v>
      </c>
      <c r="G45" s="15">
        <f>SUM('- 43 -'!C45,'- 43 -'!E45,'- 43 -'!G45,'- 43 -'!I45,C45,E45)</f>
        <v>6800641</v>
      </c>
      <c r="H45" s="360">
        <f t="shared" si="2"/>
        <v>0.42218110483072446</v>
      </c>
      <c r="J45" s="15">
        <f>SUM('- 42 -'!G45,G45)</f>
        <v>16108350</v>
      </c>
    </row>
    <row r="46" spans="1:10" ht="12.75">
      <c r="A46" s="16">
        <v>40</v>
      </c>
      <c r="B46" s="17" t="s">
        <v>150</v>
      </c>
      <c r="C46" s="17">
        <v>524200</v>
      </c>
      <c r="D46" s="361">
        <f t="shared" si="0"/>
        <v>0.011126180909748887</v>
      </c>
      <c r="E46" s="17">
        <v>66000</v>
      </c>
      <c r="F46" s="361">
        <f t="shared" si="1"/>
        <v>0.0014008545212579673</v>
      </c>
      <c r="G46" s="17">
        <f>SUM('- 43 -'!C46,'- 43 -'!E46,'- 43 -'!G46,'- 43 -'!I46,C46,E46)</f>
        <v>19098100</v>
      </c>
      <c r="H46" s="361">
        <f t="shared" si="2"/>
        <v>0.40535848079449677</v>
      </c>
      <c r="J46" s="17">
        <f>SUM('- 42 -'!G46,G46)</f>
        <v>47114100</v>
      </c>
    </row>
    <row r="47" spans="1:10" ht="12.75">
      <c r="A47" s="14">
        <v>41</v>
      </c>
      <c r="B47" s="15" t="s">
        <v>151</v>
      </c>
      <c r="C47" s="15">
        <v>25200</v>
      </c>
      <c r="D47" s="360">
        <f t="shared" si="0"/>
        <v>0.0020039273795802665</v>
      </c>
      <c r="E47" s="15">
        <v>23000</v>
      </c>
      <c r="F47" s="360">
        <f t="shared" si="1"/>
        <v>0.0018289813385057986</v>
      </c>
      <c r="G47" s="15">
        <f>SUM('- 43 -'!C47,'- 43 -'!E47,'- 43 -'!G47,'- 43 -'!I47,C47,E47)</f>
        <v>5455932</v>
      </c>
      <c r="H47" s="360">
        <f t="shared" si="2"/>
        <v>0.4338607744415921</v>
      </c>
      <c r="J47" s="15">
        <f>SUM('- 42 -'!G47,G47)</f>
        <v>12575306</v>
      </c>
    </row>
    <row r="48" spans="1:10" ht="12.75">
      <c r="A48" s="16">
        <v>42</v>
      </c>
      <c r="B48" s="17" t="s">
        <v>152</v>
      </c>
      <c r="C48" s="17">
        <v>0</v>
      </c>
      <c r="D48" s="361">
        <f t="shared" si="0"/>
        <v>0</v>
      </c>
      <c r="E48" s="17">
        <v>48462</v>
      </c>
      <c r="F48" s="361">
        <f t="shared" si="1"/>
        <v>0.00591780211691292</v>
      </c>
      <c r="G48" s="17">
        <f>SUM('- 43 -'!C48,'- 43 -'!E48,'- 43 -'!G48,'- 43 -'!I48,C48,E48)</f>
        <v>3392710</v>
      </c>
      <c r="H48" s="361">
        <f t="shared" si="2"/>
        <v>0.4142913297031</v>
      </c>
      <c r="J48" s="17">
        <f>SUM('- 42 -'!G48,G48)</f>
        <v>8189189</v>
      </c>
    </row>
    <row r="49" spans="1:10" ht="12.75">
      <c r="A49" s="14">
        <v>43</v>
      </c>
      <c r="B49" s="15" t="s">
        <v>153</v>
      </c>
      <c r="C49" s="15">
        <v>0</v>
      </c>
      <c r="D49" s="360">
        <f t="shared" si="0"/>
        <v>0</v>
      </c>
      <c r="E49" s="15">
        <v>22000</v>
      </c>
      <c r="F49" s="360">
        <f t="shared" si="1"/>
        <v>0.0034240781486694267</v>
      </c>
      <c r="G49" s="15">
        <f>SUM('- 43 -'!C49,'- 43 -'!E49,'- 43 -'!G49,'- 43 -'!I49,C49,E49)</f>
        <v>2910333</v>
      </c>
      <c r="H49" s="360">
        <f t="shared" si="2"/>
        <v>0.45296398321143355</v>
      </c>
      <c r="J49" s="15">
        <f>SUM('- 42 -'!G49,G49)</f>
        <v>6425087</v>
      </c>
    </row>
    <row r="50" spans="1:10" ht="12.75">
      <c r="A50" s="16">
        <v>44</v>
      </c>
      <c r="B50" s="17" t="s">
        <v>154</v>
      </c>
      <c r="C50" s="17">
        <v>2600</v>
      </c>
      <c r="D50" s="361">
        <f t="shared" si="0"/>
        <v>0.0002752989693865428</v>
      </c>
      <c r="E50" s="17">
        <v>17500</v>
      </c>
      <c r="F50" s="361">
        <f t="shared" si="1"/>
        <v>0.001852973832409423</v>
      </c>
      <c r="G50" s="17">
        <f>SUM('- 43 -'!C50,'- 43 -'!E50,'- 43 -'!G50,'- 43 -'!I50,C50,E50)</f>
        <v>3756614</v>
      </c>
      <c r="H50" s="361">
        <f t="shared" si="2"/>
        <v>0.39776613945502237</v>
      </c>
      <c r="J50" s="17">
        <f>SUM('- 42 -'!G50,G50)</f>
        <v>9444278</v>
      </c>
    </row>
    <row r="51" spans="1:10" ht="12.75">
      <c r="A51" s="14">
        <v>45</v>
      </c>
      <c r="B51" s="15" t="s">
        <v>155</v>
      </c>
      <c r="C51" s="15">
        <v>56500</v>
      </c>
      <c r="D51" s="360">
        <f t="shared" si="0"/>
        <v>0.004703391244982668</v>
      </c>
      <c r="E51" s="15">
        <v>0</v>
      </c>
      <c r="F51" s="360">
        <f t="shared" si="1"/>
        <v>0</v>
      </c>
      <c r="G51" s="15">
        <f>SUM('- 43 -'!C51,'- 43 -'!E51,'- 43 -'!G51,'- 43 -'!I51,C51,E51)</f>
        <v>3292632</v>
      </c>
      <c r="H51" s="360">
        <f t="shared" si="2"/>
        <v>0.27409799153539416</v>
      </c>
      <c r="J51" s="15">
        <f>SUM('- 42 -'!G51,G51)</f>
        <v>12012609</v>
      </c>
    </row>
    <row r="52" spans="1:10" ht="12.75">
      <c r="A52" s="16">
        <v>46</v>
      </c>
      <c r="B52" s="17" t="s">
        <v>156</v>
      </c>
      <c r="C52" s="17">
        <v>1119159</v>
      </c>
      <c r="D52" s="361">
        <f t="shared" si="0"/>
        <v>0.1038514024257503</v>
      </c>
      <c r="E52" s="17">
        <v>56296</v>
      </c>
      <c r="F52" s="361">
        <f t="shared" si="1"/>
        <v>0.005223939181975072</v>
      </c>
      <c r="G52" s="17">
        <f>SUM('- 43 -'!C52,'- 43 -'!E52,'- 43 -'!G52,'- 43 -'!I52,C52,E52)</f>
        <v>4318516</v>
      </c>
      <c r="H52" s="361">
        <f t="shared" si="2"/>
        <v>0.40073299950949015</v>
      </c>
      <c r="J52" s="17">
        <f>SUM('- 42 -'!G52,G52)</f>
        <v>10776542</v>
      </c>
    </row>
    <row r="53" spans="1:10" ht="12.75">
      <c r="A53" s="14">
        <v>47</v>
      </c>
      <c r="B53" s="15" t="s">
        <v>157</v>
      </c>
      <c r="C53" s="15">
        <v>95000</v>
      </c>
      <c r="D53" s="360">
        <f t="shared" si="0"/>
        <v>0.009630622053029652</v>
      </c>
      <c r="E53" s="15">
        <v>35329</v>
      </c>
      <c r="F53" s="360">
        <f t="shared" si="1"/>
        <v>0.0035814762790682586</v>
      </c>
      <c r="G53" s="15">
        <f>SUM('- 43 -'!C53,'- 43 -'!E53,'- 43 -'!G53,'- 43 -'!I53,C53,E53)</f>
        <v>3796276</v>
      </c>
      <c r="H53" s="360">
        <f t="shared" si="2"/>
        <v>0.3848473617367073</v>
      </c>
      <c r="J53" s="15">
        <f>SUM('- 42 -'!G53,G53)</f>
        <v>9864368</v>
      </c>
    </row>
    <row r="54" spans="1:10" ht="12.75">
      <c r="A54" s="16">
        <v>48</v>
      </c>
      <c r="B54" s="17" t="s">
        <v>158</v>
      </c>
      <c r="C54" s="17">
        <v>2403195</v>
      </c>
      <c r="D54" s="361">
        <f t="shared" si="0"/>
        <v>0.03736238604852767</v>
      </c>
      <c r="E54" s="17">
        <v>2393</v>
      </c>
      <c r="F54" s="361">
        <f t="shared" si="1"/>
        <v>3.720388475097806E-05</v>
      </c>
      <c r="G54" s="17">
        <f>SUM('- 43 -'!C54,'- 43 -'!E54,'- 43 -'!G54,'- 43 -'!I54,C54,E54)</f>
        <v>35086562</v>
      </c>
      <c r="H54" s="361">
        <f t="shared" si="2"/>
        <v>0.5454895148165676</v>
      </c>
      <c r="J54" s="17">
        <f>SUM('- 42 -'!G54,G54)</f>
        <v>64321240</v>
      </c>
    </row>
    <row r="55" spans="1:10" ht="12.75">
      <c r="A55" s="14">
        <v>49</v>
      </c>
      <c r="B55" s="15" t="s">
        <v>159</v>
      </c>
      <c r="C55" s="15">
        <v>47600</v>
      </c>
      <c r="D55" s="360">
        <f t="shared" si="0"/>
        <v>0.001281877789380208</v>
      </c>
      <c r="E55" s="15">
        <v>10000</v>
      </c>
      <c r="F55" s="360">
        <f t="shared" si="1"/>
        <v>0.00026930205659248067</v>
      </c>
      <c r="G55" s="15">
        <f>SUM('- 43 -'!C55,'- 43 -'!E55,'- 43 -'!G55,'- 43 -'!I55,C55,E55)</f>
        <v>13603150</v>
      </c>
      <c r="H55" s="360">
        <f t="shared" si="2"/>
        <v>0.36633562711360035</v>
      </c>
      <c r="J55" s="15">
        <f>SUM('- 42 -'!G55,G55)</f>
        <v>37133025</v>
      </c>
    </row>
    <row r="56" spans="1:10" ht="12.75">
      <c r="A56" s="16">
        <v>50</v>
      </c>
      <c r="B56" s="17" t="s">
        <v>340</v>
      </c>
      <c r="C56" s="17">
        <v>22000</v>
      </c>
      <c r="D56" s="361">
        <f t="shared" si="0"/>
        <v>0.0014917276918904258</v>
      </c>
      <c r="E56" s="17">
        <v>30000</v>
      </c>
      <c r="F56" s="361">
        <f t="shared" si="1"/>
        <v>0.0020341741253051262</v>
      </c>
      <c r="G56" s="17">
        <f>SUM('- 43 -'!C56,'- 43 -'!E56,'- 43 -'!G56,'- 43 -'!I56,C56,E56)</f>
        <v>5691403</v>
      </c>
      <c r="H56" s="361">
        <f t="shared" si="2"/>
        <v>0.3859101573094657</v>
      </c>
      <c r="J56" s="17">
        <f>SUM('- 42 -'!G56,G56)</f>
        <v>14748000</v>
      </c>
    </row>
    <row r="57" spans="1:10" ht="12.75">
      <c r="A57" s="14">
        <v>2264</v>
      </c>
      <c r="B57" s="15" t="s">
        <v>160</v>
      </c>
      <c r="C57" s="15">
        <v>92515</v>
      </c>
      <c r="D57" s="360">
        <f t="shared" si="0"/>
        <v>0.047193055124793916</v>
      </c>
      <c r="E57" s="15">
        <v>13995</v>
      </c>
      <c r="F57" s="360">
        <f t="shared" si="1"/>
        <v>0.007139024012014169</v>
      </c>
      <c r="G57" s="15">
        <f>SUM('- 43 -'!C57,'- 43 -'!E57,'- 43 -'!G57,'- 43 -'!I57,C57,E57)</f>
        <v>585524</v>
      </c>
      <c r="H57" s="360">
        <f t="shared" si="2"/>
        <v>0.2986830936484876</v>
      </c>
      <c r="J57" s="15">
        <f>SUM('- 42 -'!G57,G57)</f>
        <v>1960352</v>
      </c>
    </row>
    <row r="58" spans="1:10" ht="12.75">
      <c r="A58" s="16">
        <v>2309</v>
      </c>
      <c r="B58" s="17" t="s">
        <v>161</v>
      </c>
      <c r="C58" s="17">
        <v>0</v>
      </c>
      <c r="D58" s="361">
        <f t="shared" si="0"/>
        <v>0</v>
      </c>
      <c r="E58" s="17">
        <v>4500</v>
      </c>
      <c r="F58" s="361">
        <f t="shared" si="1"/>
        <v>0.0021282120039669873</v>
      </c>
      <c r="G58" s="17">
        <f>SUM('- 43 -'!C58,'- 43 -'!E58,'- 43 -'!G58,'- 43 -'!I58,C58,E58)</f>
        <v>583390</v>
      </c>
      <c r="H58" s="361">
        <f t="shared" si="2"/>
        <v>0.27590613355428906</v>
      </c>
      <c r="J58" s="17">
        <f>SUM('- 42 -'!G58,G58)</f>
        <v>2114451</v>
      </c>
    </row>
    <row r="59" spans="1:10" ht="12.75">
      <c r="A59" s="14">
        <v>2312</v>
      </c>
      <c r="B59" s="15" t="s">
        <v>162</v>
      </c>
      <c r="C59" s="15">
        <v>0</v>
      </c>
      <c r="D59" s="360">
        <f t="shared" si="0"/>
        <v>0</v>
      </c>
      <c r="E59" s="15">
        <v>35000</v>
      </c>
      <c r="F59" s="360">
        <f t="shared" si="1"/>
        <v>0.022446429991508837</v>
      </c>
      <c r="G59" s="15">
        <f>SUM('- 43 -'!C59,'- 43 -'!E59,'- 43 -'!G59,'- 43 -'!I59,C59,E59)</f>
        <v>141000</v>
      </c>
      <c r="H59" s="360">
        <f t="shared" si="2"/>
        <v>0.0904270465372213</v>
      </c>
      <c r="J59" s="15">
        <f>SUM('- 42 -'!G59,G59)</f>
        <v>1559268</v>
      </c>
    </row>
    <row r="60" spans="1:10" ht="12.75">
      <c r="A60" s="16">
        <v>2355</v>
      </c>
      <c r="B60" s="17" t="s">
        <v>163</v>
      </c>
      <c r="C60" s="17">
        <v>51700</v>
      </c>
      <c r="D60" s="361">
        <f t="shared" si="0"/>
        <v>0.002009528039212927</v>
      </c>
      <c r="E60" s="17">
        <v>49087</v>
      </c>
      <c r="F60" s="361">
        <f t="shared" si="1"/>
        <v>0.0019079633048519336</v>
      </c>
      <c r="G60" s="17">
        <f>SUM('- 43 -'!C60,'- 43 -'!E60,'- 43 -'!G60,'- 43 -'!I60,C60,E60)</f>
        <v>8527481</v>
      </c>
      <c r="H60" s="361">
        <f t="shared" si="2"/>
        <v>0.331454780915967</v>
      </c>
      <c r="J60" s="17">
        <f>SUM('- 42 -'!G60,G60)</f>
        <v>25727434</v>
      </c>
    </row>
    <row r="61" spans="1:10" ht="12.75">
      <c r="A61" s="14">
        <v>2439</v>
      </c>
      <c r="B61" s="15" t="s">
        <v>164</v>
      </c>
      <c r="C61" s="15">
        <v>0</v>
      </c>
      <c r="D61" s="360">
        <f t="shared" si="0"/>
        <v>0</v>
      </c>
      <c r="E61" s="15">
        <v>0</v>
      </c>
      <c r="F61" s="360">
        <f t="shared" si="1"/>
        <v>0</v>
      </c>
      <c r="G61" s="15">
        <f>SUM('- 43 -'!C61,'- 43 -'!E61,'- 43 -'!G61,'- 43 -'!I61,C61,E61)</f>
        <v>381585</v>
      </c>
      <c r="H61" s="360">
        <f t="shared" si="2"/>
        <v>0.28088101174137614</v>
      </c>
      <c r="J61" s="15">
        <f>SUM('- 42 -'!G61,G61)</f>
        <v>1358529</v>
      </c>
    </row>
    <row r="62" spans="1:10" ht="12.75">
      <c r="A62" s="16">
        <v>2460</v>
      </c>
      <c r="B62" s="17" t="s">
        <v>165</v>
      </c>
      <c r="C62" s="17">
        <v>0</v>
      </c>
      <c r="D62" s="361">
        <f t="shared" si="0"/>
        <v>0</v>
      </c>
      <c r="E62" s="17">
        <v>11000</v>
      </c>
      <c r="F62" s="361">
        <f t="shared" si="1"/>
        <v>0.005107617500740604</v>
      </c>
      <c r="G62" s="17">
        <f>SUM('- 43 -'!C62,'- 43 -'!E62,'- 43 -'!G62,'- 43 -'!I62,C62,E62)</f>
        <v>115000</v>
      </c>
      <c r="H62" s="361">
        <f t="shared" si="2"/>
        <v>0.0533978193259245</v>
      </c>
      <c r="J62" s="17">
        <f>SUM('- 42 -'!G62,G62)</f>
        <v>2153646</v>
      </c>
    </row>
    <row r="63" spans="1:10" ht="12.75">
      <c r="A63" s="14">
        <v>3000</v>
      </c>
      <c r="B63" s="15" t="s">
        <v>363</v>
      </c>
      <c r="C63" s="15">
        <v>1930000</v>
      </c>
      <c r="D63" s="360">
        <f t="shared" si="0"/>
        <v>0.2956925410407458</v>
      </c>
      <c r="E63" s="15">
        <v>75200</v>
      </c>
      <c r="F63" s="360">
        <f t="shared" si="1"/>
        <v>0.011521284500654967</v>
      </c>
      <c r="G63" s="15">
        <f>SUM('- 43 -'!C63,'- 43 -'!E63,'- 43 -'!G63,'- 43 -'!I63,C63,E63)</f>
        <v>5338100</v>
      </c>
      <c r="H63" s="360">
        <f t="shared" si="2"/>
        <v>0.8178426701189665</v>
      </c>
      <c r="J63" s="15">
        <f>SUM('- 42 -'!G63,G63)</f>
        <v>6527050</v>
      </c>
    </row>
    <row r="64" spans="1:10" ht="4.5" customHeight="1">
      <c r="A64" s="18"/>
      <c r="B64" s="18"/>
      <c r="C64" s="18"/>
      <c r="D64" s="198"/>
      <c r="E64" s="18"/>
      <c r="F64" s="198"/>
      <c r="G64" s="18"/>
      <c r="H64" s="198"/>
      <c r="J64" s="18"/>
    </row>
    <row r="65" spans="1:10" ht="12.75">
      <c r="A65" s="20"/>
      <c r="B65" s="21" t="s">
        <v>166</v>
      </c>
      <c r="C65" s="21">
        <f>SUM(C11:C63)</f>
        <v>13672198</v>
      </c>
      <c r="D65" s="103">
        <f>C65/$J65</f>
        <v>0.009954449565888788</v>
      </c>
      <c r="E65" s="21">
        <f>SUM(E11:E63)</f>
        <v>4061394</v>
      </c>
      <c r="F65" s="103">
        <f>E65/$J65</f>
        <v>0.00295701845015727</v>
      </c>
      <c r="G65" s="21">
        <f>SUM(G11:G63)</f>
        <v>583058417</v>
      </c>
      <c r="H65" s="103">
        <f>G65/$J65</f>
        <v>0.4245129865727116</v>
      </c>
      <c r="J65" s="21">
        <f>SUM(J11:J63)</f>
        <v>1373476043</v>
      </c>
    </row>
    <row r="66" spans="1:10" ht="4.5" customHeight="1">
      <c r="A66" s="18"/>
      <c r="B66" s="18"/>
      <c r="C66" s="18"/>
      <c r="D66" s="198"/>
      <c r="E66" s="18"/>
      <c r="F66" s="198"/>
      <c r="G66" s="18"/>
      <c r="H66" s="198"/>
      <c r="J66" s="18"/>
    </row>
    <row r="67" spans="1:10" ht="12.75">
      <c r="A67" s="16">
        <v>2155</v>
      </c>
      <c r="B67" s="17" t="s">
        <v>167</v>
      </c>
      <c r="C67" s="17">
        <v>797403</v>
      </c>
      <c r="D67" s="361">
        <f>C67/J67</f>
        <v>0.568589505448784</v>
      </c>
      <c r="E67" s="17">
        <v>54740</v>
      </c>
      <c r="F67" s="361">
        <f>E67/J67</f>
        <v>0.039032445988121986</v>
      </c>
      <c r="G67" s="17">
        <f>SUM('- 43 -'!C67,'- 43 -'!E67,'- 43 -'!G67,'- 43 -'!I67,C67,E67)</f>
        <v>1172273</v>
      </c>
      <c r="H67" s="361">
        <f>G67/J67</f>
        <v>0.8358911683564801</v>
      </c>
      <c r="J67" s="17">
        <f>SUM('- 42 -'!G67,G67)</f>
        <v>1402423</v>
      </c>
    </row>
    <row r="68" spans="1:10" ht="12.75">
      <c r="A68" s="14">
        <v>2408</v>
      </c>
      <c r="B68" s="15" t="s">
        <v>169</v>
      </c>
      <c r="C68" s="15">
        <v>0</v>
      </c>
      <c r="D68" s="360">
        <f>C68/J68</f>
        <v>0</v>
      </c>
      <c r="E68" s="15">
        <v>40124</v>
      </c>
      <c r="F68" s="360">
        <f>E68/J68</f>
        <v>0.017205352337949415</v>
      </c>
      <c r="G68" s="15">
        <f>SUM('- 43 -'!C68,'- 43 -'!E68,'- 43 -'!G68,'- 43 -'!I68,C68,E68)</f>
        <v>1869770</v>
      </c>
      <c r="H68" s="360">
        <f>G68/J68</f>
        <v>0.8017658169905213</v>
      </c>
      <c r="J68" s="15">
        <f>SUM('- 42 -'!G68,G68)</f>
        <v>2332065</v>
      </c>
    </row>
    <row r="69" ht="6.75" customHeight="1"/>
    <row r="70" spans="1:10" ht="12" customHeight="1">
      <c r="A70" s="7"/>
      <c r="B70" s="7"/>
      <c r="C70" s="18"/>
      <c r="D70" s="18"/>
      <c r="E70" s="18"/>
      <c r="F70" s="18"/>
      <c r="G70" s="18"/>
      <c r="H70" s="18"/>
      <c r="I70" s="18"/>
      <c r="J70" s="189"/>
    </row>
    <row r="71" spans="1:10" ht="12" customHeight="1">
      <c r="A71" s="7"/>
      <c r="B71" s="7"/>
      <c r="C71" s="18"/>
      <c r="D71" s="18"/>
      <c r="E71" s="18"/>
      <c r="F71" s="18"/>
      <c r="G71" s="18"/>
      <c r="H71" s="18"/>
      <c r="I71" s="18"/>
      <c r="J71" s="18"/>
    </row>
    <row r="72" spans="1:10" ht="12" customHeight="1">
      <c r="A72" s="7"/>
      <c r="B72" s="7"/>
      <c r="C72" s="18"/>
      <c r="D72" s="18"/>
      <c r="E72" s="18"/>
      <c r="F72" s="18"/>
      <c r="G72" s="18"/>
      <c r="H72" s="18"/>
      <c r="I72" s="18"/>
      <c r="J72" s="18"/>
    </row>
    <row r="73" spans="1:10" ht="12" customHeight="1">
      <c r="A73" s="7"/>
      <c r="B73" s="7"/>
      <c r="C73" s="18"/>
      <c r="D73" s="18"/>
      <c r="E73" s="18"/>
      <c r="F73" s="18"/>
      <c r="G73" s="18"/>
      <c r="H73" s="18"/>
      <c r="I73" s="18"/>
      <c r="J73" s="18"/>
    </row>
    <row r="74" spans="1:10" ht="12" customHeight="1">
      <c r="A74" s="7"/>
      <c r="B74" s="7"/>
      <c r="C74" s="18"/>
      <c r="D74" s="18"/>
      <c r="E74" s="18"/>
      <c r="F74" s="18"/>
      <c r="G74" s="18"/>
      <c r="H74" s="18"/>
      <c r="I74" s="18"/>
      <c r="J74" s="18"/>
    </row>
    <row r="75" ht="12" customHeight="1"/>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74"/>
  <sheetViews>
    <sheetView showGridLines="0" showZeros="0" workbookViewId="0" topLeftCell="A1">
      <selection activeCell="A1" sqref="A1"/>
    </sheetView>
  </sheetViews>
  <sheetFormatPr defaultColWidth="12.83203125" defaultRowHeight="12"/>
  <cols>
    <col min="1" max="1" width="6.83203125" style="18" customWidth="1"/>
    <col min="2" max="2" width="30.83203125" style="18" customWidth="1"/>
    <col min="3" max="9" width="14.83203125" style="18" customWidth="1"/>
    <col min="10" max="16384" width="12.83203125" style="18" customWidth="1"/>
  </cols>
  <sheetData>
    <row r="1" spans="2:9" ht="6.75" customHeight="1">
      <c r="B1" s="22"/>
      <c r="C1" s="23"/>
      <c r="D1" s="23"/>
      <c r="E1" s="23"/>
      <c r="F1" s="23"/>
      <c r="G1" s="23"/>
      <c r="H1" s="23"/>
      <c r="I1" s="23"/>
    </row>
    <row r="2" spans="1:9" ht="12.75">
      <c r="A2" s="9"/>
      <c r="B2" s="24"/>
      <c r="C2" s="25" t="s">
        <v>296</v>
      </c>
      <c r="D2" s="25"/>
      <c r="E2" s="25"/>
      <c r="F2" s="25"/>
      <c r="G2" s="25"/>
      <c r="H2" s="25"/>
      <c r="I2" s="27" t="s">
        <v>297</v>
      </c>
    </row>
    <row r="3" spans="1:9" ht="12.75">
      <c r="A3" s="10"/>
      <c r="B3" s="28"/>
      <c r="C3" s="273" t="str">
        <f>"ESTIMATE SEPTEMBER 30, "&amp;REPLACE(REPLACE(YEAR,1,22,""),5,5,"")</f>
        <v>ESTIMATE SEPTEMBER 30, 2002</v>
      </c>
      <c r="D3" s="29"/>
      <c r="E3" s="273"/>
      <c r="F3" s="29"/>
      <c r="G3" s="273"/>
      <c r="H3" s="29"/>
      <c r="I3" s="30"/>
    </row>
    <row r="4" spans="1:9" ht="12.75">
      <c r="A4" s="11"/>
      <c r="C4" s="23"/>
      <c r="D4" s="23"/>
      <c r="E4" s="23"/>
      <c r="F4" s="23"/>
      <c r="G4" s="23"/>
      <c r="H4" s="274"/>
      <c r="I4" s="23"/>
    </row>
    <row r="5" spans="1:9" ht="12.75">
      <c r="A5" s="11"/>
      <c r="C5" s="23"/>
      <c r="D5" s="23"/>
      <c r="E5" s="23"/>
      <c r="F5" s="23"/>
      <c r="G5" s="23"/>
      <c r="H5" s="23"/>
      <c r="I5" s="23"/>
    </row>
    <row r="6" spans="1:9" ht="12.75">
      <c r="A6" s="11"/>
      <c r="C6" s="275" t="s">
        <v>62</v>
      </c>
      <c r="D6" s="276"/>
      <c r="E6" s="276"/>
      <c r="F6" s="276"/>
      <c r="G6" s="276"/>
      <c r="H6" s="276"/>
      <c r="I6" s="277"/>
    </row>
    <row r="7" spans="3:9" ht="16.5">
      <c r="C7" s="278" t="s">
        <v>392</v>
      </c>
      <c r="D7" s="279"/>
      <c r="E7" s="279"/>
      <c r="F7" s="280" t="s">
        <v>393</v>
      </c>
      <c r="G7" s="279"/>
      <c r="H7" s="279"/>
      <c r="I7" s="54"/>
    </row>
    <row r="8" spans="1:9" ht="12.75">
      <c r="A8" s="45"/>
      <c r="B8" s="46"/>
      <c r="C8" s="281" t="s">
        <v>85</v>
      </c>
      <c r="D8" s="282" t="s">
        <v>3</v>
      </c>
      <c r="E8" s="281" t="s">
        <v>86</v>
      </c>
      <c r="F8" s="283" t="s">
        <v>85</v>
      </c>
      <c r="G8" s="282" t="s">
        <v>3</v>
      </c>
      <c r="H8" s="281" t="s">
        <v>86</v>
      </c>
      <c r="I8" s="385" t="s">
        <v>57</v>
      </c>
    </row>
    <row r="9" spans="1:9" ht="12.75">
      <c r="A9" s="52" t="s">
        <v>100</v>
      </c>
      <c r="B9" s="53" t="s">
        <v>101</v>
      </c>
      <c r="C9" s="284" t="s">
        <v>105</v>
      </c>
      <c r="D9" s="284" t="s">
        <v>40</v>
      </c>
      <c r="E9" s="284" t="s">
        <v>106</v>
      </c>
      <c r="F9" s="285" t="s">
        <v>105</v>
      </c>
      <c r="G9" s="284" t="s">
        <v>40</v>
      </c>
      <c r="H9" s="284" t="s">
        <v>106</v>
      </c>
      <c r="I9" s="254" t="s">
        <v>107</v>
      </c>
    </row>
    <row r="10" spans="1:9" ht="4.5" customHeight="1">
      <c r="A10" s="77"/>
      <c r="B10" s="77"/>
      <c r="C10" s="105"/>
      <c r="D10" s="105"/>
      <c r="E10" s="105"/>
      <c r="F10" s="105"/>
      <c r="G10" s="105"/>
      <c r="H10" s="105"/>
      <c r="I10" s="105"/>
    </row>
    <row r="11" spans="1:9" ht="12.75">
      <c r="A11" s="14">
        <v>1</v>
      </c>
      <c r="B11" s="15" t="s">
        <v>115</v>
      </c>
      <c r="C11" s="348">
        <v>23137</v>
      </c>
      <c r="D11" s="348">
        <v>0</v>
      </c>
      <c r="E11" s="354">
        <v>759</v>
      </c>
      <c r="F11" s="352">
        <v>3510</v>
      </c>
      <c r="G11" s="348">
        <v>0</v>
      </c>
      <c r="H11" s="348">
        <v>1660</v>
      </c>
      <c r="I11" s="348">
        <v>295.5</v>
      </c>
    </row>
    <row r="12" spans="1:9" ht="12.75">
      <c r="A12" s="16">
        <v>2</v>
      </c>
      <c r="B12" s="17" t="s">
        <v>116</v>
      </c>
      <c r="C12" s="349">
        <v>6071.44</v>
      </c>
      <c r="D12" s="349">
        <v>0</v>
      </c>
      <c r="E12" s="355">
        <v>706</v>
      </c>
      <c r="F12" s="353">
        <v>899</v>
      </c>
      <c r="G12" s="349">
        <v>0</v>
      </c>
      <c r="H12" s="349">
        <v>507</v>
      </c>
      <c r="I12" s="349">
        <v>0</v>
      </c>
    </row>
    <row r="13" spans="1:9" ht="12.75">
      <c r="A13" s="14">
        <v>3</v>
      </c>
      <c r="B13" s="15" t="s">
        <v>117</v>
      </c>
      <c r="C13" s="348">
        <v>3314</v>
      </c>
      <c r="D13" s="348">
        <v>0</v>
      </c>
      <c r="E13" s="354">
        <v>159</v>
      </c>
      <c r="F13" s="352">
        <v>1436.5</v>
      </c>
      <c r="G13" s="348">
        <v>0</v>
      </c>
      <c r="H13" s="348">
        <v>836</v>
      </c>
      <c r="I13" s="348">
        <v>0</v>
      </c>
    </row>
    <row r="14" spans="1:9" ht="12.75">
      <c r="A14" s="16">
        <v>4</v>
      </c>
      <c r="B14" s="17" t="s">
        <v>118</v>
      </c>
      <c r="C14" s="349">
        <v>4036.5</v>
      </c>
      <c r="D14" s="349">
        <v>474</v>
      </c>
      <c r="E14" s="355">
        <v>1466.5</v>
      </c>
      <c r="F14" s="353">
        <v>0</v>
      </c>
      <c r="G14" s="349">
        <v>0</v>
      </c>
      <c r="H14" s="349">
        <v>0</v>
      </c>
      <c r="I14" s="349">
        <v>0</v>
      </c>
    </row>
    <row r="15" spans="1:9" ht="12.75">
      <c r="A15" s="14">
        <v>5</v>
      </c>
      <c r="B15" s="15" t="s">
        <v>119</v>
      </c>
      <c r="C15" s="348">
        <v>5394</v>
      </c>
      <c r="D15" s="348">
        <v>0</v>
      </c>
      <c r="E15" s="354">
        <v>749.5</v>
      </c>
      <c r="F15" s="352">
        <v>857</v>
      </c>
      <c r="G15" s="348">
        <v>0</v>
      </c>
      <c r="H15" s="348">
        <v>184</v>
      </c>
      <c r="I15" s="348">
        <v>0</v>
      </c>
    </row>
    <row r="16" spans="1:9" ht="12.75">
      <c r="A16" s="16">
        <v>6</v>
      </c>
      <c r="B16" s="17" t="s">
        <v>120</v>
      </c>
      <c r="C16" s="349">
        <v>6966.5</v>
      </c>
      <c r="D16" s="349">
        <v>0</v>
      </c>
      <c r="E16" s="355">
        <v>1846</v>
      </c>
      <c r="F16" s="353">
        <v>0</v>
      </c>
      <c r="G16" s="349">
        <v>0</v>
      </c>
      <c r="H16" s="349">
        <v>0</v>
      </c>
      <c r="I16" s="349">
        <v>0</v>
      </c>
    </row>
    <row r="17" spans="1:9" ht="12.75">
      <c r="A17" s="14">
        <v>9</v>
      </c>
      <c r="B17" s="15" t="s">
        <v>121</v>
      </c>
      <c r="C17" s="348">
        <v>7344.5</v>
      </c>
      <c r="D17" s="348">
        <v>0</v>
      </c>
      <c r="E17" s="354">
        <v>0</v>
      </c>
      <c r="F17" s="352">
        <v>2928</v>
      </c>
      <c r="G17" s="348">
        <v>0</v>
      </c>
      <c r="H17" s="348">
        <v>1116</v>
      </c>
      <c r="I17" s="348">
        <v>595</v>
      </c>
    </row>
    <row r="18" spans="1:9" ht="12.75">
      <c r="A18" s="16">
        <v>10</v>
      </c>
      <c r="B18" s="17" t="s">
        <v>122</v>
      </c>
      <c r="C18" s="349">
        <v>4617.5</v>
      </c>
      <c r="D18" s="349">
        <v>0</v>
      </c>
      <c r="E18" s="355">
        <v>188</v>
      </c>
      <c r="F18" s="353">
        <v>2723.5</v>
      </c>
      <c r="G18" s="349">
        <v>0</v>
      </c>
      <c r="H18" s="349">
        <v>683.5</v>
      </c>
      <c r="I18" s="349">
        <v>253</v>
      </c>
    </row>
    <row r="19" spans="1:9" ht="12.75">
      <c r="A19" s="14">
        <v>11</v>
      </c>
      <c r="B19" s="15" t="s">
        <v>123</v>
      </c>
      <c r="C19" s="348">
        <v>3173</v>
      </c>
      <c r="D19" s="348">
        <v>0</v>
      </c>
      <c r="E19" s="354">
        <v>188</v>
      </c>
      <c r="F19" s="352">
        <v>916</v>
      </c>
      <c r="G19" s="348">
        <v>0</v>
      </c>
      <c r="H19" s="348">
        <v>60</v>
      </c>
      <c r="I19" s="348">
        <v>124</v>
      </c>
    </row>
    <row r="20" spans="1:9" ht="12.75">
      <c r="A20" s="16">
        <v>12</v>
      </c>
      <c r="B20" s="17" t="s">
        <v>124</v>
      </c>
      <c r="C20" s="349">
        <v>5114.2</v>
      </c>
      <c r="D20" s="349">
        <v>0</v>
      </c>
      <c r="E20" s="355">
        <v>1077</v>
      </c>
      <c r="F20" s="353">
        <v>955.5</v>
      </c>
      <c r="G20" s="349">
        <v>0</v>
      </c>
      <c r="H20" s="349">
        <v>206.5</v>
      </c>
      <c r="I20" s="349">
        <v>135</v>
      </c>
    </row>
    <row r="21" spans="1:9" ht="12.75">
      <c r="A21" s="14">
        <v>13</v>
      </c>
      <c r="B21" s="15" t="s">
        <v>125</v>
      </c>
      <c r="C21" s="348">
        <v>1742</v>
      </c>
      <c r="D21" s="348">
        <v>0</v>
      </c>
      <c r="E21" s="354">
        <v>0</v>
      </c>
      <c r="F21" s="352">
        <v>0</v>
      </c>
      <c r="G21" s="348">
        <v>0</v>
      </c>
      <c r="H21" s="348">
        <v>859</v>
      </c>
      <c r="I21" s="348">
        <v>0</v>
      </c>
    </row>
    <row r="22" spans="1:9" ht="12.75">
      <c r="A22" s="16">
        <v>14</v>
      </c>
      <c r="B22" s="17" t="s">
        <v>126</v>
      </c>
      <c r="C22" s="349">
        <v>1592</v>
      </c>
      <c r="D22" s="349">
        <v>0</v>
      </c>
      <c r="E22" s="355">
        <v>629</v>
      </c>
      <c r="F22" s="353">
        <v>776</v>
      </c>
      <c r="G22" s="349">
        <v>427</v>
      </c>
      <c r="H22" s="349">
        <v>0</v>
      </c>
      <c r="I22" s="349">
        <v>0</v>
      </c>
    </row>
    <row r="23" spans="1:9" ht="12.75">
      <c r="A23" s="14">
        <v>15</v>
      </c>
      <c r="B23" s="15" t="s">
        <v>127</v>
      </c>
      <c r="C23" s="348">
        <v>5847</v>
      </c>
      <c r="D23" s="348">
        <v>0</v>
      </c>
      <c r="E23" s="354">
        <v>0</v>
      </c>
      <c r="F23" s="352">
        <v>0</v>
      </c>
      <c r="G23" s="348">
        <v>0</v>
      </c>
      <c r="H23" s="348">
        <v>0</v>
      </c>
      <c r="I23" s="348">
        <v>0</v>
      </c>
    </row>
    <row r="24" spans="1:9" ht="12.75">
      <c r="A24" s="16">
        <v>16</v>
      </c>
      <c r="B24" s="17" t="s">
        <v>128</v>
      </c>
      <c r="C24" s="349">
        <v>794</v>
      </c>
      <c r="D24" s="349">
        <v>0</v>
      </c>
      <c r="E24" s="355">
        <v>0</v>
      </c>
      <c r="F24" s="353">
        <v>0</v>
      </c>
      <c r="G24" s="349">
        <v>0</v>
      </c>
      <c r="H24" s="349">
        <v>0</v>
      </c>
      <c r="I24" s="349">
        <v>0</v>
      </c>
    </row>
    <row r="25" spans="1:9" ht="12.75">
      <c r="A25" s="14">
        <v>17</v>
      </c>
      <c r="B25" s="15" t="s">
        <v>129</v>
      </c>
      <c r="C25" s="348">
        <v>44</v>
      </c>
      <c r="D25" s="348">
        <v>163.5</v>
      </c>
      <c r="E25" s="354">
        <v>261.4</v>
      </c>
      <c r="F25" s="352">
        <v>0</v>
      </c>
      <c r="G25" s="348">
        <v>0</v>
      </c>
      <c r="H25" s="348">
        <v>0</v>
      </c>
      <c r="I25" s="348">
        <v>0</v>
      </c>
    </row>
    <row r="26" spans="1:9" ht="12.75">
      <c r="A26" s="16">
        <v>18</v>
      </c>
      <c r="B26" s="17" t="s">
        <v>130</v>
      </c>
      <c r="C26" s="349">
        <v>1315</v>
      </c>
      <c r="D26" s="349">
        <v>0</v>
      </c>
      <c r="E26" s="355">
        <v>0</v>
      </c>
      <c r="F26" s="353">
        <v>0</v>
      </c>
      <c r="G26" s="349">
        <v>0</v>
      </c>
      <c r="H26" s="349">
        <v>0</v>
      </c>
      <c r="I26" s="349">
        <v>0</v>
      </c>
    </row>
    <row r="27" spans="1:9" ht="12.75">
      <c r="A27" s="14">
        <v>19</v>
      </c>
      <c r="B27" s="15" t="s">
        <v>131</v>
      </c>
      <c r="C27" s="348">
        <v>1797.5</v>
      </c>
      <c r="D27" s="348">
        <v>0</v>
      </c>
      <c r="E27" s="354">
        <v>0</v>
      </c>
      <c r="F27" s="352">
        <v>0</v>
      </c>
      <c r="G27" s="348">
        <v>0</v>
      </c>
      <c r="H27" s="348">
        <v>0</v>
      </c>
      <c r="I27" s="348">
        <v>0</v>
      </c>
    </row>
    <row r="28" spans="1:9" ht="12.75">
      <c r="A28" s="16">
        <v>20</v>
      </c>
      <c r="B28" s="17" t="s">
        <v>132</v>
      </c>
      <c r="C28" s="349">
        <v>420.6</v>
      </c>
      <c r="D28" s="349">
        <v>0</v>
      </c>
      <c r="E28" s="355">
        <v>106.5</v>
      </c>
      <c r="F28" s="353">
        <v>266.8</v>
      </c>
      <c r="G28" s="349">
        <v>0</v>
      </c>
      <c r="H28" s="349">
        <v>141</v>
      </c>
      <c r="I28" s="349">
        <v>0</v>
      </c>
    </row>
    <row r="29" spans="1:9" ht="12.75">
      <c r="A29" s="14">
        <v>21</v>
      </c>
      <c r="B29" s="15" t="s">
        <v>133</v>
      </c>
      <c r="C29" s="348">
        <v>3331</v>
      </c>
      <c r="D29" s="348">
        <v>0</v>
      </c>
      <c r="E29" s="354">
        <v>0</v>
      </c>
      <c r="F29" s="352">
        <v>0</v>
      </c>
      <c r="G29" s="348">
        <v>0</v>
      </c>
      <c r="H29" s="348">
        <v>0</v>
      </c>
      <c r="I29" s="348">
        <v>0</v>
      </c>
    </row>
    <row r="30" spans="1:9" ht="12.75">
      <c r="A30" s="16">
        <v>22</v>
      </c>
      <c r="B30" s="17" t="s">
        <v>134</v>
      </c>
      <c r="C30" s="349">
        <v>1629.5</v>
      </c>
      <c r="D30" s="349">
        <v>0</v>
      </c>
      <c r="E30" s="355">
        <v>0</v>
      </c>
      <c r="F30" s="353">
        <v>0</v>
      </c>
      <c r="G30" s="349">
        <v>0</v>
      </c>
      <c r="H30" s="349">
        <v>0</v>
      </c>
      <c r="I30" s="349">
        <v>0</v>
      </c>
    </row>
    <row r="31" spans="1:9" ht="12.75">
      <c r="A31" s="14">
        <v>23</v>
      </c>
      <c r="B31" s="15" t="s">
        <v>135</v>
      </c>
      <c r="C31" s="348">
        <v>1369.5</v>
      </c>
      <c r="D31" s="348">
        <v>0</v>
      </c>
      <c r="E31" s="354">
        <v>0</v>
      </c>
      <c r="F31" s="352">
        <v>0</v>
      </c>
      <c r="G31" s="348">
        <v>0</v>
      </c>
      <c r="H31" s="348">
        <v>0</v>
      </c>
      <c r="I31" s="348">
        <v>0</v>
      </c>
    </row>
    <row r="32" spans="1:9" ht="12.75">
      <c r="A32" s="16">
        <v>24</v>
      </c>
      <c r="B32" s="17" t="s">
        <v>136</v>
      </c>
      <c r="C32" s="349">
        <v>2850.4</v>
      </c>
      <c r="D32" s="349">
        <v>0</v>
      </c>
      <c r="E32" s="355">
        <v>0</v>
      </c>
      <c r="F32" s="353">
        <v>268.5</v>
      </c>
      <c r="G32" s="349">
        <v>0</v>
      </c>
      <c r="H32" s="349">
        <v>221</v>
      </c>
      <c r="I32" s="349">
        <v>0</v>
      </c>
    </row>
    <row r="33" spans="1:9" ht="12.75">
      <c r="A33" s="14">
        <v>25</v>
      </c>
      <c r="B33" s="15" t="s">
        <v>137</v>
      </c>
      <c r="C33" s="348">
        <v>1398</v>
      </c>
      <c r="D33" s="348">
        <v>0</v>
      </c>
      <c r="E33" s="354">
        <v>0</v>
      </c>
      <c r="F33" s="352">
        <v>0</v>
      </c>
      <c r="G33" s="348">
        <v>0</v>
      </c>
      <c r="H33" s="348">
        <v>0</v>
      </c>
      <c r="I33" s="348">
        <v>0</v>
      </c>
    </row>
    <row r="34" spans="1:9" ht="12.75">
      <c r="A34" s="16">
        <v>26</v>
      </c>
      <c r="B34" s="17" t="s">
        <v>138</v>
      </c>
      <c r="C34" s="349">
        <v>2841</v>
      </c>
      <c r="D34" s="349">
        <v>0</v>
      </c>
      <c r="E34" s="355">
        <v>0</v>
      </c>
      <c r="F34" s="353">
        <v>0</v>
      </c>
      <c r="G34" s="349">
        <v>0</v>
      </c>
      <c r="H34" s="349">
        <v>0</v>
      </c>
      <c r="I34" s="349">
        <v>0</v>
      </c>
    </row>
    <row r="35" spans="1:9" ht="12.75">
      <c r="A35" s="14">
        <v>28</v>
      </c>
      <c r="B35" s="15" t="s">
        <v>139</v>
      </c>
      <c r="C35" s="348">
        <v>366</v>
      </c>
      <c r="D35" s="348">
        <v>0</v>
      </c>
      <c r="E35" s="354">
        <v>62.5</v>
      </c>
      <c r="F35" s="352">
        <v>157</v>
      </c>
      <c r="G35" s="348">
        <v>171</v>
      </c>
      <c r="H35" s="348">
        <v>63</v>
      </c>
      <c r="I35" s="348">
        <v>0</v>
      </c>
    </row>
    <row r="36" spans="1:9" ht="12.75">
      <c r="A36" s="16">
        <v>30</v>
      </c>
      <c r="B36" s="17" t="s">
        <v>140</v>
      </c>
      <c r="C36" s="349">
        <v>1301.6</v>
      </c>
      <c r="D36" s="349">
        <v>0</v>
      </c>
      <c r="E36" s="355">
        <v>0</v>
      </c>
      <c r="F36" s="353">
        <v>0</v>
      </c>
      <c r="G36" s="349">
        <v>0</v>
      </c>
      <c r="H36" s="349">
        <v>0</v>
      </c>
      <c r="I36" s="349">
        <v>0</v>
      </c>
    </row>
    <row r="37" spans="1:9" ht="12.75">
      <c r="A37" s="14">
        <v>31</v>
      </c>
      <c r="B37" s="15" t="s">
        <v>141</v>
      </c>
      <c r="C37" s="348">
        <v>1578</v>
      </c>
      <c r="D37" s="348">
        <v>0</v>
      </c>
      <c r="E37" s="354">
        <v>0</v>
      </c>
      <c r="F37" s="352">
        <v>0</v>
      </c>
      <c r="G37" s="348">
        <v>0</v>
      </c>
      <c r="H37" s="348">
        <v>0</v>
      </c>
      <c r="I37" s="348">
        <v>0</v>
      </c>
    </row>
    <row r="38" spans="1:9" ht="12.75">
      <c r="A38" s="16">
        <v>32</v>
      </c>
      <c r="B38" s="17" t="s">
        <v>142</v>
      </c>
      <c r="C38" s="349">
        <v>794</v>
      </c>
      <c r="D38" s="349">
        <v>45.5</v>
      </c>
      <c r="E38" s="355">
        <v>0</v>
      </c>
      <c r="F38" s="353">
        <v>0</v>
      </c>
      <c r="G38" s="349">
        <v>0</v>
      </c>
      <c r="H38" s="349">
        <v>0</v>
      </c>
      <c r="I38" s="349">
        <v>0</v>
      </c>
    </row>
    <row r="39" spans="1:9" ht="12.75">
      <c r="A39" s="14">
        <v>33</v>
      </c>
      <c r="B39" s="15" t="s">
        <v>143</v>
      </c>
      <c r="C39" s="348">
        <v>1245.5</v>
      </c>
      <c r="D39" s="348">
        <v>0</v>
      </c>
      <c r="E39" s="354">
        <v>101.5</v>
      </c>
      <c r="F39" s="352">
        <v>215</v>
      </c>
      <c r="G39" s="348">
        <v>0</v>
      </c>
      <c r="H39" s="348">
        <v>40</v>
      </c>
      <c r="I39" s="348">
        <v>98.5</v>
      </c>
    </row>
    <row r="40" spans="1:9" ht="12.75">
      <c r="A40" s="16">
        <v>34</v>
      </c>
      <c r="B40" s="17" t="s">
        <v>144</v>
      </c>
      <c r="C40" s="349">
        <v>730.5</v>
      </c>
      <c r="D40" s="349">
        <v>0</v>
      </c>
      <c r="E40" s="355">
        <v>0</v>
      </c>
      <c r="F40" s="353">
        <v>0</v>
      </c>
      <c r="G40" s="349">
        <v>0</v>
      </c>
      <c r="H40" s="349">
        <v>0</v>
      </c>
      <c r="I40" s="349">
        <v>0</v>
      </c>
    </row>
    <row r="41" spans="1:9" ht="12.75">
      <c r="A41" s="14">
        <v>35</v>
      </c>
      <c r="B41" s="15" t="s">
        <v>145</v>
      </c>
      <c r="C41" s="348">
        <v>1484</v>
      </c>
      <c r="D41" s="348">
        <v>0</v>
      </c>
      <c r="E41" s="354">
        <v>0</v>
      </c>
      <c r="F41" s="352">
        <v>208.3</v>
      </c>
      <c r="G41" s="348">
        <v>0</v>
      </c>
      <c r="H41" s="348">
        <v>89.2</v>
      </c>
      <c r="I41" s="348">
        <v>0</v>
      </c>
    </row>
    <row r="42" spans="1:9" ht="12.75">
      <c r="A42" s="16">
        <v>36</v>
      </c>
      <c r="B42" s="17" t="s">
        <v>146</v>
      </c>
      <c r="C42" s="349">
        <v>935</v>
      </c>
      <c r="D42" s="349">
        <v>0</v>
      </c>
      <c r="E42" s="355">
        <v>0</v>
      </c>
      <c r="F42" s="353">
        <v>0</v>
      </c>
      <c r="G42" s="349">
        <v>0</v>
      </c>
      <c r="H42" s="349">
        <v>0</v>
      </c>
      <c r="I42" s="349">
        <v>0</v>
      </c>
    </row>
    <row r="43" spans="1:9" ht="12.75">
      <c r="A43" s="14">
        <v>37</v>
      </c>
      <c r="B43" s="15" t="s">
        <v>147</v>
      </c>
      <c r="C43" s="348">
        <v>884.9</v>
      </c>
      <c r="D43" s="348">
        <v>0</v>
      </c>
      <c r="E43" s="354">
        <v>0</v>
      </c>
      <c r="F43" s="352">
        <v>0</v>
      </c>
      <c r="G43" s="348">
        <v>0</v>
      </c>
      <c r="H43" s="348">
        <v>0</v>
      </c>
      <c r="I43" s="348">
        <v>0</v>
      </c>
    </row>
    <row r="44" spans="1:9" ht="12.75">
      <c r="A44" s="16">
        <v>38</v>
      </c>
      <c r="B44" s="17" t="s">
        <v>148</v>
      </c>
      <c r="C44" s="349">
        <v>1168</v>
      </c>
      <c r="D44" s="349">
        <v>0</v>
      </c>
      <c r="E44" s="355">
        <v>0</v>
      </c>
      <c r="F44" s="353">
        <v>0</v>
      </c>
      <c r="G44" s="349">
        <v>0</v>
      </c>
      <c r="H44" s="349">
        <v>0</v>
      </c>
      <c r="I44" s="349">
        <v>0</v>
      </c>
    </row>
    <row r="45" spans="1:9" ht="12.75">
      <c r="A45" s="14">
        <v>39</v>
      </c>
      <c r="B45" s="15" t="s">
        <v>149</v>
      </c>
      <c r="C45" s="348">
        <v>2079.5</v>
      </c>
      <c r="D45" s="348">
        <v>0</v>
      </c>
      <c r="E45" s="354">
        <v>0</v>
      </c>
      <c r="F45" s="352">
        <v>0</v>
      </c>
      <c r="G45" s="348">
        <v>0</v>
      </c>
      <c r="H45" s="348">
        <v>0</v>
      </c>
      <c r="I45" s="348">
        <v>0</v>
      </c>
    </row>
    <row r="46" spans="1:9" ht="12.75">
      <c r="A46" s="16">
        <v>40</v>
      </c>
      <c r="B46" s="17" t="s">
        <v>150</v>
      </c>
      <c r="C46" s="349">
        <v>5636.5</v>
      </c>
      <c r="D46" s="349">
        <v>0</v>
      </c>
      <c r="E46" s="355">
        <v>0</v>
      </c>
      <c r="F46" s="353">
        <v>766.5</v>
      </c>
      <c r="G46" s="349">
        <v>0</v>
      </c>
      <c r="H46" s="349">
        <v>408</v>
      </c>
      <c r="I46" s="349">
        <v>0</v>
      </c>
    </row>
    <row r="47" spans="1:9" ht="12.75">
      <c r="A47" s="14">
        <v>41</v>
      </c>
      <c r="B47" s="15" t="s">
        <v>151</v>
      </c>
      <c r="C47" s="348">
        <v>1547</v>
      </c>
      <c r="D47" s="348">
        <v>0</v>
      </c>
      <c r="E47" s="354">
        <v>0</v>
      </c>
      <c r="F47" s="352">
        <v>0</v>
      </c>
      <c r="G47" s="348">
        <v>0</v>
      </c>
      <c r="H47" s="348">
        <v>0</v>
      </c>
      <c r="I47" s="348">
        <v>0</v>
      </c>
    </row>
    <row r="48" spans="1:9" ht="12.75">
      <c r="A48" s="16">
        <v>42</v>
      </c>
      <c r="B48" s="17" t="s">
        <v>152</v>
      </c>
      <c r="C48" s="349">
        <v>1040.5</v>
      </c>
      <c r="D48" s="349">
        <v>0</v>
      </c>
      <c r="E48" s="355">
        <v>0</v>
      </c>
      <c r="F48" s="353">
        <v>0</v>
      </c>
      <c r="G48" s="349">
        <v>0</v>
      </c>
      <c r="H48" s="349">
        <v>0</v>
      </c>
      <c r="I48" s="349">
        <v>0</v>
      </c>
    </row>
    <row r="49" spans="1:9" ht="12.75">
      <c r="A49" s="14">
        <v>43</v>
      </c>
      <c r="B49" s="15" t="s">
        <v>153</v>
      </c>
      <c r="C49" s="348">
        <v>776.5</v>
      </c>
      <c r="D49" s="348">
        <v>0</v>
      </c>
      <c r="E49" s="354">
        <v>0</v>
      </c>
      <c r="F49" s="352">
        <v>0</v>
      </c>
      <c r="G49" s="348">
        <v>0</v>
      </c>
      <c r="H49" s="348">
        <v>0</v>
      </c>
      <c r="I49" s="348">
        <v>0</v>
      </c>
    </row>
    <row r="50" spans="1:9" ht="12.75">
      <c r="A50" s="16">
        <v>44</v>
      </c>
      <c r="B50" s="17" t="s">
        <v>154</v>
      </c>
      <c r="C50" s="349">
        <v>1215.5</v>
      </c>
      <c r="D50" s="349">
        <v>0</v>
      </c>
      <c r="E50" s="355">
        <v>0</v>
      </c>
      <c r="F50" s="353">
        <v>0</v>
      </c>
      <c r="G50" s="349">
        <v>0</v>
      </c>
      <c r="H50" s="349">
        <v>0</v>
      </c>
      <c r="I50" s="349">
        <v>0</v>
      </c>
    </row>
    <row r="51" spans="1:9" ht="12.75">
      <c r="A51" s="14">
        <v>45</v>
      </c>
      <c r="B51" s="15" t="s">
        <v>155</v>
      </c>
      <c r="C51" s="348">
        <v>1268.5</v>
      </c>
      <c r="D51" s="348">
        <v>0</v>
      </c>
      <c r="E51" s="354">
        <v>0</v>
      </c>
      <c r="F51" s="352">
        <v>350.5</v>
      </c>
      <c r="G51" s="348">
        <v>0</v>
      </c>
      <c r="H51" s="348">
        <v>230</v>
      </c>
      <c r="I51" s="348">
        <v>0</v>
      </c>
    </row>
    <row r="52" spans="1:9" ht="12.75">
      <c r="A52" s="16">
        <v>46</v>
      </c>
      <c r="B52" s="17" t="s">
        <v>156</v>
      </c>
      <c r="C52" s="349">
        <v>1056</v>
      </c>
      <c r="D52" s="349">
        <v>0</v>
      </c>
      <c r="E52" s="355">
        <v>0</v>
      </c>
      <c r="F52" s="353">
        <v>324.5</v>
      </c>
      <c r="G52" s="349">
        <v>0</v>
      </c>
      <c r="H52" s="349">
        <v>105.5</v>
      </c>
      <c r="I52" s="349">
        <v>0</v>
      </c>
    </row>
    <row r="53" spans="1:9" ht="12.75">
      <c r="A53" s="14">
        <v>47</v>
      </c>
      <c r="B53" s="15" t="s">
        <v>157</v>
      </c>
      <c r="C53" s="348">
        <v>876.5</v>
      </c>
      <c r="D53" s="348">
        <v>0</v>
      </c>
      <c r="E53" s="354">
        <v>0</v>
      </c>
      <c r="F53" s="352">
        <v>431</v>
      </c>
      <c r="G53" s="348">
        <v>0</v>
      </c>
      <c r="H53" s="348">
        <v>104.5</v>
      </c>
      <c r="I53" s="348">
        <v>0</v>
      </c>
    </row>
    <row r="54" spans="1:9" ht="12.75">
      <c r="A54" s="16">
        <v>48</v>
      </c>
      <c r="B54" s="17" t="s">
        <v>158</v>
      </c>
      <c r="C54" s="349">
        <v>5139</v>
      </c>
      <c r="D54" s="349">
        <v>0</v>
      </c>
      <c r="E54" s="355">
        <v>0</v>
      </c>
      <c r="F54" s="353">
        <v>0</v>
      </c>
      <c r="G54" s="349">
        <v>0</v>
      </c>
      <c r="H54" s="349">
        <v>0</v>
      </c>
      <c r="I54" s="349">
        <v>0</v>
      </c>
    </row>
    <row r="55" spans="1:9" ht="12.75">
      <c r="A55" s="14">
        <v>49</v>
      </c>
      <c r="B55" s="15" t="s">
        <v>159</v>
      </c>
      <c r="C55" s="348">
        <v>0</v>
      </c>
      <c r="D55" s="348">
        <v>4249</v>
      </c>
      <c r="E55" s="354">
        <v>0</v>
      </c>
      <c r="F55" s="352">
        <v>0</v>
      </c>
      <c r="G55" s="348">
        <v>0</v>
      </c>
      <c r="H55" s="348">
        <v>0</v>
      </c>
      <c r="I55" s="348">
        <v>0</v>
      </c>
    </row>
    <row r="56" spans="1:9" ht="12.75">
      <c r="A56" s="16">
        <v>50</v>
      </c>
      <c r="B56" s="17" t="s">
        <v>340</v>
      </c>
      <c r="C56" s="349">
        <v>1721.5</v>
      </c>
      <c r="D56" s="349">
        <v>0</v>
      </c>
      <c r="E56" s="355">
        <v>0</v>
      </c>
      <c r="F56" s="353">
        <v>0</v>
      </c>
      <c r="G56" s="349">
        <v>0</v>
      </c>
      <c r="H56" s="349">
        <v>0</v>
      </c>
      <c r="I56" s="349">
        <v>0</v>
      </c>
    </row>
    <row r="57" spans="1:9" ht="12.75">
      <c r="A57" s="14">
        <v>2264</v>
      </c>
      <c r="B57" s="15" t="s">
        <v>160</v>
      </c>
      <c r="C57" s="348">
        <v>206</v>
      </c>
      <c r="D57" s="348">
        <v>0</v>
      </c>
      <c r="E57" s="354">
        <v>0</v>
      </c>
      <c r="F57" s="352">
        <v>0</v>
      </c>
      <c r="G57" s="348">
        <v>0</v>
      </c>
      <c r="H57" s="348">
        <v>0</v>
      </c>
      <c r="I57" s="348">
        <v>0</v>
      </c>
    </row>
    <row r="58" spans="1:9" ht="12.75">
      <c r="A58" s="16">
        <v>2309</v>
      </c>
      <c r="B58" s="17" t="s">
        <v>161</v>
      </c>
      <c r="C58" s="349">
        <v>261.7</v>
      </c>
      <c r="D58" s="349">
        <v>0</v>
      </c>
      <c r="E58" s="355">
        <v>0</v>
      </c>
      <c r="F58" s="353">
        <v>0</v>
      </c>
      <c r="G58" s="349">
        <v>0</v>
      </c>
      <c r="H58" s="349">
        <v>0</v>
      </c>
      <c r="I58" s="349">
        <v>0</v>
      </c>
    </row>
    <row r="59" spans="1:9" ht="12.75">
      <c r="A59" s="14">
        <v>2312</v>
      </c>
      <c r="B59" s="15" t="s">
        <v>162</v>
      </c>
      <c r="C59" s="348">
        <v>173.5</v>
      </c>
      <c r="D59" s="348">
        <v>0</v>
      </c>
      <c r="E59" s="354">
        <v>0</v>
      </c>
      <c r="F59" s="352">
        <v>0</v>
      </c>
      <c r="G59" s="348">
        <v>0</v>
      </c>
      <c r="H59" s="348">
        <v>0</v>
      </c>
      <c r="I59" s="348">
        <v>0</v>
      </c>
    </row>
    <row r="60" spans="1:9" ht="12.75">
      <c r="A60" s="16">
        <v>2355</v>
      </c>
      <c r="B60" s="17" t="s">
        <v>163</v>
      </c>
      <c r="C60" s="349">
        <v>2639.1</v>
      </c>
      <c r="D60" s="349">
        <v>0</v>
      </c>
      <c r="E60" s="355">
        <v>0</v>
      </c>
      <c r="F60" s="353">
        <v>234</v>
      </c>
      <c r="G60" s="349">
        <v>0</v>
      </c>
      <c r="H60" s="349">
        <v>219</v>
      </c>
      <c r="I60" s="349">
        <v>0</v>
      </c>
    </row>
    <row r="61" spans="1:9" ht="12.75">
      <c r="A61" s="14">
        <v>2439</v>
      </c>
      <c r="B61" s="15" t="s">
        <v>164</v>
      </c>
      <c r="C61" s="348">
        <v>158.5</v>
      </c>
      <c r="D61" s="348">
        <v>0</v>
      </c>
      <c r="E61" s="354">
        <v>0</v>
      </c>
      <c r="F61" s="352">
        <v>0</v>
      </c>
      <c r="G61" s="348">
        <v>0</v>
      </c>
      <c r="H61" s="348">
        <v>0</v>
      </c>
      <c r="I61" s="348">
        <v>0</v>
      </c>
    </row>
    <row r="62" spans="1:9" ht="12.75">
      <c r="A62" s="16">
        <v>2460</v>
      </c>
      <c r="B62" s="17" t="s">
        <v>165</v>
      </c>
      <c r="C62" s="349">
        <v>272.2</v>
      </c>
      <c r="D62" s="349">
        <v>0</v>
      </c>
      <c r="E62" s="355">
        <v>0</v>
      </c>
      <c r="F62" s="353">
        <v>0</v>
      </c>
      <c r="G62" s="349">
        <v>0</v>
      </c>
      <c r="H62" s="349">
        <v>0</v>
      </c>
      <c r="I62" s="349">
        <v>0</v>
      </c>
    </row>
    <row r="63" spans="1:9" ht="12.75">
      <c r="A63" s="14">
        <v>3000</v>
      </c>
      <c r="B63" s="15" t="s">
        <v>363</v>
      </c>
      <c r="C63" s="348">
        <v>70</v>
      </c>
      <c r="D63" s="348">
        <v>0</v>
      </c>
      <c r="E63" s="354">
        <v>0</v>
      </c>
      <c r="F63" s="352">
        <v>0</v>
      </c>
      <c r="G63" s="348">
        <v>0</v>
      </c>
      <c r="H63" s="348">
        <v>0</v>
      </c>
      <c r="I63" s="348">
        <v>0</v>
      </c>
    </row>
    <row r="64" spans="3:9" ht="4.5" customHeight="1">
      <c r="C64" s="350"/>
      <c r="D64" s="350"/>
      <c r="E64" s="350"/>
      <c r="F64" s="350"/>
      <c r="G64" s="350"/>
      <c r="H64" s="350"/>
      <c r="I64" s="350"/>
    </row>
    <row r="65" spans="1:9" ht="12.75">
      <c r="A65" s="20"/>
      <c r="B65" s="21" t="s">
        <v>166</v>
      </c>
      <c r="C65" s="351">
        <f>SUM(C11:C63)</f>
        <v>132765.64</v>
      </c>
      <c r="D65" s="351">
        <f aca="true" t="shared" si="0" ref="D65:I65">SUM(D11:D63)</f>
        <v>4932</v>
      </c>
      <c r="E65" s="357">
        <f t="shared" si="0"/>
        <v>8299.9</v>
      </c>
      <c r="F65" s="356">
        <f t="shared" si="0"/>
        <v>18223.6</v>
      </c>
      <c r="G65" s="351">
        <f t="shared" si="0"/>
        <v>598</v>
      </c>
      <c r="H65" s="351">
        <f t="shared" si="0"/>
        <v>7733.2</v>
      </c>
      <c r="I65" s="351">
        <f t="shared" si="0"/>
        <v>1501</v>
      </c>
    </row>
    <row r="66" spans="3:9" ht="4.5" customHeight="1">
      <c r="C66" s="350"/>
      <c r="D66" s="350"/>
      <c r="E66" s="350"/>
      <c r="F66" s="350"/>
      <c r="G66" s="350"/>
      <c r="H66" s="350"/>
      <c r="I66" s="350"/>
    </row>
    <row r="67" spans="1:9" ht="12.75">
      <c r="A67" s="16">
        <v>2155</v>
      </c>
      <c r="B67" s="17" t="s">
        <v>167</v>
      </c>
      <c r="C67" s="349">
        <v>142</v>
      </c>
      <c r="D67" s="349">
        <v>0</v>
      </c>
      <c r="E67" s="355">
        <v>0</v>
      </c>
      <c r="F67" s="353">
        <v>0</v>
      </c>
      <c r="G67" s="349">
        <v>0</v>
      </c>
      <c r="H67" s="349">
        <v>0</v>
      </c>
      <c r="I67" s="349">
        <v>0</v>
      </c>
    </row>
    <row r="68" spans="1:9" ht="12.75">
      <c r="A68" s="14">
        <v>2408</v>
      </c>
      <c r="B68" s="15" t="s">
        <v>169</v>
      </c>
      <c r="C68" s="348">
        <v>244</v>
      </c>
      <c r="D68" s="348">
        <v>0</v>
      </c>
      <c r="E68" s="354">
        <v>0</v>
      </c>
      <c r="F68" s="352">
        <v>0</v>
      </c>
      <c r="G68" s="348">
        <v>0</v>
      </c>
      <c r="H68" s="348">
        <v>0</v>
      </c>
      <c r="I68" s="348">
        <v>0</v>
      </c>
    </row>
    <row r="69" spans="3:9" ht="6.75" customHeight="1">
      <c r="C69" s="105"/>
      <c r="D69" s="105"/>
      <c r="E69" s="105"/>
      <c r="F69" s="105"/>
      <c r="G69" s="105"/>
      <c r="H69" s="105"/>
      <c r="I69" s="105"/>
    </row>
    <row r="70" spans="1:9" ht="12" customHeight="1">
      <c r="A70" s="396" t="s">
        <v>351</v>
      </c>
      <c r="B70" s="56" t="s">
        <v>298</v>
      </c>
      <c r="D70" s="105"/>
      <c r="E70" s="105"/>
      <c r="F70" s="105"/>
      <c r="G70" s="105"/>
      <c r="H70" s="105"/>
      <c r="I70" s="105"/>
    </row>
    <row r="71" spans="1:9" ht="12" customHeight="1">
      <c r="A71" s="396" t="s">
        <v>352</v>
      </c>
      <c r="B71" s="56" t="s">
        <v>299</v>
      </c>
      <c r="D71" s="105"/>
      <c r="E71" s="105"/>
      <c r="F71" s="105"/>
      <c r="G71" s="105"/>
      <c r="H71" s="105"/>
      <c r="I71" s="105"/>
    </row>
    <row r="72" spans="1:2" ht="12" customHeight="1">
      <c r="A72" s="7"/>
      <c r="B72" s="7"/>
    </row>
    <row r="73" spans="1:2" ht="12" customHeight="1">
      <c r="A73" s="7"/>
      <c r="B73" s="7"/>
    </row>
    <row r="74" spans="1:2" ht="12" customHeight="1">
      <c r="A74" s="7"/>
      <c r="B74" s="7"/>
    </row>
    <row r="75" ht="12" customHeight="1"/>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7" width="15.83203125" style="82" customWidth="1"/>
    <col min="8" max="8" width="17.83203125" style="82" customWidth="1"/>
    <col min="9" max="9" width="36.83203125" style="82" customWidth="1"/>
    <col min="10" max="10" width="15.83203125" style="82" customWidth="1"/>
    <col min="11" max="11" width="8.83203125" style="82" customWidth="1"/>
    <col min="12" max="16384" width="15.83203125" style="82" customWidth="1"/>
  </cols>
  <sheetData>
    <row r="1" spans="1:2" ht="6.75" customHeight="1">
      <c r="A1" s="18"/>
      <c r="B1" s="80"/>
    </row>
    <row r="2" spans="1:8" ht="12.75">
      <c r="A2" s="12"/>
      <c r="B2" s="106"/>
      <c r="C2" s="107" t="s">
        <v>170</v>
      </c>
      <c r="D2" s="107"/>
      <c r="E2" s="107"/>
      <c r="F2" s="107"/>
      <c r="G2" s="286"/>
      <c r="H2" s="108" t="s">
        <v>2</v>
      </c>
    </row>
    <row r="3" spans="1:8" ht="12.75">
      <c r="A3" s="13"/>
      <c r="B3" s="109"/>
      <c r="C3" s="392" t="str">
        <f>"CAPITAL FUND "&amp;REPLACE(YEAR,1,22,"")&amp;" BUDGET"</f>
        <v>CAPITAL FUND 2002/2003 BUDGET</v>
      </c>
      <c r="D3" s="170"/>
      <c r="E3" s="140"/>
      <c r="F3" s="140"/>
      <c r="G3" s="319"/>
      <c r="H3" s="176"/>
    </row>
    <row r="4" spans="1:8" ht="12.75">
      <c r="A4" s="11"/>
      <c r="C4" s="142"/>
      <c r="D4" s="181"/>
      <c r="E4" s="182"/>
      <c r="F4" s="142"/>
      <c r="G4" s="142"/>
      <c r="H4" s="142"/>
    </row>
    <row r="5" spans="1:8" ht="12.75">
      <c r="A5" s="11"/>
      <c r="C5" s="57"/>
      <c r="D5" s="142"/>
      <c r="E5" s="142"/>
      <c r="F5" s="142"/>
      <c r="G5" s="142"/>
      <c r="H5" s="142"/>
    </row>
    <row r="6" spans="1:8" ht="12.75">
      <c r="A6" s="11"/>
      <c r="C6" s="227" t="s">
        <v>179</v>
      </c>
      <c r="D6" s="127"/>
      <c r="E6" s="127"/>
      <c r="F6" s="127"/>
      <c r="G6" s="127"/>
      <c r="H6" s="128"/>
    </row>
    <row r="7" spans="1:8" ht="12.75">
      <c r="A7" s="18"/>
      <c r="C7" s="143"/>
      <c r="D7" s="143"/>
      <c r="E7" s="143"/>
      <c r="F7" s="159"/>
      <c r="G7" s="143" t="s">
        <v>192</v>
      </c>
      <c r="H7" s="159"/>
    </row>
    <row r="8" spans="1:8" ht="12.75">
      <c r="A8" s="94"/>
      <c r="B8" s="46"/>
      <c r="C8" s="145" t="s">
        <v>205</v>
      </c>
      <c r="D8" s="145" t="s">
        <v>215</v>
      </c>
      <c r="E8" s="145" t="s">
        <v>216</v>
      </c>
      <c r="F8" s="177"/>
      <c r="G8" s="145" t="s">
        <v>217</v>
      </c>
      <c r="H8" s="177"/>
    </row>
    <row r="9" spans="1:8" ht="12.75">
      <c r="A9" s="52" t="s">
        <v>100</v>
      </c>
      <c r="B9" s="53" t="s">
        <v>101</v>
      </c>
      <c r="C9" s="147" t="s">
        <v>207</v>
      </c>
      <c r="D9" s="147" t="s">
        <v>114</v>
      </c>
      <c r="E9" s="147" t="s">
        <v>218</v>
      </c>
      <c r="F9" s="147" t="s">
        <v>57</v>
      </c>
      <c r="G9" s="147" t="s">
        <v>220</v>
      </c>
      <c r="H9" s="147" t="s">
        <v>69</v>
      </c>
    </row>
    <row r="10" spans="1:8" ht="4.5" customHeight="1">
      <c r="A10" s="77"/>
      <c r="B10" s="77"/>
      <c r="C10" s="148"/>
      <c r="D10" s="148"/>
      <c r="E10" s="148"/>
      <c r="F10" s="148"/>
      <c r="G10" s="148"/>
      <c r="H10" s="148"/>
    </row>
    <row r="11" spans="1:11" ht="12.75">
      <c r="A11" s="14">
        <v>1</v>
      </c>
      <c r="B11" s="15" t="s">
        <v>115</v>
      </c>
      <c r="C11" s="15">
        <v>11464713</v>
      </c>
      <c r="D11" s="15">
        <v>65000</v>
      </c>
      <c r="E11" s="15">
        <v>0</v>
      </c>
      <c r="F11" s="15">
        <v>0</v>
      </c>
      <c r="G11" s="15">
        <v>0</v>
      </c>
      <c r="H11" s="15">
        <f>SUM(C11:G11)</f>
        <v>11529713</v>
      </c>
      <c r="J11" s="3" t="s">
        <v>240</v>
      </c>
      <c r="K11" s="2"/>
    </row>
    <row r="12" spans="1:11" ht="12.75">
      <c r="A12" s="16">
        <v>2</v>
      </c>
      <c r="B12" s="17" t="s">
        <v>116</v>
      </c>
      <c r="C12" s="17">
        <v>947071</v>
      </c>
      <c r="D12" s="17">
        <v>0</v>
      </c>
      <c r="E12" s="17">
        <v>0</v>
      </c>
      <c r="F12" s="17">
        <v>0</v>
      </c>
      <c r="G12" s="17">
        <v>0</v>
      </c>
      <c r="H12" s="17">
        <f aca="true" t="shared" si="0" ref="H12:H63">SUM(C12:G12)</f>
        <v>947071</v>
      </c>
      <c r="J12"/>
      <c r="K12" s="2"/>
    </row>
    <row r="13" spans="1:11" ht="12.75">
      <c r="A13" s="14">
        <v>3</v>
      </c>
      <c r="B13" s="15" t="s">
        <v>117</v>
      </c>
      <c r="C13" s="15">
        <v>1625325</v>
      </c>
      <c r="D13" s="15">
        <v>89260</v>
      </c>
      <c r="E13" s="15">
        <v>0</v>
      </c>
      <c r="F13" s="15">
        <v>0</v>
      </c>
      <c r="G13" s="15">
        <v>26000</v>
      </c>
      <c r="H13" s="15">
        <f t="shared" si="0"/>
        <v>1740585</v>
      </c>
      <c r="J13" s="3" t="s">
        <v>241</v>
      </c>
      <c r="K13" s="2"/>
    </row>
    <row r="14" spans="1:11" ht="12.75">
      <c r="A14" s="16">
        <v>4</v>
      </c>
      <c r="B14" s="17" t="s">
        <v>118</v>
      </c>
      <c r="C14" s="17">
        <v>894574</v>
      </c>
      <c r="D14" s="17">
        <v>75000</v>
      </c>
      <c r="E14" s="17">
        <v>0</v>
      </c>
      <c r="F14" s="17">
        <v>0</v>
      </c>
      <c r="G14" s="17">
        <v>200000</v>
      </c>
      <c r="H14" s="17">
        <f t="shared" si="0"/>
        <v>1169574</v>
      </c>
      <c r="J14"/>
      <c r="K14" s="2"/>
    </row>
    <row r="15" spans="1:11" ht="12.75">
      <c r="A15" s="14">
        <v>5</v>
      </c>
      <c r="B15" s="15" t="s">
        <v>119</v>
      </c>
      <c r="C15" s="15">
        <v>2192075</v>
      </c>
      <c r="D15" s="15">
        <v>424685</v>
      </c>
      <c r="E15" s="15">
        <v>0</v>
      </c>
      <c r="F15" s="15">
        <v>0</v>
      </c>
      <c r="G15" s="15">
        <v>100000</v>
      </c>
      <c r="H15" s="15">
        <f t="shared" si="0"/>
        <v>2716760</v>
      </c>
      <c r="J15" s="3" t="s">
        <v>174</v>
      </c>
      <c r="K15" s="2">
        <f>'- 47 -'!C65/'- 47 -'!H$65</f>
        <v>0.7381496732050493</v>
      </c>
    </row>
    <row r="16" spans="1:11" ht="12.75">
      <c r="A16" s="16">
        <v>6</v>
      </c>
      <c r="B16" s="17" t="s">
        <v>120</v>
      </c>
      <c r="C16" s="17">
        <v>3492338</v>
      </c>
      <c r="D16" s="17">
        <v>203000</v>
      </c>
      <c r="E16" s="17">
        <v>0</v>
      </c>
      <c r="F16" s="17">
        <v>0</v>
      </c>
      <c r="G16" s="17">
        <v>0</v>
      </c>
      <c r="H16" s="17">
        <f t="shared" si="0"/>
        <v>3695338</v>
      </c>
      <c r="J16" s="3" t="s">
        <v>57</v>
      </c>
      <c r="K16" s="2">
        <f>'- 47 -'!F65/'- 47 -'!H$65</f>
        <v>0.0004323926980434605</v>
      </c>
    </row>
    <row r="17" spans="1:11" ht="12.75">
      <c r="A17" s="14">
        <v>9</v>
      </c>
      <c r="B17" s="15" t="s">
        <v>121</v>
      </c>
      <c r="C17" s="15">
        <v>2729486</v>
      </c>
      <c r="D17" s="15">
        <v>910000</v>
      </c>
      <c r="E17" s="15">
        <v>3000000</v>
      </c>
      <c r="F17" s="15">
        <v>0</v>
      </c>
      <c r="G17" s="15">
        <v>0</v>
      </c>
      <c r="H17" s="15">
        <f t="shared" si="0"/>
        <v>6639486</v>
      </c>
      <c r="J17" s="3" t="s">
        <v>242</v>
      </c>
      <c r="K17" s="2">
        <f>'- 47 -'!G65/'- 47 -'!H$65</f>
        <v>0.011039026630989235</v>
      </c>
    </row>
    <row r="18" spans="1:11" ht="12.75">
      <c r="A18" s="16">
        <v>10</v>
      </c>
      <c r="B18" s="17" t="s">
        <v>122</v>
      </c>
      <c r="C18" s="17">
        <v>2710318</v>
      </c>
      <c r="D18" s="17">
        <v>787505</v>
      </c>
      <c r="E18" s="17">
        <v>0</v>
      </c>
      <c r="F18" s="17">
        <v>0</v>
      </c>
      <c r="G18" s="17">
        <v>0</v>
      </c>
      <c r="H18" s="17">
        <f t="shared" si="0"/>
        <v>3497823</v>
      </c>
      <c r="J18" s="3" t="s">
        <v>243</v>
      </c>
      <c r="K18" s="2">
        <f>'- 47 -'!D65/'- 47 -'!H$65</f>
        <v>0.14302671982568357</v>
      </c>
    </row>
    <row r="19" spans="1:11" ht="12.75">
      <c r="A19" s="14">
        <v>11</v>
      </c>
      <c r="B19" s="15" t="s">
        <v>123</v>
      </c>
      <c r="C19" s="15">
        <v>1194297</v>
      </c>
      <c r="D19" s="15">
        <v>485583</v>
      </c>
      <c r="E19" s="15">
        <v>0</v>
      </c>
      <c r="F19" s="15">
        <v>0</v>
      </c>
      <c r="G19" s="15">
        <v>0</v>
      </c>
      <c r="H19" s="15">
        <f t="shared" si="0"/>
        <v>1679880</v>
      </c>
      <c r="J19" s="3" t="s">
        <v>244</v>
      </c>
      <c r="K19" s="2">
        <f>'- 47 -'!E65/'- 47 -'!H$65</f>
        <v>0.10735218764023433</v>
      </c>
    </row>
    <row r="20" spans="1:11" ht="12.75">
      <c r="A20" s="16">
        <v>12</v>
      </c>
      <c r="B20" s="17" t="s">
        <v>124</v>
      </c>
      <c r="C20" s="17">
        <v>2206708.63</v>
      </c>
      <c r="D20" s="17">
        <v>1075922</v>
      </c>
      <c r="E20" s="17">
        <v>0</v>
      </c>
      <c r="F20" s="17">
        <v>0</v>
      </c>
      <c r="G20" s="17">
        <v>0</v>
      </c>
      <c r="H20" s="17">
        <f t="shared" si="0"/>
        <v>3282630.63</v>
      </c>
      <c r="J20"/>
      <c r="K20" s="2"/>
    </row>
    <row r="21" spans="1:11" ht="12.75">
      <c r="A21" s="14">
        <v>13</v>
      </c>
      <c r="B21" s="15" t="s">
        <v>125</v>
      </c>
      <c r="C21" s="15">
        <v>0</v>
      </c>
      <c r="D21" s="15">
        <v>374120</v>
      </c>
      <c r="E21" s="15">
        <v>0</v>
      </c>
      <c r="F21" s="15">
        <v>0</v>
      </c>
      <c r="G21" s="15">
        <v>0</v>
      </c>
      <c r="H21" s="15">
        <f t="shared" si="0"/>
        <v>374120</v>
      </c>
      <c r="J21" s="3" t="s">
        <v>69</v>
      </c>
      <c r="K21" s="2">
        <f>SUM(K15:K19)</f>
        <v>1</v>
      </c>
    </row>
    <row r="22" spans="1:11" ht="12.75">
      <c r="A22" s="16">
        <v>14</v>
      </c>
      <c r="B22" s="17" t="s">
        <v>126</v>
      </c>
      <c r="C22" s="17">
        <v>2415325</v>
      </c>
      <c r="D22" s="17">
        <v>479098</v>
      </c>
      <c r="E22" s="17">
        <v>0</v>
      </c>
      <c r="F22" s="17">
        <v>0</v>
      </c>
      <c r="G22" s="17">
        <v>0</v>
      </c>
      <c r="H22" s="17">
        <f t="shared" si="0"/>
        <v>2894423</v>
      </c>
      <c r="J22"/>
      <c r="K22" s="2"/>
    </row>
    <row r="23" spans="1:11" ht="12.75">
      <c r="A23" s="14">
        <v>15</v>
      </c>
      <c r="B23" s="15" t="s">
        <v>127</v>
      </c>
      <c r="C23" s="15">
        <v>2863575</v>
      </c>
      <c r="D23" s="15">
        <v>453518</v>
      </c>
      <c r="E23" s="15">
        <v>0</v>
      </c>
      <c r="F23" s="15">
        <v>0</v>
      </c>
      <c r="G23" s="15">
        <v>0</v>
      </c>
      <c r="H23" s="15">
        <f t="shared" si="0"/>
        <v>3317093</v>
      </c>
      <c r="J23" s="3" t="s">
        <v>245</v>
      </c>
      <c r="K23" s="2"/>
    </row>
    <row r="24" spans="1:11" ht="12.75">
      <c r="A24" s="16">
        <v>16</v>
      </c>
      <c r="B24" s="17" t="s">
        <v>128</v>
      </c>
      <c r="C24" s="17">
        <v>0</v>
      </c>
      <c r="D24" s="17">
        <v>105000</v>
      </c>
      <c r="E24" s="17">
        <v>0</v>
      </c>
      <c r="F24" s="17">
        <v>0</v>
      </c>
      <c r="G24" s="17">
        <v>0</v>
      </c>
      <c r="H24" s="17">
        <f t="shared" si="0"/>
        <v>105000</v>
      </c>
      <c r="J24"/>
      <c r="K24"/>
    </row>
    <row r="25" spans="1:11" ht="12.75">
      <c r="A25" s="14">
        <v>17</v>
      </c>
      <c r="B25" s="15" t="s">
        <v>129</v>
      </c>
      <c r="C25" s="15">
        <v>0</v>
      </c>
      <c r="D25" s="15">
        <v>71000</v>
      </c>
      <c r="E25" s="15">
        <v>0</v>
      </c>
      <c r="F25" s="15">
        <v>0</v>
      </c>
      <c r="G25" s="15">
        <v>0</v>
      </c>
      <c r="H25" s="15">
        <f t="shared" si="0"/>
        <v>71000</v>
      </c>
      <c r="J25" s="3" t="s">
        <v>232</v>
      </c>
      <c r="K25" s="2">
        <f>'- 48 -'!C65/'- 49 -'!E$65</f>
        <v>0.01350543015724353</v>
      </c>
    </row>
    <row r="26" spans="1:11" ht="12.75">
      <c r="A26" s="16">
        <v>18</v>
      </c>
      <c r="B26" s="17" t="s">
        <v>130</v>
      </c>
      <c r="C26" s="17">
        <v>334139.15</v>
      </c>
      <c r="D26" s="17">
        <v>115000</v>
      </c>
      <c r="E26" s="17">
        <v>0</v>
      </c>
      <c r="F26" s="17">
        <v>0</v>
      </c>
      <c r="G26" s="17">
        <v>0</v>
      </c>
      <c r="H26" s="17">
        <f t="shared" si="0"/>
        <v>449139.15</v>
      </c>
      <c r="J26" s="3" t="s">
        <v>233</v>
      </c>
      <c r="K26" s="2">
        <f>'- 48 -'!D65/'- 49 -'!E$65</f>
        <v>0.1152658771131028</v>
      </c>
    </row>
    <row r="27" spans="1:11" ht="12.75">
      <c r="A27" s="14">
        <v>19</v>
      </c>
      <c r="B27" s="15" t="s">
        <v>131</v>
      </c>
      <c r="C27" s="15">
        <v>0</v>
      </c>
      <c r="D27" s="15">
        <v>0</v>
      </c>
      <c r="E27" s="15">
        <v>0</v>
      </c>
      <c r="F27" s="15">
        <v>0</v>
      </c>
      <c r="G27" s="15">
        <v>0</v>
      </c>
      <c r="H27" s="15">
        <f t="shared" si="0"/>
        <v>0</v>
      </c>
      <c r="J27" s="3" t="s">
        <v>242</v>
      </c>
      <c r="K27" s="2">
        <f>'- 49 -'!D65/'- 49 -'!E$65</f>
        <v>0.021124216863395762</v>
      </c>
    </row>
    <row r="28" spans="1:11" ht="12.75">
      <c r="A28" s="16">
        <v>20</v>
      </c>
      <c r="B28" s="17" t="s">
        <v>132</v>
      </c>
      <c r="C28" s="17">
        <v>0</v>
      </c>
      <c r="D28" s="17">
        <v>90000</v>
      </c>
      <c r="E28" s="17">
        <v>0</v>
      </c>
      <c r="F28" s="17">
        <v>0</v>
      </c>
      <c r="G28" s="17">
        <v>0</v>
      </c>
      <c r="H28" s="17">
        <f t="shared" si="0"/>
        <v>90000</v>
      </c>
      <c r="J28" s="3" t="s">
        <v>243</v>
      </c>
      <c r="K28" s="2">
        <f>'- 49 -'!C65/'- 49 -'!E$65</f>
        <v>8.620487334410763E-05</v>
      </c>
    </row>
    <row r="29" spans="1:11" ht="12.75">
      <c r="A29" s="14">
        <v>21</v>
      </c>
      <c r="B29" s="15" t="s">
        <v>133</v>
      </c>
      <c r="C29" s="15">
        <v>801845</v>
      </c>
      <c r="D29" s="15">
        <v>320000</v>
      </c>
      <c r="E29" s="15">
        <v>0</v>
      </c>
      <c r="F29" s="15">
        <v>0</v>
      </c>
      <c r="G29" s="15">
        <v>0</v>
      </c>
      <c r="H29" s="15">
        <f t="shared" si="0"/>
        <v>1121845</v>
      </c>
      <c r="J29" s="3" t="s">
        <v>235</v>
      </c>
      <c r="K29" s="2">
        <f>'- 48 -'!F65/'- 49 -'!E$65</f>
        <v>0.08283642475984325</v>
      </c>
    </row>
    <row r="30" spans="1:11" ht="12.75">
      <c r="A30" s="16">
        <v>22</v>
      </c>
      <c r="B30" s="17" t="s">
        <v>134</v>
      </c>
      <c r="C30" s="17">
        <v>0</v>
      </c>
      <c r="D30" s="17">
        <v>273183</v>
      </c>
      <c r="E30" s="17">
        <v>0</v>
      </c>
      <c r="F30" s="17">
        <v>0</v>
      </c>
      <c r="G30" s="17">
        <v>0</v>
      </c>
      <c r="H30" s="17">
        <f t="shared" si="0"/>
        <v>273183</v>
      </c>
      <c r="J30" s="3" t="s">
        <v>234</v>
      </c>
      <c r="K30" s="2">
        <f>'- 48 -'!E65/'- 49 -'!E$65</f>
        <v>0.016632067230121086</v>
      </c>
    </row>
    <row r="31" spans="1:11" ht="12.75">
      <c r="A31" s="14">
        <v>23</v>
      </c>
      <c r="B31" s="15" t="s">
        <v>135</v>
      </c>
      <c r="C31" s="15">
        <v>0</v>
      </c>
      <c r="D31" s="15">
        <v>210000</v>
      </c>
      <c r="E31" s="15">
        <v>0</v>
      </c>
      <c r="F31" s="15">
        <v>0</v>
      </c>
      <c r="G31" s="15">
        <v>0</v>
      </c>
      <c r="H31" s="15">
        <f t="shared" si="0"/>
        <v>210000</v>
      </c>
      <c r="J31" s="3" t="s">
        <v>83</v>
      </c>
      <c r="K31" s="2">
        <f>'- 48 -'!G65/'- 49 -'!E$65</f>
        <v>0.7505497790029494</v>
      </c>
    </row>
    <row r="32" spans="1:11" ht="12.75">
      <c r="A32" s="16">
        <v>24</v>
      </c>
      <c r="B32" s="17" t="s">
        <v>136</v>
      </c>
      <c r="C32" s="17">
        <v>951708</v>
      </c>
      <c r="D32" s="17">
        <v>175000</v>
      </c>
      <c r="E32" s="17">
        <v>0</v>
      </c>
      <c r="F32" s="17">
        <v>0</v>
      </c>
      <c r="G32" s="17">
        <v>0</v>
      </c>
      <c r="H32" s="17">
        <f t="shared" si="0"/>
        <v>1126708</v>
      </c>
      <c r="J32"/>
      <c r="K32" s="2"/>
    </row>
    <row r="33" spans="1:11" ht="12.75">
      <c r="A33" s="14">
        <v>25</v>
      </c>
      <c r="B33" s="15" t="s">
        <v>137</v>
      </c>
      <c r="C33" s="15">
        <v>540788</v>
      </c>
      <c r="D33" s="15">
        <v>179500</v>
      </c>
      <c r="E33" s="15">
        <v>0</v>
      </c>
      <c r="F33" s="15">
        <v>0</v>
      </c>
      <c r="G33" s="15">
        <v>0</v>
      </c>
      <c r="H33" s="15">
        <f t="shared" si="0"/>
        <v>720288</v>
      </c>
      <c r="J33" s="3" t="s">
        <v>69</v>
      </c>
      <c r="K33" s="2">
        <f>SUM(K25:K31)</f>
        <v>0.9999999999999999</v>
      </c>
    </row>
    <row r="34" spans="1:8" ht="12.75">
      <c r="A34" s="16">
        <v>26</v>
      </c>
      <c r="B34" s="17" t="s">
        <v>138</v>
      </c>
      <c r="C34" s="17">
        <v>1580838</v>
      </c>
      <c r="D34" s="17">
        <v>115000</v>
      </c>
      <c r="E34" s="17">
        <v>0</v>
      </c>
      <c r="F34" s="17">
        <v>0</v>
      </c>
      <c r="G34" s="17">
        <v>0</v>
      </c>
      <c r="H34" s="17">
        <f t="shared" si="0"/>
        <v>1695838</v>
      </c>
    </row>
    <row r="35" spans="1:8" ht="12.75">
      <c r="A35" s="14">
        <v>28</v>
      </c>
      <c r="B35" s="15" t="s">
        <v>139</v>
      </c>
      <c r="C35" s="15">
        <v>604701</v>
      </c>
      <c r="D35" s="15">
        <v>87000</v>
      </c>
      <c r="E35" s="15">
        <v>0</v>
      </c>
      <c r="F35" s="15">
        <v>0</v>
      </c>
      <c r="G35" s="15">
        <v>0</v>
      </c>
      <c r="H35" s="15">
        <f t="shared" si="0"/>
        <v>691701</v>
      </c>
    </row>
    <row r="36" spans="1:8" ht="12.75">
      <c r="A36" s="16">
        <v>30</v>
      </c>
      <c r="B36" s="17" t="s">
        <v>140</v>
      </c>
      <c r="C36" s="17">
        <v>368405</v>
      </c>
      <c r="D36" s="17">
        <v>245000</v>
      </c>
      <c r="E36" s="17">
        <v>175000</v>
      </c>
      <c r="F36" s="17">
        <v>8500</v>
      </c>
      <c r="G36" s="17">
        <v>283125</v>
      </c>
      <c r="H36" s="17">
        <f t="shared" si="0"/>
        <v>1080030</v>
      </c>
    </row>
    <row r="37" spans="1:8" ht="12.75">
      <c r="A37" s="14">
        <v>31</v>
      </c>
      <c r="B37" s="15" t="s">
        <v>141</v>
      </c>
      <c r="C37" s="15">
        <v>968797</v>
      </c>
      <c r="D37" s="15">
        <v>177000</v>
      </c>
      <c r="E37" s="15">
        <v>0</v>
      </c>
      <c r="F37" s="15">
        <v>0</v>
      </c>
      <c r="G37" s="15">
        <v>56971</v>
      </c>
      <c r="H37" s="15">
        <f t="shared" si="0"/>
        <v>1202768</v>
      </c>
    </row>
    <row r="38" spans="1:8" ht="12.75">
      <c r="A38" s="16">
        <v>32</v>
      </c>
      <c r="B38" s="17" t="s">
        <v>142</v>
      </c>
      <c r="C38" s="17">
        <v>336849</v>
      </c>
      <c r="D38" s="17">
        <v>166124</v>
      </c>
      <c r="E38" s="17">
        <v>0</v>
      </c>
      <c r="F38" s="17">
        <v>0</v>
      </c>
      <c r="G38" s="17">
        <v>0</v>
      </c>
      <c r="H38" s="17">
        <f t="shared" si="0"/>
        <v>502973</v>
      </c>
    </row>
    <row r="39" spans="1:8" ht="12.75">
      <c r="A39" s="14">
        <v>33</v>
      </c>
      <c r="B39" s="15" t="s">
        <v>143</v>
      </c>
      <c r="C39" s="15">
        <v>688329</v>
      </c>
      <c r="D39" s="15">
        <v>130380</v>
      </c>
      <c r="E39" s="15">
        <v>605000</v>
      </c>
      <c r="F39" s="15">
        <v>0</v>
      </c>
      <c r="G39" s="15">
        <v>80655</v>
      </c>
      <c r="H39" s="15">
        <f t="shared" si="0"/>
        <v>1504364</v>
      </c>
    </row>
    <row r="40" spans="1:8" ht="12.75">
      <c r="A40" s="16">
        <v>34</v>
      </c>
      <c r="B40" s="17" t="s">
        <v>144</v>
      </c>
      <c r="C40" s="17">
        <v>500000</v>
      </c>
      <c r="D40" s="17">
        <v>0</v>
      </c>
      <c r="E40" s="17">
        <v>500000</v>
      </c>
      <c r="F40" s="17">
        <v>0</v>
      </c>
      <c r="G40" s="17">
        <v>0</v>
      </c>
      <c r="H40" s="17">
        <f t="shared" si="0"/>
        <v>1000000</v>
      </c>
    </row>
    <row r="41" spans="1:8" ht="12.75">
      <c r="A41" s="14">
        <v>35</v>
      </c>
      <c r="B41" s="15" t="s">
        <v>145</v>
      </c>
      <c r="C41" s="15">
        <v>302346</v>
      </c>
      <c r="D41" s="15">
        <v>232330</v>
      </c>
      <c r="E41" s="15">
        <v>155482</v>
      </c>
      <c r="F41" s="15">
        <v>0</v>
      </c>
      <c r="G41" s="15">
        <v>0</v>
      </c>
      <c r="H41" s="15">
        <f t="shared" si="0"/>
        <v>690158</v>
      </c>
    </row>
    <row r="42" spans="1:8" ht="12.75">
      <c r="A42" s="16">
        <v>36</v>
      </c>
      <c r="B42" s="17" t="s">
        <v>146</v>
      </c>
      <c r="C42" s="17">
        <v>740326</v>
      </c>
      <c r="D42" s="17">
        <v>143354</v>
      </c>
      <c r="E42" s="17">
        <v>0</v>
      </c>
      <c r="F42" s="17">
        <v>0</v>
      </c>
      <c r="G42" s="17">
        <v>0</v>
      </c>
      <c r="H42" s="17">
        <f t="shared" si="0"/>
        <v>883680</v>
      </c>
    </row>
    <row r="43" spans="1:8" ht="12.75">
      <c r="A43" s="14">
        <v>37</v>
      </c>
      <c r="B43" s="15" t="s">
        <v>147</v>
      </c>
      <c r="C43" s="15">
        <v>0</v>
      </c>
      <c r="D43" s="15">
        <v>0</v>
      </c>
      <c r="E43" s="15">
        <v>0</v>
      </c>
      <c r="F43" s="15">
        <v>0</v>
      </c>
      <c r="G43" s="15">
        <v>0</v>
      </c>
      <c r="H43" s="15">
        <f t="shared" si="0"/>
        <v>0</v>
      </c>
    </row>
    <row r="44" spans="1:8" ht="12.75">
      <c r="A44" s="16">
        <v>38</v>
      </c>
      <c r="B44" s="17" t="s">
        <v>148</v>
      </c>
      <c r="C44" s="17">
        <v>652013</v>
      </c>
      <c r="D44" s="17">
        <v>267356</v>
      </c>
      <c r="E44" s="17">
        <v>0</v>
      </c>
      <c r="F44" s="17">
        <v>0</v>
      </c>
      <c r="G44" s="17">
        <v>0</v>
      </c>
      <c r="H44" s="17">
        <f t="shared" si="0"/>
        <v>919369</v>
      </c>
    </row>
    <row r="45" spans="1:8" ht="12.75">
      <c r="A45" s="14">
        <v>39</v>
      </c>
      <c r="B45" s="15" t="s">
        <v>149</v>
      </c>
      <c r="C45" s="15">
        <v>0</v>
      </c>
      <c r="D45" s="15">
        <v>55000</v>
      </c>
      <c r="E45" s="15">
        <v>0</v>
      </c>
      <c r="F45" s="15">
        <v>0</v>
      </c>
      <c r="G45" s="15">
        <v>0</v>
      </c>
      <c r="H45" s="15">
        <f t="shared" si="0"/>
        <v>55000</v>
      </c>
    </row>
    <row r="46" spans="1:8" ht="12.75">
      <c r="A46" s="16">
        <v>40</v>
      </c>
      <c r="B46" s="17" t="s">
        <v>150</v>
      </c>
      <c r="C46" s="17">
        <v>2387700</v>
      </c>
      <c r="D46" s="17">
        <v>310800</v>
      </c>
      <c r="E46" s="17">
        <v>0</v>
      </c>
      <c r="F46" s="17">
        <v>23100</v>
      </c>
      <c r="G46" s="17">
        <v>0</v>
      </c>
      <c r="H46" s="17">
        <f t="shared" si="0"/>
        <v>2721600</v>
      </c>
    </row>
    <row r="47" spans="1:8" ht="12.75">
      <c r="A47" s="14">
        <v>41</v>
      </c>
      <c r="B47" s="15" t="s">
        <v>151</v>
      </c>
      <c r="C47" s="15">
        <v>0</v>
      </c>
      <c r="D47" s="15">
        <v>268000</v>
      </c>
      <c r="E47" s="15">
        <v>0</v>
      </c>
      <c r="F47" s="15">
        <v>0</v>
      </c>
      <c r="G47" s="15">
        <v>0</v>
      </c>
      <c r="H47" s="15">
        <f t="shared" si="0"/>
        <v>268000</v>
      </c>
    </row>
    <row r="48" spans="1:8" ht="12.75">
      <c r="A48" s="16">
        <v>42</v>
      </c>
      <c r="B48" s="17" t="s">
        <v>152</v>
      </c>
      <c r="C48" s="17">
        <v>0</v>
      </c>
      <c r="D48" s="17">
        <v>137258</v>
      </c>
      <c r="E48" s="17">
        <v>0</v>
      </c>
      <c r="F48" s="17">
        <v>0</v>
      </c>
      <c r="G48" s="17">
        <v>0</v>
      </c>
      <c r="H48" s="17">
        <f t="shared" si="0"/>
        <v>137258</v>
      </c>
    </row>
    <row r="49" spans="1:8" ht="12.75">
      <c r="A49" s="14">
        <v>43</v>
      </c>
      <c r="B49" s="15" t="s">
        <v>153</v>
      </c>
      <c r="C49" s="15">
        <v>431630</v>
      </c>
      <c r="D49" s="15">
        <v>25000</v>
      </c>
      <c r="E49" s="15">
        <v>0</v>
      </c>
      <c r="F49" s="15">
        <v>0</v>
      </c>
      <c r="G49" s="15">
        <v>60000</v>
      </c>
      <c r="H49" s="15">
        <f t="shared" si="0"/>
        <v>516630</v>
      </c>
    </row>
    <row r="50" spans="1:8" ht="12.75">
      <c r="A50" s="16">
        <v>44</v>
      </c>
      <c r="B50" s="17" t="s">
        <v>154</v>
      </c>
      <c r="C50" s="17">
        <v>0</v>
      </c>
      <c r="D50" s="17">
        <v>165500</v>
      </c>
      <c r="E50" s="17">
        <v>0</v>
      </c>
      <c r="F50" s="17">
        <v>0</v>
      </c>
      <c r="G50" s="17">
        <v>0</v>
      </c>
      <c r="H50" s="17">
        <f t="shared" si="0"/>
        <v>165500</v>
      </c>
    </row>
    <row r="51" spans="1:8" ht="12.75">
      <c r="A51" s="14">
        <v>45</v>
      </c>
      <c r="B51" s="15" t="s">
        <v>155</v>
      </c>
      <c r="C51" s="15">
        <v>334324</v>
      </c>
      <c r="D51" s="15">
        <v>0</v>
      </c>
      <c r="E51" s="15">
        <v>0</v>
      </c>
      <c r="F51" s="15">
        <v>0</v>
      </c>
      <c r="G51" s="15">
        <v>0</v>
      </c>
      <c r="H51" s="15">
        <f t="shared" si="0"/>
        <v>334324</v>
      </c>
    </row>
    <row r="52" spans="1:8" ht="12.75">
      <c r="A52" s="16">
        <v>46</v>
      </c>
      <c r="B52" s="17" t="s">
        <v>156</v>
      </c>
      <c r="C52" s="17">
        <v>188351</v>
      </c>
      <c r="D52" s="17">
        <v>0</v>
      </c>
      <c r="E52" s="17">
        <v>0</v>
      </c>
      <c r="F52" s="17">
        <v>0</v>
      </c>
      <c r="G52" s="17">
        <v>0</v>
      </c>
      <c r="H52" s="17">
        <f t="shared" si="0"/>
        <v>188351</v>
      </c>
    </row>
    <row r="53" spans="1:8" ht="12.75">
      <c r="A53" s="14">
        <v>47</v>
      </c>
      <c r="B53" s="15" t="s">
        <v>157</v>
      </c>
      <c r="C53" s="15">
        <v>751057</v>
      </c>
      <c r="D53" s="15">
        <v>86000</v>
      </c>
      <c r="E53" s="15">
        <v>0</v>
      </c>
      <c r="F53" s="15">
        <v>0</v>
      </c>
      <c r="G53" s="15">
        <v>0</v>
      </c>
      <c r="H53" s="15">
        <f t="shared" si="0"/>
        <v>837057</v>
      </c>
    </row>
    <row r="54" spans="1:8" ht="12.75">
      <c r="A54" s="16">
        <v>48</v>
      </c>
      <c r="B54" s="17" t="s">
        <v>158</v>
      </c>
      <c r="C54" s="17">
        <v>832514</v>
      </c>
      <c r="D54" s="17">
        <v>246929</v>
      </c>
      <c r="E54" s="17">
        <v>0</v>
      </c>
      <c r="F54" s="17">
        <v>0</v>
      </c>
      <c r="G54" s="17">
        <v>0</v>
      </c>
      <c r="H54" s="17">
        <f t="shared" si="0"/>
        <v>1079443</v>
      </c>
    </row>
    <row r="55" spans="1:8" ht="12.75">
      <c r="A55" s="14">
        <v>49</v>
      </c>
      <c r="B55" s="15" t="s">
        <v>159</v>
      </c>
      <c r="C55" s="15">
        <v>3669396</v>
      </c>
      <c r="D55" s="15">
        <v>231202</v>
      </c>
      <c r="E55" s="15">
        <v>3410000</v>
      </c>
      <c r="F55" s="15">
        <v>0</v>
      </c>
      <c r="G55" s="15">
        <v>0</v>
      </c>
      <c r="H55" s="15">
        <f t="shared" si="0"/>
        <v>7310598</v>
      </c>
    </row>
    <row r="56" spans="1:8" ht="12.75">
      <c r="A56" s="16">
        <v>50</v>
      </c>
      <c r="B56" s="17" t="s">
        <v>340</v>
      </c>
      <c r="C56" s="17">
        <v>0</v>
      </c>
      <c r="D56" s="17">
        <v>268000</v>
      </c>
      <c r="E56" s="17">
        <v>0</v>
      </c>
      <c r="F56" s="17">
        <v>0</v>
      </c>
      <c r="G56" s="17">
        <v>0</v>
      </c>
      <c r="H56" s="17">
        <f t="shared" si="0"/>
        <v>268000</v>
      </c>
    </row>
    <row r="57" spans="1:8" ht="12.75">
      <c r="A57" s="14">
        <v>2264</v>
      </c>
      <c r="B57" s="15" t="s">
        <v>160</v>
      </c>
      <c r="C57" s="15">
        <v>39355</v>
      </c>
      <c r="D57" s="15">
        <v>0</v>
      </c>
      <c r="E57" s="15">
        <v>0</v>
      </c>
      <c r="F57" s="15">
        <v>0</v>
      </c>
      <c r="G57" s="15">
        <v>0</v>
      </c>
      <c r="H57" s="15">
        <f t="shared" si="0"/>
        <v>39355</v>
      </c>
    </row>
    <row r="58" spans="1:8" ht="12.75">
      <c r="A58" s="16">
        <v>2309</v>
      </c>
      <c r="B58" s="17" t="s">
        <v>161</v>
      </c>
      <c r="C58" s="17">
        <v>30459</v>
      </c>
      <c r="D58" s="17">
        <v>0</v>
      </c>
      <c r="E58" s="17">
        <v>0</v>
      </c>
      <c r="F58" s="17">
        <v>0</v>
      </c>
      <c r="G58" s="17">
        <v>0</v>
      </c>
      <c r="H58" s="17">
        <f t="shared" si="0"/>
        <v>30459</v>
      </c>
    </row>
    <row r="59" spans="1:8" ht="12.75">
      <c r="A59" s="14">
        <v>2312</v>
      </c>
      <c r="B59" s="15" t="s">
        <v>162</v>
      </c>
      <c r="C59" s="15">
        <v>19496</v>
      </c>
      <c r="D59" s="15">
        <v>0</v>
      </c>
      <c r="E59" s="15">
        <v>0</v>
      </c>
      <c r="F59" s="15">
        <v>0</v>
      </c>
      <c r="G59" s="15">
        <v>0</v>
      </c>
      <c r="H59" s="15">
        <f t="shared" si="0"/>
        <v>19496</v>
      </c>
    </row>
    <row r="60" spans="1:8" ht="12.75">
      <c r="A60" s="16">
        <v>2355</v>
      </c>
      <c r="B60" s="17" t="s">
        <v>163</v>
      </c>
      <c r="C60" s="17">
        <v>71462</v>
      </c>
      <c r="D60" s="17">
        <v>71462</v>
      </c>
      <c r="E60" s="17">
        <v>0</v>
      </c>
      <c r="F60" s="17">
        <v>0</v>
      </c>
      <c r="G60" s="17">
        <v>0</v>
      </c>
      <c r="H60" s="17">
        <f t="shared" si="0"/>
        <v>142924</v>
      </c>
    </row>
    <row r="61" spans="1:8" ht="12.75">
      <c r="A61" s="14">
        <v>2439</v>
      </c>
      <c r="B61" s="15" t="s">
        <v>164</v>
      </c>
      <c r="C61" s="15">
        <v>35666.39</v>
      </c>
      <c r="D61" s="15">
        <v>0</v>
      </c>
      <c r="E61" s="15">
        <v>0</v>
      </c>
      <c r="F61" s="15">
        <v>0</v>
      </c>
      <c r="G61" s="15">
        <v>0</v>
      </c>
      <c r="H61" s="15">
        <f t="shared" si="0"/>
        <v>35666.39</v>
      </c>
    </row>
    <row r="62" spans="1:8" ht="12.75">
      <c r="A62" s="16">
        <v>2460</v>
      </c>
      <c r="B62" s="17" t="s">
        <v>165</v>
      </c>
      <c r="C62" s="17">
        <v>317582</v>
      </c>
      <c r="D62" s="17">
        <v>0</v>
      </c>
      <c r="E62" s="17">
        <v>0</v>
      </c>
      <c r="F62" s="17">
        <v>0</v>
      </c>
      <c r="G62" s="17">
        <v>0</v>
      </c>
      <c r="H62" s="17">
        <f t="shared" si="0"/>
        <v>317582</v>
      </c>
    </row>
    <row r="63" spans="1:8" ht="12.75">
      <c r="A63" s="14">
        <v>3000</v>
      </c>
      <c r="B63" s="15" t="s">
        <v>363</v>
      </c>
      <c r="C63" s="15">
        <v>729362</v>
      </c>
      <c r="D63" s="15">
        <v>62569</v>
      </c>
      <c r="E63" s="15">
        <v>0</v>
      </c>
      <c r="F63" s="15">
        <v>0</v>
      </c>
      <c r="G63" s="15">
        <v>0</v>
      </c>
      <c r="H63" s="15">
        <f t="shared" si="0"/>
        <v>791931</v>
      </c>
    </row>
    <row r="64" spans="1:8" ht="4.5" customHeight="1">
      <c r="A64" s="18"/>
      <c r="B64" s="18"/>
      <c r="C64" s="18"/>
      <c r="D64" s="18"/>
      <c r="E64" s="18"/>
      <c r="F64" s="18"/>
      <c r="G64" s="18"/>
      <c r="H64" s="18"/>
    </row>
    <row r="65" spans="1:8" ht="12.75">
      <c r="A65" s="20"/>
      <c r="B65" s="21" t="s">
        <v>166</v>
      </c>
      <c r="C65" s="21">
        <f aca="true" t="shared" si="1" ref="C65:H65">SUM(C11:C63)</f>
        <v>53945244.169999994</v>
      </c>
      <c r="D65" s="21">
        <f t="shared" si="1"/>
        <v>10452638</v>
      </c>
      <c r="E65" s="21">
        <f t="shared" si="1"/>
        <v>7845482</v>
      </c>
      <c r="F65" s="21">
        <f t="shared" si="1"/>
        <v>31600</v>
      </c>
      <c r="G65" s="21">
        <f t="shared" si="1"/>
        <v>806751</v>
      </c>
      <c r="H65" s="21">
        <f t="shared" si="1"/>
        <v>73081715.17</v>
      </c>
    </row>
    <row r="66" spans="1:8" ht="4.5" customHeight="1">
      <c r="A66" s="18"/>
      <c r="B66" s="18"/>
      <c r="C66" s="18"/>
      <c r="D66" s="18"/>
      <c r="E66" s="18"/>
      <c r="F66" s="18"/>
      <c r="G66" s="18"/>
      <c r="H66" s="18"/>
    </row>
    <row r="67" spans="1:8" ht="12.75">
      <c r="A67" s="16">
        <v>2155</v>
      </c>
      <c r="B67" s="17" t="s">
        <v>167</v>
      </c>
      <c r="C67" s="17">
        <v>0</v>
      </c>
      <c r="D67" s="17">
        <v>0</v>
      </c>
      <c r="E67" s="17">
        <v>0</v>
      </c>
      <c r="F67" s="17">
        <v>0</v>
      </c>
      <c r="G67" s="17">
        <v>0</v>
      </c>
      <c r="H67" s="17">
        <f>SUM(C67:G67)</f>
        <v>0</v>
      </c>
    </row>
    <row r="68" spans="1:8" ht="12.75">
      <c r="A68" s="14">
        <v>2408</v>
      </c>
      <c r="B68" s="15" t="s">
        <v>169</v>
      </c>
      <c r="C68" s="15">
        <v>0</v>
      </c>
      <c r="D68" s="15">
        <v>70000</v>
      </c>
      <c r="E68" s="15">
        <v>0</v>
      </c>
      <c r="F68" s="15">
        <v>0</v>
      </c>
      <c r="G68" s="15">
        <v>0</v>
      </c>
      <c r="H68" s="15">
        <f>SUM(C68:G68)</f>
        <v>70000</v>
      </c>
    </row>
    <row r="69" ht="6.75" customHeight="1"/>
    <row r="70" spans="1:8" ht="12" customHeight="1">
      <c r="A70" s="7"/>
      <c r="B70" s="7"/>
      <c r="C70" s="18"/>
      <c r="D70" s="18"/>
      <c r="E70" s="18"/>
      <c r="F70" s="18"/>
      <c r="G70" s="18"/>
      <c r="H70" s="18"/>
    </row>
    <row r="71" spans="1:8" ht="12" customHeight="1">
      <c r="A71" s="7"/>
      <c r="B71" s="7"/>
      <c r="C71" s="18"/>
      <c r="D71" s="18"/>
      <c r="E71" s="18"/>
      <c r="F71" s="18"/>
      <c r="G71" s="18"/>
      <c r="H71" s="18"/>
    </row>
    <row r="72" spans="1:8" ht="12" customHeight="1">
      <c r="A72" s="7"/>
      <c r="B72" s="7"/>
      <c r="C72" s="18"/>
      <c r="D72" s="18"/>
      <c r="E72" s="18"/>
      <c r="F72" s="18"/>
      <c r="G72" s="18"/>
      <c r="H72" s="18"/>
    </row>
    <row r="73" spans="1:8" ht="12" customHeight="1">
      <c r="A73" s="7"/>
      <c r="B73" s="7"/>
      <c r="C73" s="18"/>
      <c r="D73" s="18"/>
      <c r="E73" s="18"/>
      <c r="F73" s="18"/>
      <c r="G73" s="18"/>
      <c r="H73" s="18"/>
    </row>
    <row r="74" spans="1:8" ht="12" customHeight="1">
      <c r="A74" s="7"/>
      <c r="B74" s="7"/>
      <c r="C74" s="18"/>
      <c r="D74" s="18"/>
      <c r="E74" s="18"/>
      <c r="F74" s="18"/>
      <c r="G74" s="18"/>
      <c r="H74" s="18"/>
    </row>
    <row r="75" ht="12" customHeight="1"/>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G74"/>
  <sheetViews>
    <sheetView showGridLines="0" showZeros="0" workbookViewId="0" topLeftCell="A1">
      <selection activeCell="A1" sqref="A1"/>
    </sheetView>
  </sheetViews>
  <sheetFormatPr defaultColWidth="19.83203125" defaultRowHeight="12"/>
  <cols>
    <col min="1" max="1" width="6.83203125" style="82" customWidth="1"/>
    <col min="2" max="2" width="33.83203125" style="82" customWidth="1"/>
    <col min="3" max="3" width="18.83203125" style="82" customWidth="1"/>
    <col min="4" max="5" width="19.83203125" style="82" customWidth="1"/>
    <col min="6" max="16384" width="19.83203125" style="82" customWidth="1"/>
  </cols>
  <sheetData>
    <row r="1" spans="1:2" ht="6.75" customHeight="1">
      <c r="A1" s="18"/>
      <c r="B1" s="80"/>
    </row>
    <row r="2" spans="1:7" ht="12.75">
      <c r="A2" s="12"/>
      <c r="B2" s="106"/>
      <c r="C2" s="107" t="s">
        <v>170</v>
      </c>
      <c r="D2" s="107"/>
      <c r="E2" s="107"/>
      <c r="F2" s="286"/>
      <c r="G2" s="108" t="s">
        <v>4</v>
      </c>
    </row>
    <row r="3" spans="1:7" ht="12.75">
      <c r="A3" s="13"/>
      <c r="B3" s="109"/>
      <c r="C3" s="393" t="str">
        <f>"CAPITAL FUND "&amp;REPLACE(YEAR,1,22,"")&amp;" BUDGET"</f>
        <v>CAPITAL FUND 2002/2003 BUDGET</v>
      </c>
      <c r="D3" s="140"/>
      <c r="E3" s="140"/>
      <c r="F3" s="319"/>
      <c r="G3" s="319"/>
    </row>
    <row r="4" spans="1:7" ht="12.75">
      <c r="A4" s="11"/>
      <c r="C4" s="142"/>
      <c r="D4" s="142"/>
      <c r="E4" s="142"/>
      <c r="F4" s="142"/>
      <c r="G4" s="142"/>
    </row>
    <row r="5" spans="1:7" ht="12.75">
      <c r="A5" s="11"/>
      <c r="C5" s="57"/>
      <c r="D5" s="142"/>
      <c r="E5" s="142"/>
      <c r="F5" s="142"/>
      <c r="G5" s="142"/>
    </row>
    <row r="6" spans="1:7" ht="12.75">
      <c r="A6" s="11"/>
      <c r="C6" s="227" t="s">
        <v>180</v>
      </c>
      <c r="D6" s="127"/>
      <c r="E6" s="127"/>
      <c r="F6" s="127"/>
      <c r="G6" s="128"/>
    </row>
    <row r="7" spans="1:7" ht="12.75">
      <c r="A7" s="18"/>
      <c r="C7" s="68" t="s">
        <v>193</v>
      </c>
      <c r="D7" s="66"/>
      <c r="E7" s="66"/>
      <c r="F7" s="67"/>
      <c r="G7" s="159"/>
    </row>
    <row r="8" spans="1:7" ht="12.75">
      <c r="A8" s="94"/>
      <c r="B8" s="46"/>
      <c r="C8" s="178"/>
      <c r="D8" s="179"/>
      <c r="E8" s="179"/>
      <c r="F8" s="180"/>
      <c r="G8" s="145" t="s">
        <v>218</v>
      </c>
    </row>
    <row r="9" spans="1:7" ht="12.75">
      <c r="A9" s="52" t="s">
        <v>100</v>
      </c>
      <c r="B9" s="53" t="s">
        <v>101</v>
      </c>
      <c r="C9" s="147" t="s">
        <v>232</v>
      </c>
      <c r="D9" s="147" t="s">
        <v>233</v>
      </c>
      <c r="E9" s="147" t="s">
        <v>234</v>
      </c>
      <c r="F9" s="147" t="s">
        <v>235</v>
      </c>
      <c r="G9" s="147" t="s">
        <v>228</v>
      </c>
    </row>
    <row r="10" spans="1:7" ht="4.5" customHeight="1">
      <c r="A10" s="77"/>
      <c r="B10" s="77"/>
      <c r="C10" s="148"/>
      <c r="D10" s="148"/>
      <c r="E10" s="148"/>
      <c r="F10" s="148"/>
      <c r="G10" s="148"/>
    </row>
    <row r="11" spans="1:7" ht="12.75">
      <c r="A11" s="14">
        <v>1</v>
      </c>
      <c r="B11" s="15" t="s">
        <v>115</v>
      </c>
      <c r="C11" s="15">
        <v>0</v>
      </c>
      <c r="D11" s="15">
        <v>0</v>
      </c>
      <c r="E11" s="15">
        <v>65000</v>
      </c>
      <c r="F11" s="15">
        <v>0</v>
      </c>
      <c r="G11" s="15">
        <v>11464713</v>
      </c>
    </row>
    <row r="12" spans="1:7" ht="12.75">
      <c r="A12" s="16">
        <v>2</v>
      </c>
      <c r="B12" s="17" t="s">
        <v>116</v>
      </c>
      <c r="C12" s="17">
        <v>0</v>
      </c>
      <c r="D12" s="17">
        <v>0</v>
      </c>
      <c r="E12" s="17">
        <v>0</v>
      </c>
      <c r="F12" s="17">
        <v>0</v>
      </c>
      <c r="G12" s="17">
        <v>947071</v>
      </c>
    </row>
    <row r="13" spans="1:7" ht="12.75">
      <c r="A13" s="14">
        <v>3</v>
      </c>
      <c r="B13" s="15" t="s">
        <v>117</v>
      </c>
      <c r="C13" s="15">
        <v>0</v>
      </c>
      <c r="D13" s="15">
        <v>0</v>
      </c>
      <c r="E13" s="15">
        <v>0</v>
      </c>
      <c r="F13" s="15">
        <v>14260</v>
      </c>
      <c r="G13" s="15">
        <v>1625325</v>
      </c>
    </row>
    <row r="14" spans="1:7" ht="12.75">
      <c r="A14" s="16">
        <v>4</v>
      </c>
      <c r="B14" s="17" t="s">
        <v>118</v>
      </c>
      <c r="C14" s="17">
        <v>0</v>
      </c>
      <c r="D14" s="17">
        <v>0</v>
      </c>
      <c r="E14" s="17">
        <v>75000</v>
      </c>
      <c r="F14" s="17">
        <v>0</v>
      </c>
      <c r="G14" s="17">
        <v>894574</v>
      </c>
    </row>
    <row r="15" spans="1:7" ht="12.75">
      <c r="A15" s="14">
        <v>5</v>
      </c>
      <c r="B15" s="15" t="s">
        <v>119</v>
      </c>
      <c r="C15" s="15">
        <v>0</v>
      </c>
      <c r="D15" s="15">
        <v>338035</v>
      </c>
      <c r="E15" s="15">
        <v>0</v>
      </c>
      <c r="F15" s="15">
        <v>86650</v>
      </c>
      <c r="G15" s="15">
        <v>2192075</v>
      </c>
    </row>
    <row r="16" spans="1:7" ht="12.75">
      <c r="A16" s="16">
        <v>6</v>
      </c>
      <c r="B16" s="17" t="s">
        <v>120</v>
      </c>
      <c r="C16" s="17">
        <v>0</v>
      </c>
      <c r="D16" s="17">
        <v>203000</v>
      </c>
      <c r="E16" s="17">
        <v>0</v>
      </c>
      <c r="F16" s="17">
        <v>0</v>
      </c>
      <c r="G16" s="17">
        <v>3492338</v>
      </c>
    </row>
    <row r="17" spans="1:7" ht="12.75">
      <c r="A17" s="14">
        <v>9</v>
      </c>
      <c r="B17" s="15" t="s">
        <v>121</v>
      </c>
      <c r="C17" s="15">
        <v>0</v>
      </c>
      <c r="D17" s="15">
        <v>2500000</v>
      </c>
      <c r="E17" s="15">
        <v>585000</v>
      </c>
      <c r="F17" s="15">
        <v>240000</v>
      </c>
      <c r="G17" s="15">
        <v>3314486</v>
      </c>
    </row>
    <row r="18" spans="1:7" ht="12.75">
      <c r="A18" s="16">
        <v>10</v>
      </c>
      <c r="B18" s="17" t="s">
        <v>122</v>
      </c>
      <c r="C18" s="17">
        <v>0</v>
      </c>
      <c r="D18" s="17">
        <v>0</v>
      </c>
      <c r="E18" s="17">
        <v>435500</v>
      </c>
      <c r="F18" s="17">
        <v>215000</v>
      </c>
      <c r="G18" s="17">
        <v>2847323</v>
      </c>
    </row>
    <row r="19" spans="1:7" ht="12.75">
      <c r="A19" s="14">
        <v>11</v>
      </c>
      <c r="B19" s="15" t="s">
        <v>123</v>
      </c>
      <c r="C19" s="15">
        <v>0</v>
      </c>
      <c r="D19" s="15">
        <v>0</v>
      </c>
      <c r="E19" s="15">
        <v>0</v>
      </c>
      <c r="F19" s="15">
        <v>485583</v>
      </c>
      <c r="G19" s="15">
        <v>1194297</v>
      </c>
    </row>
    <row r="20" spans="1:7" ht="12.75">
      <c r="A20" s="16">
        <v>12</v>
      </c>
      <c r="B20" s="17" t="s">
        <v>124</v>
      </c>
      <c r="C20" s="17">
        <v>177000</v>
      </c>
      <c r="D20" s="17">
        <v>61000</v>
      </c>
      <c r="E20" s="17">
        <v>0</v>
      </c>
      <c r="F20" s="17">
        <v>304007</v>
      </c>
      <c r="G20" s="17">
        <v>2740623.63</v>
      </c>
    </row>
    <row r="21" spans="1:7" ht="12.75">
      <c r="A21" s="14">
        <v>13</v>
      </c>
      <c r="B21" s="15" t="s">
        <v>125</v>
      </c>
      <c r="C21" s="15">
        <v>0</v>
      </c>
      <c r="D21" s="15">
        <v>0</v>
      </c>
      <c r="E21" s="15">
        <v>0</v>
      </c>
      <c r="F21" s="15">
        <v>282120</v>
      </c>
      <c r="G21" s="15">
        <v>92000</v>
      </c>
    </row>
    <row r="22" spans="1:7" ht="12.75">
      <c r="A22" s="16">
        <v>14</v>
      </c>
      <c r="B22" s="17" t="s">
        <v>126</v>
      </c>
      <c r="C22" s="17">
        <v>0</v>
      </c>
      <c r="D22" s="17">
        <v>700975</v>
      </c>
      <c r="E22" s="17">
        <v>0</v>
      </c>
      <c r="F22" s="17">
        <v>278123</v>
      </c>
      <c r="G22" s="17">
        <v>1915325</v>
      </c>
    </row>
    <row r="23" spans="1:7" ht="12.75">
      <c r="A23" s="14">
        <v>15</v>
      </c>
      <c r="B23" s="15" t="s">
        <v>127</v>
      </c>
      <c r="C23" s="15">
        <v>0</v>
      </c>
      <c r="D23" s="15">
        <v>58818</v>
      </c>
      <c r="E23" s="15">
        <v>0</v>
      </c>
      <c r="F23" s="15">
        <v>394700</v>
      </c>
      <c r="G23" s="15">
        <v>2863575</v>
      </c>
    </row>
    <row r="24" spans="1:7" ht="12.75">
      <c r="A24" s="16">
        <v>16</v>
      </c>
      <c r="B24" s="17" t="s">
        <v>128</v>
      </c>
      <c r="C24" s="17">
        <v>0</v>
      </c>
      <c r="D24" s="17">
        <v>0</v>
      </c>
      <c r="E24" s="17">
        <v>0</v>
      </c>
      <c r="F24" s="17">
        <v>105000</v>
      </c>
      <c r="G24" s="17">
        <v>0</v>
      </c>
    </row>
    <row r="25" spans="1:7" ht="12.75">
      <c r="A25" s="14">
        <v>17</v>
      </c>
      <c r="B25" s="15" t="s">
        <v>129</v>
      </c>
      <c r="C25" s="15">
        <v>0</v>
      </c>
      <c r="D25" s="15">
        <v>0</v>
      </c>
      <c r="E25" s="15">
        <v>0</v>
      </c>
      <c r="F25" s="15">
        <v>71000</v>
      </c>
      <c r="G25" s="15">
        <v>0</v>
      </c>
    </row>
    <row r="26" spans="1:7" ht="12.75">
      <c r="A26" s="16">
        <v>18</v>
      </c>
      <c r="B26" s="17" t="s">
        <v>130</v>
      </c>
      <c r="C26" s="17">
        <v>0</v>
      </c>
      <c r="D26" s="17">
        <v>0</v>
      </c>
      <c r="E26" s="17">
        <v>0</v>
      </c>
      <c r="F26" s="17">
        <v>115000</v>
      </c>
      <c r="G26" s="17">
        <v>334139.15</v>
      </c>
    </row>
    <row r="27" spans="1:7" ht="12.75">
      <c r="A27" s="14">
        <v>19</v>
      </c>
      <c r="B27" s="15" t="s">
        <v>131</v>
      </c>
      <c r="C27" s="15">
        <v>0</v>
      </c>
      <c r="D27" s="15">
        <v>0</v>
      </c>
      <c r="E27" s="15">
        <v>0</v>
      </c>
      <c r="F27" s="15">
        <v>0</v>
      </c>
      <c r="G27" s="15">
        <v>0</v>
      </c>
    </row>
    <row r="28" spans="1:7" ht="12.75">
      <c r="A28" s="16">
        <v>20</v>
      </c>
      <c r="B28" s="17" t="s">
        <v>132</v>
      </c>
      <c r="C28" s="17">
        <v>0</v>
      </c>
      <c r="D28" s="17">
        <v>0</v>
      </c>
      <c r="E28" s="17">
        <v>0</v>
      </c>
      <c r="F28" s="17">
        <v>90000</v>
      </c>
      <c r="G28" s="17">
        <v>0</v>
      </c>
    </row>
    <row r="29" spans="1:7" ht="12.75">
      <c r="A29" s="14">
        <v>21</v>
      </c>
      <c r="B29" s="15" t="s">
        <v>133</v>
      </c>
      <c r="C29" s="15">
        <v>0</v>
      </c>
      <c r="D29" s="15">
        <v>0</v>
      </c>
      <c r="E29" s="15">
        <v>0</v>
      </c>
      <c r="F29" s="15">
        <v>320000</v>
      </c>
      <c r="G29" s="15">
        <v>801845</v>
      </c>
    </row>
    <row r="30" spans="1:7" ht="12.75">
      <c r="A30" s="16">
        <v>22</v>
      </c>
      <c r="B30" s="17" t="s">
        <v>134</v>
      </c>
      <c r="C30" s="17">
        <v>0</v>
      </c>
      <c r="D30" s="17">
        <v>0</v>
      </c>
      <c r="E30" s="17">
        <v>0</v>
      </c>
      <c r="F30" s="17">
        <v>161183</v>
      </c>
      <c r="G30" s="17">
        <v>112000</v>
      </c>
    </row>
    <row r="31" spans="1:7" ht="12.75">
      <c r="A31" s="14">
        <v>23</v>
      </c>
      <c r="B31" s="15" t="s">
        <v>135</v>
      </c>
      <c r="C31" s="15">
        <v>0</v>
      </c>
      <c r="D31" s="15">
        <v>0</v>
      </c>
      <c r="E31" s="15">
        <v>0</v>
      </c>
      <c r="F31" s="15">
        <v>210000</v>
      </c>
      <c r="G31" s="15">
        <v>0</v>
      </c>
    </row>
    <row r="32" spans="1:7" ht="12.75">
      <c r="A32" s="16">
        <v>24</v>
      </c>
      <c r="B32" s="17" t="s">
        <v>136</v>
      </c>
      <c r="C32" s="17">
        <v>0</v>
      </c>
      <c r="D32" s="17">
        <v>0</v>
      </c>
      <c r="E32" s="17">
        <v>0</v>
      </c>
      <c r="F32" s="17">
        <v>175000</v>
      </c>
      <c r="G32" s="17">
        <v>951708</v>
      </c>
    </row>
    <row r="33" spans="1:7" ht="12.75">
      <c r="A33" s="14">
        <v>25</v>
      </c>
      <c r="B33" s="15" t="s">
        <v>137</v>
      </c>
      <c r="C33" s="15">
        <v>0</v>
      </c>
      <c r="D33" s="15">
        <v>0</v>
      </c>
      <c r="E33" s="15">
        <v>0</v>
      </c>
      <c r="F33" s="15">
        <v>150000</v>
      </c>
      <c r="G33" s="15">
        <v>570288</v>
      </c>
    </row>
    <row r="34" spans="1:7" ht="12.75">
      <c r="A34" s="16">
        <v>26</v>
      </c>
      <c r="B34" s="17" t="s">
        <v>138</v>
      </c>
      <c r="C34" s="17">
        <v>0</v>
      </c>
      <c r="D34" s="17">
        <v>15000</v>
      </c>
      <c r="E34" s="17">
        <v>0</v>
      </c>
      <c r="F34" s="17">
        <v>100000</v>
      </c>
      <c r="G34" s="17">
        <v>1580838</v>
      </c>
    </row>
    <row r="35" spans="1:7" ht="12.75">
      <c r="A35" s="14">
        <v>28</v>
      </c>
      <c r="B35" s="15" t="s">
        <v>139</v>
      </c>
      <c r="C35" s="15">
        <v>0</v>
      </c>
      <c r="D35" s="15">
        <v>0</v>
      </c>
      <c r="E35" s="15">
        <v>0</v>
      </c>
      <c r="F35" s="15">
        <v>87000</v>
      </c>
      <c r="G35" s="15">
        <v>604701</v>
      </c>
    </row>
    <row r="36" spans="1:7" ht="12.75">
      <c r="A36" s="16">
        <v>30</v>
      </c>
      <c r="B36" s="17" t="s">
        <v>140</v>
      </c>
      <c r="C36" s="17">
        <v>0</v>
      </c>
      <c r="D36" s="17">
        <v>250000</v>
      </c>
      <c r="E36" s="17">
        <v>0</v>
      </c>
      <c r="F36" s="17">
        <v>170000</v>
      </c>
      <c r="G36" s="17">
        <v>392386</v>
      </c>
    </row>
    <row r="37" spans="1:7" ht="12.75">
      <c r="A37" s="14">
        <v>31</v>
      </c>
      <c r="B37" s="15" t="s">
        <v>141</v>
      </c>
      <c r="C37" s="15">
        <v>0</v>
      </c>
      <c r="D37" s="15">
        <v>0</v>
      </c>
      <c r="E37" s="15">
        <v>0</v>
      </c>
      <c r="F37" s="15">
        <v>169800</v>
      </c>
      <c r="G37" s="15">
        <v>968797</v>
      </c>
    </row>
    <row r="38" spans="1:7" ht="12.75">
      <c r="A38" s="16">
        <v>32</v>
      </c>
      <c r="B38" s="17" t="s">
        <v>142</v>
      </c>
      <c r="C38" s="17">
        <v>0</v>
      </c>
      <c r="D38" s="17">
        <v>0</v>
      </c>
      <c r="E38" s="17">
        <v>0</v>
      </c>
      <c r="F38" s="17">
        <v>166124</v>
      </c>
      <c r="G38" s="17">
        <v>336849</v>
      </c>
    </row>
    <row r="39" spans="1:7" ht="12.75">
      <c r="A39" s="14">
        <v>33</v>
      </c>
      <c r="B39" s="15" t="s">
        <v>143</v>
      </c>
      <c r="C39" s="15">
        <v>0</v>
      </c>
      <c r="D39" s="15">
        <v>605000</v>
      </c>
      <c r="E39" s="15">
        <v>0</v>
      </c>
      <c r="F39" s="15">
        <v>85000</v>
      </c>
      <c r="G39" s="15">
        <v>688329</v>
      </c>
    </row>
    <row r="40" spans="1:7" ht="12.75">
      <c r="A40" s="16">
        <v>34</v>
      </c>
      <c r="B40" s="17" t="s">
        <v>144</v>
      </c>
      <c r="C40" s="17">
        <v>0</v>
      </c>
      <c r="D40" s="17">
        <v>500000</v>
      </c>
      <c r="E40" s="17">
        <v>0</v>
      </c>
      <c r="F40" s="17">
        <v>0</v>
      </c>
      <c r="G40" s="17">
        <v>500000</v>
      </c>
    </row>
    <row r="41" spans="1:7" ht="12.75">
      <c r="A41" s="14">
        <v>35</v>
      </c>
      <c r="B41" s="15" t="s">
        <v>145</v>
      </c>
      <c r="C41" s="15">
        <v>0</v>
      </c>
      <c r="D41" s="15">
        <v>4000</v>
      </c>
      <c r="E41" s="15">
        <v>0</v>
      </c>
      <c r="F41" s="15">
        <v>228330</v>
      </c>
      <c r="G41" s="15">
        <v>302346</v>
      </c>
    </row>
    <row r="42" spans="1:7" ht="12.75">
      <c r="A42" s="16">
        <v>36</v>
      </c>
      <c r="B42" s="17" t="s">
        <v>146</v>
      </c>
      <c r="C42" s="17">
        <v>0</v>
      </c>
      <c r="D42" s="17">
        <v>450000</v>
      </c>
      <c r="E42" s="17">
        <v>0</v>
      </c>
      <c r="F42" s="17">
        <v>143354</v>
      </c>
      <c r="G42" s="17">
        <v>290326</v>
      </c>
    </row>
    <row r="43" spans="1:7" ht="12.75">
      <c r="A43" s="14">
        <v>37</v>
      </c>
      <c r="B43" s="15" t="s">
        <v>147</v>
      </c>
      <c r="C43" s="15">
        <v>0</v>
      </c>
      <c r="D43" s="15">
        <v>0</v>
      </c>
      <c r="E43" s="15">
        <v>0</v>
      </c>
      <c r="F43" s="15">
        <v>0</v>
      </c>
      <c r="G43" s="15">
        <v>0</v>
      </c>
    </row>
    <row r="44" spans="1:7" ht="12.75">
      <c r="A44" s="16">
        <v>38</v>
      </c>
      <c r="B44" s="17" t="s">
        <v>148</v>
      </c>
      <c r="C44" s="17">
        <v>0</v>
      </c>
      <c r="D44" s="17">
        <v>50000</v>
      </c>
      <c r="E44" s="17">
        <v>0</v>
      </c>
      <c r="F44" s="17">
        <v>194107</v>
      </c>
      <c r="G44" s="17">
        <v>675262</v>
      </c>
    </row>
    <row r="45" spans="1:7" ht="12.75">
      <c r="A45" s="14">
        <v>39</v>
      </c>
      <c r="B45" s="15" t="s">
        <v>149</v>
      </c>
      <c r="C45" s="15">
        <v>0</v>
      </c>
      <c r="D45" s="15">
        <v>0</v>
      </c>
      <c r="E45" s="15">
        <v>55000</v>
      </c>
      <c r="F45" s="15">
        <v>0</v>
      </c>
      <c r="G45" s="15">
        <v>0</v>
      </c>
    </row>
    <row r="46" spans="1:7" ht="12.75">
      <c r="A46" s="16">
        <v>40</v>
      </c>
      <c r="B46" s="17" t="s">
        <v>150</v>
      </c>
      <c r="C46" s="17">
        <v>0</v>
      </c>
      <c r="D46" s="17">
        <v>0</v>
      </c>
      <c r="E46" s="17">
        <v>0</v>
      </c>
      <c r="F46" s="17">
        <v>251800</v>
      </c>
      <c r="G46" s="17">
        <v>2463500</v>
      </c>
    </row>
    <row r="47" spans="1:7" ht="12.75">
      <c r="A47" s="14">
        <v>41</v>
      </c>
      <c r="B47" s="15" t="s">
        <v>151</v>
      </c>
      <c r="C47" s="15">
        <v>0</v>
      </c>
      <c r="D47" s="15">
        <v>88000</v>
      </c>
      <c r="E47" s="15">
        <v>0</v>
      </c>
      <c r="F47" s="15">
        <v>0</v>
      </c>
      <c r="G47" s="15">
        <v>0</v>
      </c>
    </row>
    <row r="48" spans="1:7" ht="12.75">
      <c r="A48" s="16">
        <v>42</v>
      </c>
      <c r="B48" s="17" t="s">
        <v>152</v>
      </c>
      <c r="C48" s="17">
        <v>0</v>
      </c>
      <c r="D48" s="17">
        <v>0</v>
      </c>
      <c r="E48" s="17">
        <v>0</v>
      </c>
      <c r="F48" s="17">
        <v>137258</v>
      </c>
      <c r="G48" s="17">
        <v>0</v>
      </c>
    </row>
    <row r="49" spans="1:7" ht="12.75">
      <c r="A49" s="14">
        <v>43</v>
      </c>
      <c r="B49" s="15" t="s">
        <v>153</v>
      </c>
      <c r="C49" s="15">
        <v>0</v>
      </c>
      <c r="D49" s="15">
        <v>0</v>
      </c>
      <c r="E49" s="15">
        <v>0</v>
      </c>
      <c r="F49" s="15">
        <v>75000</v>
      </c>
      <c r="G49" s="15">
        <v>431630</v>
      </c>
    </row>
    <row r="50" spans="1:7" ht="12.75">
      <c r="A50" s="16">
        <v>44</v>
      </c>
      <c r="B50" s="17" t="s">
        <v>154</v>
      </c>
      <c r="C50" s="17">
        <v>0</v>
      </c>
      <c r="D50" s="17">
        <v>0</v>
      </c>
      <c r="E50" s="17">
        <v>0</v>
      </c>
      <c r="F50" s="17">
        <v>165500</v>
      </c>
      <c r="G50" s="17">
        <v>0</v>
      </c>
    </row>
    <row r="51" spans="1:7" ht="12.75">
      <c r="A51" s="14">
        <v>45</v>
      </c>
      <c r="B51" s="15" t="s">
        <v>155</v>
      </c>
      <c r="C51" s="15">
        <v>0</v>
      </c>
      <c r="D51" s="15">
        <v>0</v>
      </c>
      <c r="E51" s="15">
        <v>0</v>
      </c>
      <c r="F51" s="15">
        <v>0</v>
      </c>
      <c r="G51" s="15">
        <v>334324</v>
      </c>
    </row>
    <row r="52" spans="1:7" ht="12.75">
      <c r="A52" s="16">
        <v>46</v>
      </c>
      <c r="B52" s="17" t="s">
        <v>156</v>
      </c>
      <c r="C52" s="17">
        <v>0</v>
      </c>
      <c r="D52" s="17">
        <v>0</v>
      </c>
      <c r="E52" s="17">
        <v>0</v>
      </c>
      <c r="F52" s="17">
        <v>0</v>
      </c>
      <c r="G52" s="17">
        <v>188351</v>
      </c>
    </row>
    <row r="53" spans="1:7" ht="12.75">
      <c r="A53" s="14">
        <v>47</v>
      </c>
      <c r="B53" s="15" t="s">
        <v>157</v>
      </c>
      <c r="C53" s="15">
        <v>0</v>
      </c>
      <c r="D53" s="15">
        <v>0</v>
      </c>
      <c r="E53" s="15">
        <v>0</v>
      </c>
      <c r="F53" s="15">
        <v>86000</v>
      </c>
      <c r="G53" s="15">
        <v>751057</v>
      </c>
    </row>
    <row r="54" spans="1:7" ht="12.75">
      <c r="A54" s="16">
        <v>48</v>
      </c>
      <c r="B54" s="17" t="s">
        <v>158</v>
      </c>
      <c r="C54" s="17">
        <v>0</v>
      </c>
      <c r="D54" s="17">
        <v>0</v>
      </c>
      <c r="E54" s="17">
        <v>0</v>
      </c>
      <c r="F54" s="17">
        <v>246929</v>
      </c>
      <c r="G54" s="17">
        <v>832514</v>
      </c>
    </row>
    <row r="55" spans="1:7" ht="12.75">
      <c r="A55" s="14">
        <v>49</v>
      </c>
      <c r="B55" s="15" t="s">
        <v>159</v>
      </c>
      <c r="C55" s="15">
        <v>810000</v>
      </c>
      <c r="D55" s="15">
        <v>2600000</v>
      </c>
      <c r="E55" s="15">
        <v>0</v>
      </c>
      <c r="F55" s="15">
        <v>50000</v>
      </c>
      <c r="G55" s="15">
        <v>3850598</v>
      </c>
    </row>
    <row r="56" spans="1:7" ht="12.75">
      <c r="A56" s="16">
        <v>50</v>
      </c>
      <c r="B56" s="17" t="s">
        <v>340</v>
      </c>
      <c r="C56" s="17">
        <v>0</v>
      </c>
      <c r="D56" s="17">
        <v>0</v>
      </c>
      <c r="E56" s="17">
        <v>0</v>
      </c>
      <c r="F56" s="17">
        <v>0</v>
      </c>
      <c r="G56" s="17">
        <v>0</v>
      </c>
    </row>
    <row r="57" spans="1:7" ht="12.75">
      <c r="A57" s="14">
        <v>2264</v>
      </c>
      <c r="B57" s="15" t="s">
        <v>160</v>
      </c>
      <c r="C57" s="15">
        <v>0</v>
      </c>
      <c r="D57" s="15">
        <v>0</v>
      </c>
      <c r="E57" s="15">
        <v>0</v>
      </c>
      <c r="F57" s="15">
        <v>0</v>
      </c>
      <c r="G57" s="15">
        <v>39355</v>
      </c>
    </row>
    <row r="58" spans="1:7" ht="12.75">
      <c r="A58" s="16">
        <v>2309</v>
      </c>
      <c r="B58" s="17" t="s">
        <v>161</v>
      </c>
      <c r="C58" s="17">
        <v>0</v>
      </c>
      <c r="D58" s="17">
        <v>0</v>
      </c>
      <c r="E58" s="17">
        <v>0</v>
      </c>
      <c r="F58" s="17">
        <v>0</v>
      </c>
      <c r="G58" s="17">
        <v>30459</v>
      </c>
    </row>
    <row r="59" spans="1:7" ht="12.75">
      <c r="A59" s="14">
        <v>2312</v>
      </c>
      <c r="B59" s="15" t="s">
        <v>162</v>
      </c>
      <c r="C59" s="15">
        <v>0</v>
      </c>
      <c r="D59" s="15">
        <v>0</v>
      </c>
      <c r="E59" s="15">
        <v>0</v>
      </c>
      <c r="F59" s="15">
        <v>0</v>
      </c>
      <c r="G59" s="15">
        <v>19496</v>
      </c>
    </row>
    <row r="60" spans="1:7" ht="12.75">
      <c r="A60" s="16">
        <v>2355</v>
      </c>
      <c r="B60" s="17" t="s">
        <v>163</v>
      </c>
      <c r="C60" s="17">
        <v>0</v>
      </c>
      <c r="D60" s="17">
        <v>0</v>
      </c>
      <c r="E60" s="17">
        <v>0</v>
      </c>
      <c r="F60" s="17">
        <v>0</v>
      </c>
      <c r="G60" s="17">
        <v>71462</v>
      </c>
    </row>
    <row r="61" spans="1:7" ht="12.75">
      <c r="A61" s="14">
        <v>2439</v>
      </c>
      <c r="B61" s="15" t="s">
        <v>164</v>
      </c>
      <c r="C61" s="15">
        <v>0</v>
      </c>
      <c r="D61" s="15">
        <v>0</v>
      </c>
      <c r="E61" s="15">
        <v>0</v>
      </c>
      <c r="F61" s="15">
        <v>0</v>
      </c>
      <c r="G61" s="15">
        <v>35666.39</v>
      </c>
    </row>
    <row r="62" spans="1:7" ht="12.75">
      <c r="A62" s="16">
        <v>2460</v>
      </c>
      <c r="B62" s="17" t="s">
        <v>165</v>
      </c>
      <c r="C62" s="17">
        <v>0</v>
      </c>
      <c r="D62" s="17">
        <v>0</v>
      </c>
      <c r="E62" s="17">
        <v>0</v>
      </c>
      <c r="F62" s="17">
        <v>0</v>
      </c>
      <c r="G62" s="17">
        <v>317582</v>
      </c>
    </row>
    <row r="63" spans="1:7" ht="12.75">
      <c r="A63" s="14">
        <v>3000</v>
      </c>
      <c r="B63" s="15" t="s">
        <v>363</v>
      </c>
      <c r="C63" s="15">
        <v>0</v>
      </c>
      <c r="D63" s="15">
        <v>0</v>
      </c>
      <c r="E63" s="15">
        <v>0</v>
      </c>
      <c r="F63" s="15">
        <v>0</v>
      </c>
      <c r="G63" s="15">
        <v>791931</v>
      </c>
    </row>
    <row r="64" spans="1:7" ht="4.5" customHeight="1">
      <c r="A64" s="18"/>
      <c r="B64" s="18"/>
      <c r="C64" s="18"/>
      <c r="D64" s="18"/>
      <c r="E64" s="18"/>
      <c r="F64" s="18"/>
      <c r="G64" s="18"/>
    </row>
    <row r="65" spans="1:7" ht="12.75">
      <c r="A65" s="20"/>
      <c r="B65" s="21" t="s">
        <v>166</v>
      </c>
      <c r="C65" s="21">
        <f>SUM(C11:C63)</f>
        <v>987000</v>
      </c>
      <c r="D65" s="21">
        <f>SUM(D11:D63)</f>
        <v>8423828</v>
      </c>
      <c r="E65" s="21">
        <f>SUM(E11:E63)</f>
        <v>1215500</v>
      </c>
      <c r="F65" s="21">
        <f>SUM(F11:F63)</f>
        <v>6053828</v>
      </c>
      <c r="G65" s="21">
        <f>SUM(G11:G63)</f>
        <v>54851465.169999994</v>
      </c>
    </row>
    <row r="66" spans="1:7" ht="4.5" customHeight="1">
      <c r="A66" s="18"/>
      <c r="B66" s="18"/>
      <c r="C66" s="18"/>
      <c r="D66" s="18"/>
      <c r="E66" s="18"/>
      <c r="F66" s="18"/>
      <c r="G66" s="18"/>
    </row>
    <row r="67" spans="1:7" ht="12.75">
      <c r="A67" s="16">
        <v>2155</v>
      </c>
      <c r="B67" s="17" t="s">
        <v>167</v>
      </c>
      <c r="C67" s="17">
        <v>0</v>
      </c>
      <c r="D67" s="17">
        <v>0</v>
      </c>
      <c r="E67" s="17">
        <v>0</v>
      </c>
      <c r="F67" s="17">
        <v>0</v>
      </c>
      <c r="G67" s="17">
        <v>0</v>
      </c>
    </row>
    <row r="68" spans="1:7" ht="12.75">
      <c r="A68" s="14">
        <v>2408</v>
      </c>
      <c r="B68" s="15" t="s">
        <v>169</v>
      </c>
      <c r="C68" s="15">
        <v>0</v>
      </c>
      <c r="D68" s="15">
        <v>0</v>
      </c>
      <c r="E68" s="15">
        <v>0</v>
      </c>
      <c r="F68" s="15">
        <v>0</v>
      </c>
      <c r="G68" s="15">
        <v>70000</v>
      </c>
    </row>
    <row r="69" ht="6.75" customHeight="1"/>
    <row r="70" spans="1:7" ht="12" customHeight="1">
      <c r="A70" s="7"/>
      <c r="B70" s="7"/>
      <c r="C70" s="18"/>
      <c r="D70" s="18"/>
      <c r="E70" s="18"/>
      <c r="F70" s="18"/>
      <c r="G70" s="18"/>
    </row>
    <row r="71" spans="1:7" ht="12" customHeight="1">
      <c r="A71" s="7"/>
      <c r="B71" s="7"/>
      <c r="C71" s="18"/>
      <c r="D71" s="18"/>
      <c r="E71" s="18"/>
      <c r="F71" s="18"/>
      <c r="G71" s="18"/>
    </row>
    <row r="72" spans="1:7" ht="12" customHeight="1">
      <c r="A72" s="7"/>
      <c r="B72" s="7"/>
      <c r="C72" s="18"/>
      <c r="D72" s="18"/>
      <c r="E72" s="18"/>
      <c r="F72" s="18"/>
      <c r="G72" s="18"/>
    </row>
    <row r="73" spans="1:7" ht="12" customHeight="1">
      <c r="A73" s="7"/>
      <c r="B73" s="7"/>
      <c r="C73" s="18"/>
      <c r="D73" s="18"/>
      <c r="E73" s="18"/>
      <c r="F73" s="18"/>
      <c r="G73" s="18"/>
    </row>
    <row r="74" spans="1:7" ht="12" customHeight="1">
      <c r="A74" s="7"/>
      <c r="B74" s="7"/>
      <c r="C74" s="18"/>
      <c r="D74" s="18"/>
      <c r="E74" s="18"/>
      <c r="F74" s="18"/>
      <c r="G74" s="18"/>
    </row>
    <row r="75" ht="12" customHeight="1"/>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F74"/>
  <sheetViews>
    <sheetView showGridLines="0" showZeros="0" workbookViewId="0" topLeftCell="A1">
      <selection activeCell="A1" sqref="A1"/>
    </sheetView>
  </sheetViews>
  <sheetFormatPr defaultColWidth="19.83203125" defaultRowHeight="12"/>
  <cols>
    <col min="1" max="1" width="6.83203125" style="82" customWidth="1"/>
    <col min="2" max="2" width="33.83203125" style="82" customWidth="1"/>
    <col min="3" max="5" width="20.83203125" style="82" customWidth="1"/>
    <col min="6" max="6" width="35.83203125" style="82" customWidth="1"/>
    <col min="7" max="16384" width="19.83203125" style="82" customWidth="1"/>
  </cols>
  <sheetData>
    <row r="1" spans="1:2" ht="6.75" customHeight="1">
      <c r="A1" s="18"/>
      <c r="B1" s="80"/>
    </row>
    <row r="2" spans="1:6" ht="12.75">
      <c r="A2" s="12"/>
      <c r="B2" s="106"/>
      <c r="C2" s="107" t="s">
        <v>170</v>
      </c>
      <c r="D2" s="107"/>
      <c r="E2" s="107"/>
      <c r="F2" s="108" t="s">
        <v>5</v>
      </c>
    </row>
    <row r="3" spans="1:6" ht="12.75">
      <c r="A3" s="13"/>
      <c r="B3" s="109"/>
      <c r="C3" s="393" t="str">
        <f>"CAPITAL FUND "&amp;REPLACE(YEAR,1,22,"")&amp;" BUDGET"</f>
        <v>CAPITAL FUND 2002/2003 BUDGET</v>
      </c>
      <c r="D3" s="140"/>
      <c r="E3" s="140"/>
      <c r="F3" s="319"/>
    </row>
    <row r="4" spans="1:6" ht="12.75">
      <c r="A4" s="11"/>
      <c r="C4" s="142"/>
      <c r="E4" s="142"/>
      <c r="F4" s="142"/>
    </row>
    <row r="5" spans="1:6" ht="12.75">
      <c r="A5" s="11"/>
      <c r="C5" s="57"/>
      <c r="D5" s="142"/>
      <c r="E5" s="142"/>
      <c r="F5" s="142"/>
    </row>
    <row r="6" spans="1:6" ht="12.75">
      <c r="A6" s="11"/>
      <c r="C6" s="227" t="s">
        <v>181</v>
      </c>
      <c r="D6" s="127"/>
      <c r="E6" s="128"/>
      <c r="F6" s="142"/>
    </row>
    <row r="7" spans="1:6" ht="12.75">
      <c r="A7" s="18"/>
      <c r="C7" s="143"/>
      <c r="D7" s="143" t="s">
        <v>194</v>
      </c>
      <c r="E7" s="159"/>
      <c r="F7" s="142"/>
    </row>
    <row r="8" spans="1:6" ht="12.75">
      <c r="A8" s="94"/>
      <c r="B8" s="46"/>
      <c r="C8" s="145" t="s">
        <v>215</v>
      </c>
      <c r="D8" s="145" t="s">
        <v>219</v>
      </c>
      <c r="E8" s="177"/>
      <c r="F8" s="142"/>
    </row>
    <row r="9" spans="1:6" ht="12.75">
      <c r="A9" s="52" t="s">
        <v>100</v>
      </c>
      <c r="B9" s="53" t="s">
        <v>101</v>
      </c>
      <c r="C9" s="147" t="s">
        <v>114</v>
      </c>
      <c r="D9" s="147" t="s">
        <v>220</v>
      </c>
      <c r="E9" s="147" t="s">
        <v>69</v>
      </c>
      <c r="F9" s="142"/>
    </row>
    <row r="10" spans="1:6" ht="4.5" customHeight="1">
      <c r="A10" s="77"/>
      <c r="B10" s="77"/>
      <c r="C10" s="148"/>
      <c r="D10" s="148"/>
      <c r="E10" s="148"/>
      <c r="F10" s="80"/>
    </row>
    <row r="11" spans="1:5" ht="12.75">
      <c r="A11" s="14">
        <v>1</v>
      </c>
      <c r="B11" s="15" t="s">
        <v>115</v>
      </c>
      <c r="C11" s="15">
        <v>0</v>
      </c>
      <c r="D11" s="15">
        <v>0</v>
      </c>
      <c r="E11" s="15">
        <f>SUM('- 48 -'!C11:G11,C11:D11)</f>
        <v>11529713</v>
      </c>
    </row>
    <row r="12" spans="1:5" ht="12.75">
      <c r="A12" s="16">
        <v>2</v>
      </c>
      <c r="B12" s="17" t="s">
        <v>116</v>
      </c>
      <c r="C12" s="17">
        <v>0</v>
      </c>
      <c r="D12" s="17">
        <v>0</v>
      </c>
      <c r="E12" s="17">
        <f>SUM('- 48 -'!C12:G12,C12:D12)</f>
        <v>947071</v>
      </c>
    </row>
    <row r="13" spans="1:5" ht="12.75">
      <c r="A13" s="14">
        <v>3</v>
      </c>
      <c r="B13" s="15" t="s">
        <v>117</v>
      </c>
      <c r="C13" s="15">
        <v>0</v>
      </c>
      <c r="D13" s="15">
        <v>101000</v>
      </c>
      <c r="E13" s="15">
        <f>SUM('- 48 -'!C13:G13,C13:D13)</f>
        <v>1740585</v>
      </c>
    </row>
    <row r="14" spans="1:5" ht="12.75">
      <c r="A14" s="16">
        <v>4</v>
      </c>
      <c r="B14" s="17" t="s">
        <v>118</v>
      </c>
      <c r="C14" s="17">
        <v>0</v>
      </c>
      <c r="D14" s="17">
        <v>200000</v>
      </c>
      <c r="E14" s="17">
        <f>SUM('- 48 -'!C14:G14,C14:D14)</f>
        <v>1169574</v>
      </c>
    </row>
    <row r="15" spans="1:5" ht="12.75">
      <c r="A15" s="14">
        <v>5</v>
      </c>
      <c r="B15" s="15" t="s">
        <v>119</v>
      </c>
      <c r="C15" s="15">
        <v>0</v>
      </c>
      <c r="D15" s="15">
        <v>100000</v>
      </c>
      <c r="E15" s="15">
        <f>SUM('- 48 -'!C15:G15,C15:D15)</f>
        <v>2716760</v>
      </c>
    </row>
    <row r="16" spans="1:5" ht="12.75">
      <c r="A16" s="16">
        <v>6</v>
      </c>
      <c r="B16" s="17" t="s">
        <v>120</v>
      </c>
      <c r="C16" s="17">
        <v>0</v>
      </c>
      <c r="D16" s="17">
        <v>0</v>
      </c>
      <c r="E16" s="17">
        <f>SUM('- 48 -'!C16:G16,C16:D16)</f>
        <v>3695338</v>
      </c>
    </row>
    <row r="17" spans="1:5" ht="12.75">
      <c r="A17" s="14">
        <v>9</v>
      </c>
      <c r="B17" s="15" t="s">
        <v>121</v>
      </c>
      <c r="C17" s="15">
        <v>0</v>
      </c>
      <c r="D17" s="15">
        <v>0</v>
      </c>
      <c r="E17" s="15">
        <f>SUM('- 48 -'!C17:G17,C17:D17)</f>
        <v>6639486</v>
      </c>
    </row>
    <row r="18" spans="1:5" ht="12.75">
      <c r="A18" s="16">
        <v>10</v>
      </c>
      <c r="B18" s="17" t="s">
        <v>122</v>
      </c>
      <c r="C18" s="17">
        <v>0</v>
      </c>
      <c r="D18" s="17">
        <v>0</v>
      </c>
      <c r="E18" s="17">
        <f>SUM('- 48 -'!C18:G18,C18:D18)</f>
        <v>3497823</v>
      </c>
    </row>
    <row r="19" spans="1:5" ht="12.75">
      <c r="A19" s="14">
        <v>11</v>
      </c>
      <c r="B19" s="15" t="s">
        <v>123</v>
      </c>
      <c r="C19" s="15">
        <v>0</v>
      </c>
      <c r="D19" s="15">
        <v>0</v>
      </c>
      <c r="E19" s="15">
        <f>SUM('- 48 -'!C19:G19,C19:D19)</f>
        <v>1679880</v>
      </c>
    </row>
    <row r="20" spans="1:5" ht="12.75">
      <c r="A20" s="16">
        <v>12</v>
      </c>
      <c r="B20" s="17" t="s">
        <v>124</v>
      </c>
      <c r="C20" s="17">
        <v>0</v>
      </c>
      <c r="D20" s="17">
        <v>0</v>
      </c>
      <c r="E20" s="17">
        <f>SUM('- 48 -'!C20:G20,C20:D20)</f>
        <v>3282630.63</v>
      </c>
    </row>
    <row r="21" spans="1:5" ht="12.75">
      <c r="A21" s="14">
        <v>13</v>
      </c>
      <c r="B21" s="15" t="s">
        <v>125</v>
      </c>
      <c r="C21" s="15">
        <v>0</v>
      </c>
      <c r="D21" s="15">
        <v>0</v>
      </c>
      <c r="E21" s="15">
        <f>SUM('- 48 -'!C21:G21,C21:D21)</f>
        <v>374120</v>
      </c>
    </row>
    <row r="22" spans="1:5" ht="12.75">
      <c r="A22" s="16">
        <v>14</v>
      </c>
      <c r="B22" s="17" t="s">
        <v>126</v>
      </c>
      <c r="C22" s="17">
        <v>0</v>
      </c>
      <c r="D22" s="17">
        <v>0</v>
      </c>
      <c r="E22" s="17">
        <f>SUM('- 48 -'!C22:G22,C22:D22)</f>
        <v>2894423</v>
      </c>
    </row>
    <row r="23" spans="1:5" ht="12.75">
      <c r="A23" s="14">
        <v>15</v>
      </c>
      <c r="B23" s="15" t="s">
        <v>127</v>
      </c>
      <c r="C23" s="15">
        <v>0</v>
      </c>
      <c r="D23" s="15">
        <v>0</v>
      </c>
      <c r="E23" s="15">
        <f>SUM('- 48 -'!C23:G23,C23:D23)</f>
        <v>3317093</v>
      </c>
    </row>
    <row r="24" spans="1:5" ht="12.75">
      <c r="A24" s="16">
        <v>16</v>
      </c>
      <c r="B24" s="17" t="s">
        <v>128</v>
      </c>
      <c r="C24" s="17">
        <v>0</v>
      </c>
      <c r="D24" s="17">
        <v>0</v>
      </c>
      <c r="E24" s="17">
        <f>SUM('- 48 -'!C24:G24,C24:D24)</f>
        <v>105000</v>
      </c>
    </row>
    <row r="25" spans="1:5" ht="12.75">
      <c r="A25" s="14">
        <v>17</v>
      </c>
      <c r="B25" s="15" t="s">
        <v>129</v>
      </c>
      <c r="C25" s="15">
        <v>0</v>
      </c>
      <c r="D25" s="15">
        <v>0</v>
      </c>
      <c r="E25" s="15">
        <f>SUM('- 48 -'!C25:G25,C25:D25)</f>
        <v>71000</v>
      </c>
    </row>
    <row r="26" spans="1:5" ht="12.75">
      <c r="A26" s="16">
        <v>18</v>
      </c>
      <c r="B26" s="17" t="s">
        <v>130</v>
      </c>
      <c r="C26" s="17">
        <v>0</v>
      </c>
      <c r="D26" s="17">
        <v>0</v>
      </c>
      <c r="E26" s="17">
        <f>SUM('- 48 -'!C26:G26,C26:D26)</f>
        <v>449139.15</v>
      </c>
    </row>
    <row r="27" spans="1:5" ht="12.75">
      <c r="A27" s="14">
        <v>19</v>
      </c>
      <c r="B27" s="15" t="s">
        <v>131</v>
      </c>
      <c r="C27" s="15">
        <v>0</v>
      </c>
      <c r="D27" s="15">
        <v>0</v>
      </c>
      <c r="E27" s="15">
        <f>SUM('- 48 -'!C27:G27,C27:D27)</f>
        <v>0</v>
      </c>
    </row>
    <row r="28" spans="1:5" ht="12.75">
      <c r="A28" s="16">
        <v>20</v>
      </c>
      <c r="B28" s="17" t="s">
        <v>132</v>
      </c>
      <c r="C28" s="17">
        <v>0</v>
      </c>
      <c r="D28" s="17">
        <v>0</v>
      </c>
      <c r="E28" s="17">
        <f>SUM('- 48 -'!C28:G28,C28:D28)</f>
        <v>90000</v>
      </c>
    </row>
    <row r="29" spans="1:5" ht="12.75">
      <c r="A29" s="14">
        <v>21</v>
      </c>
      <c r="B29" s="15" t="s">
        <v>133</v>
      </c>
      <c r="C29" s="15">
        <v>0</v>
      </c>
      <c r="D29" s="15">
        <v>0</v>
      </c>
      <c r="E29" s="15">
        <f>SUM('- 48 -'!C29:G29,C29:D29)</f>
        <v>1121845</v>
      </c>
    </row>
    <row r="30" spans="1:5" ht="12.75">
      <c r="A30" s="16">
        <v>22</v>
      </c>
      <c r="B30" s="17" t="s">
        <v>134</v>
      </c>
      <c r="C30" s="17">
        <v>0</v>
      </c>
      <c r="D30" s="17">
        <v>0</v>
      </c>
      <c r="E30" s="17">
        <f>SUM('- 48 -'!C30:G30,C30:D30)</f>
        <v>273183</v>
      </c>
    </row>
    <row r="31" spans="1:5" ht="12.75">
      <c r="A31" s="14">
        <v>23</v>
      </c>
      <c r="B31" s="15" t="s">
        <v>135</v>
      </c>
      <c r="C31" s="15">
        <v>0</v>
      </c>
      <c r="D31" s="15">
        <v>0</v>
      </c>
      <c r="E31" s="15">
        <f>SUM('- 48 -'!C31:G31,C31:D31)</f>
        <v>210000</v>
      </c>
    </row>
    <row r="32" spans="1:5" ht="12.75">
      <c r="A32" s="16">
        <v>24</v>
      </c>
      <c r="B32" s="17" t="s">
        <v>136</v>
      </c>
      <c r="C32" s="17">
        <v>0</v>
      </c>
      <c r="D32" s="17">
        <v>0</v>
      </c>
      <c r="E32" s="17">
        <f>SUM('- 48 -'!C32:G32,C32:D32)</f>
        <v>1126708</v>
      </c>
    </row>
    <row r="33" spans="1:5" ht="12.75">
      <c r="A33" s="14">
        <v>25</v>
      </c>
      <c r="B33" s="15" t="s">
        <v>137</v>
      </c>
      <c r="C33" s="15">
        <v>0</v>
      </c>
      <c r="D33" s="15">
        <v>0</v>
      </c>
      <c r="E33" s="15">
        <f>SUM('- 48 -'!C33:G33,C33:D33)</f>
        <v>720288</v>
      </c>
    </row>
    <row r="34" spans="1:5" ht="12.75">
      <c r="A34" s="16">
        <v>26</v>
      </c>
      <c r="B34" s="17" t="s">
        <v>138</v>
      </c>
      <c r="C34" s="17">
        <v>0</v>
      </c>
      <c r="D34" s="17">
        <v>0</v>
      </c>
      <c r="E34" s="17">
        <f>SUM('- 48 -'!C34:G34,C34:D34)</f>
        <v>1695838</v>
      </c>
    </row>
    <row r="35" spans="1:5" ht="12.75">
      <c r="A35" s="14">
        <v>28</v>
      </c>
      <c r="B35" s="15" t="s">
        <v>139</v>
      </c>
      <c r="C35" s="15">
        <v>0</v>
      </c>
      <c r="D35" s="15">
        <v>0</v>
      </c>
      <c r="E35" s="15">
        <f>SUM('- 48 -'!C35:G35,C35:D35)</f>
        <v>691701</v>
      </c>
    </row>
    <row r="36" spans="1:5" ht="12.75">
      <c r="A36" s="16">
        <v>30</v>
      </c>
      <c r="B36" s="17" t="s">
        <v>140</v>
      </c>
      <c r="C36" s="17">
        <v>0</v>
      </c>
      <c r="D36" s="17">
        <v>267644</v>
      </c>
      <c r="E36" s="17">
        <f>SUM('- 48 -'!C36:G36,C36:D36)</f>
        <v>1080030</v>
      </c>
    </row>
    <row r="37" spans="1:5" ht="12.75">
      <c r="A37" s="14">
        <v>31</v>
      </c>
      <c r="B37" s="15" t="s">
        <v>141</v>
      </c>
      <c r="C37" s="15">
        <v>0</v>
      </c>
      <c r="D37" s="15">
        <v>64171</v>
      </c>
      <c r="E37" s="15">
        <f>SUM('- 48 -'!C37:G37,C37:D37)</f>
        <v>1202768</v>
      </c>
    </row>
    <row r="38" spans="1:5" ht="12.75">
      <c r="A38" s="16">
        <v>32</v>
      </c>
      <c r="B38" s="17" t="s">
        <v>142</v>
      </c>
      <c r="C38" s="17">
        <v>0</v>
      </c>
      <c r="D38" s="17">
        <v>0</v>
      </c>
      <c r="E38" s="17">
        <f>SUM('- 48 -'!C38:G38,C38:D38)</f>
        <v>502973</v>
      </c>
    </row>
    <row r="39" spans="1:5" ht="12.75">
      <c r="A39" s="14">
        <v>33</v>
      </c>
      <c r="B39" s="15" t="s">
        <v>143</v>
      </c>
      <c r="C39" s="15">
        <v>0</v>
      </c>
      <c r="D39" s="15">
        <v>126035</v>
      </c>
      <c r="E39" s="15">
        <f>SUM('- 48 -'!C39:G39,C39:D39)</f>
        <v>1504364</v>
      </c>
    </row>
    <row r="40" spans="1:5" ht="12.75">
      <c r="A40" s="16">
        <v>34</v>
      </c>
      <c r="B40" s="17" t="s">
        <v>144</v>
      </c>
      <c r="C40" s="17">
        <v>0</v>
      </c>
      <c r="D40" s="17">
        <v>0</v>
      </c>
      <c r="E40" s="17">
        <f>SUM('- 48 -'!C40:G40,C40:D40)</f>
        <v>1000000</v>
      </c>
    </row>
    <row r="41" spans="1:5" ht="12.75">
      <c r="A41" s="14">
        <v>35</v>
      </c>
      <c r="B41" s="15" t="s">
        <v>145</v>
      </c>
      <c r="C41" s="15">
        <v>0</v>
      </c>
      <c r="D41" s="15">
        <v>155482</v>
      </c>
      <c r="E41" s="15">
        <f>SUM('- 48 -'!C41:G41,C41:D41)</f>
        <v>690158</v>
      </c>
    </row>
    <row r="42" spans="1:5" ht="12.75">
      <c r="A42" s="16">
        <v>36</v>
      </c>
      <c r="B42" s="17" t="s">
        <v>146</v>
      </c>
      <c r="C42" s="17">
        <v>0</v>
      </c>
      <c r="D42" s="17">
        <v>0</v>
      </c>
      <c r="E42" s="17">
        <f>SUM('- 48 -'!C42:G42,C42:D42)</f>
        <v>883680</v>
      </c>
    </row>
    <row r="43" spans="1:5" ht="12.75">
      <c r="A43" s="14">
        <v>37</v>
      </c>
      <c r="B43" s="15" t="s">
        <v>147</v>
      </c>
      <c r="C43" s="15">
        <v>0</v>
      </c>
      <c r="D43" s="15">
        <v>0</v>
      </c>
      <c r="E43" s="15">
        <f>SUM('- 48 -'!C43:G43,C43:D43)</f>
        <v>0</v>
      </c>
    </row>
    <row r="44" spans="1:5" ht="12.75">
      <c r="A44" s="16">
        <v>38</v>
      </c>
      <c r="B44" s="17" t="s">
        <v>148</v>
      </c>
      <c r="C44" s="17">
        <v>0</v>
      </c>
      <c r="D44" s="17">
        <v>0</v>
      </c>
      <c r="E44" s="17">
        <f>SUM('- 48 -'!C44:G44,C44:D44)</f>
        <v>919369</v>
      </c>
    </row>
    <row r="45" spans="1:5" ht="12.75">
      <c r="A45" s="14">
        <v>39</v>
      </c>
      <c r="B45" s="15" t="s">
        <v>149</v>
      </c>
      <c r="C45" s="15">
        <v>0</v>
      </c>
      <c r="D45" s="15">
        <v>0</v>
      </c>
      <c r="E45" s="15">
        <f>SUM('- 48 -'!C45:G45,C45:D45)</f>
        <v>55000</v>
      </c>
    </row>
    <row r="46" spans="1:5" ht="12.75">
      <c r="A46" s="16">
        <v>40</v>
      </c>
      <c r="B46" s="17" t="s">
        <v>150</v>
      </c>
      <c r="C46" s="17">
        <v>6300</v>
      </c>
      <c r="D46" s="17">
        <v>0</v>
      </c>
      <c r="E46" s="17">
        <f>SUM('- 48 -'!C46:G46,C46:D46)</f>
        <v>2721600</v>
      </c>
    </row>
    <row r="47" spans="1:5" ht="12.75">
      <c r="A47" s="14">
        <v>41</v>
      </c>
      <c r="B47" s="15" t="s">
        <v>151</v>
      </c>
      <c r="C47" s="15">
        <v>0</v>
      </c>
      <c r="D47" s="15">
        <v>180000</v>
      </c>
      <c r="E47" s="15">
        <f>SUM('- 48 -'!C47:G47,C47:D47)</f>
        <v>268000</v>
      </c>
    </row>
    <row r="48" spans="1:5" ht="12.75">
      <c r="A48" s="16">
        <v>42</v>
      </c>
      <c r="B48" s="17" t="s">
        <v>152</v>
      </c>
      <c r="C48" s="17">
        <v>0</v>
      </c>
      <c r="D48" s="17">
        <v>0</v>
      </c>
      <c r="E48" s="17">
        <f>SUM('- 48 -'!C48:G48,C48:D48)</f>
        <v>137258</v>
      </c>
    </row>
    <row r="49" spans="1:5" ht="12.75">
      <c r="A49" s="14">
        <v>43</v>
      </c>
      <c r="B49" s="15" t="s">
        <v>153</v>
      </c>
      <c r="C49" s="15">
        <v>0</v>
      </c>
      <c r="D49" s="15">
        <v>10000</v>
      </c>
      <c r="E49" s="15">
        <f>SUM('- 48 -'!C49:G49,C49:D49)</f>
        <v>516630</v>
      </c>
    </row>
    <row r="50" spans="1:5" ht="12.75">
      <c r="A50" s="16">
        <v>44</v>
      </c>
      <c r="B50" s="17" t="s">
        <v>154</v>
      </c>
      <c r="C50" s="17">
        <v>0</v>
      </c>
      <c r="D50" s="17">
        <v>0</v>
      </c>
      <c r="E50" s="17">
        <f>SUM('- 48 -'!C50:G50,C50:D50)</f>
        <v>165500</v>
      </c>
    </row>
    <row r="51" spans="1:5" ht="12.75">
      <c r="A51" s="14">
        <v>45</v>
      </c>
      <c r="B51" s="15" t="s">
        <v>155</v>
      </c>
      <c r="C51" s="15">
        <v>0</v>
      </c>
      <c r="D51" s="15">
        <v>0</v>
      </c>
      <c r="E51" s="15">
        <f>SUM('- 48 -'!C51:G51,C51:D51)</f>
        <v>334324</v>
      </c>
    </row>
    <row r="52" spans="1:5" ht="12.75">
      <c r="A52" s="16">
        <v>46</v>
      </c>
      <c r="B52" s="17" t="s">
        <v>156</v>
      </c>
      <c r="C52" s="17">
        <v>0</v>
      </c>
      <c r="D52" s="17">
        <v>0</v>
      </c>
      <c r="E52" s="17">
        <f>SUM('- 48 -'!C52:G52,C52:D52)</f>
        <v>188351</v>
      </c>
    </row>
    <row r="53" spans="1:5" ht="12.75">
      <c r="A53" s="14">
        <v>47</v>
      </c>
      <c r="B53" s="15" t="s">
        <v>157</v>
      </c>
      <c r="C53" s="15">
        <v>0</v>
      </c>
      <c r="D53" s="15">
        <v>0</v>
      </c>
      <c r="E53" s="15">
        <f>SUM('- 48 -'!C53:G53,C53:D53)</f>
        <v>837057</v>
      </c>
    </row>
    <row r="54" spans="1:5" ht="12.75">
      <c r="A54" s="16">
        <v>48</v>
      </c>
      <c r="B54" s="17" t="s">
        <v>158</v>
      </c>
      <c r="C54" s="17">
        <v>0</v>
      </c>
      <c r="D54" s="17">
        <v>0</v>
      </c>
      <c r="E54" s="17">
        <f>SUM('- 48 -'!C54:G54,C54:D54)</f>
        <v>1079443</v>
      </c>
    </row>
    <row r="55" spans="1:5" ht="12.75">
      <c r="A55" s="14">
        <v>49</v>
      </c>
      <c r="B55" s="15" t="s">
        <v>159</v>
      </c>
      <c r="C55" s="15">
        <v>0</v>
      </c>
      <c r="D55" s="15">
        <v>0</v>
      </c>
      <c r="E55" s="15">
        <f>SUM('- 48 -'!C55:G55,C55:D55)</f>
        <v>7310598</v>
      </c>
    </row>
    <row r="56" spans="1:5" ht="12.75">
      <c r="A56" s="16">
        <v>50</v>
      </c>
      <c r="B56" s="17" t="s">
        <v>340</v>
      </c>
      <c r="C56" s="17">
        <v>0</v>
      </c>
      <c r="D56" s="17">
        <v>268000</v>
      </c>
      <c r="E56" s="17">
        <f>SUM('- 48 -'!C56:G56,C56:D56)</f>
        <v>268000</v>
      </c>
    </row>
    <row r="57" spans="1:5" ht="12.75">
      <c r="A57" s="14">
        <v>2264</v>
      </c>
      <c r="B57" s="15" t="s">
        <v>160</v>
      </c>
      <c r="C57" s="15">
        <v>0</v>
      </c>
      <c r="D57" s="15">
        <v>0</v>
      </c>
      <c r="E57" s="15">
        <f>SUM('- 48 -'!C57:G57,C57:D57)</f>
        <v>39355</v>
      </c>
    </row>
    <row r="58" spans="1:5" ht="12.75">
      <c r="A58" s="16">
        <v>2309</v>
      </c>
      <c r="B58" s="17" t="s">
        <v>161</v>
      </c>
      <c r="C58" s="17">
        <v>0</v>
      </c>
      <c r="D58" s="17">
        <v>0</v>
      </c>
      <c r="E58" s="17">
        <f>SUM('- 48 -'!C58:G58,C58:D58)</f>
        <v>30459</v>
      </c>
    </row>
    <row r="59" spans="1:5" ht="12.75">
      <c r="A59" s="14">
        <v>2312</v>
      </c>
      <c r="B59" s="15" t="s">
        <v>162</v>
      </c>
      <c r="C59" s="15">
        <v>0</v>
      </c>
      <c r="D59" s="15">
        <v>0</v>
      </c>
      <c r="E59" s="15">
        <f>SUM('- 48 -'!C59:G59,C59:D59)</f>
        <v>19496</v>
      </c>
    </row>
    <row r="60" spans="1:5" ht="12.75">
      <c r="A60" s="16">
        <v>2355</v>
      </c>
      <c r="B60" s="17" t="s">
        <v>163</v>
      </c>
      <c r="C60" s="17">
        <v>0</v>
      </c>
      <c r="D60" s="17">
        <v>71462</v>
      </c>
      <c r="E60" s="17">
        <f>SUM('- 48 -'!C60:G60,C60:D60)</f>
        <v>142924</v>
      </c>
    </row>
    <row r="61" spans="1:5" ht="12.75">
      <c r="A61" s="14">
        <v>2439</v>
      </c>
      <c r="B61" s="15" t="s">
        <v>164</v>
      </c>
      <c r="C61" s="15">
        <v>0</v>
      </c>
      <c r="D61" s="15">
        <v>0</v>
      </c>
      <c r="E61" s="15">
        <f>SUM('- 48 -'!C61:G61,C61:D61)</f>
        <v>35666.39</v>
      </c>
    </row>
    <row r="62" spans="1:5" ht="12.75">
      <c r="A62" s="16">
        <v>2460</v>
      </c>
      <c r="B62" s="17" t="s">
        <v>165</v>
      </c>
      <c r="C62" s="17">
        <v>0</v>
      </c>
      <c r="D62" s="17">
        <v>0</v>
      </c>
      <c r="E62" s="17">
        <f>SUM('- 48 -'!C62:G62,C62:D62)</f>
        <v>317582</v>
      </c>
    </row>
    <row r="63" spans="1:5" ht="12.75">
      <c r="A63" s="14">
        <v>3000</v>
      </c>
      <c r="B63" s="15" t="s">
        <v>363</v>
      </c>
      <c r="C63" s="15">
        <v>0</v>
      </c>
      <c r="D63" s="15">
        <v>0</v>
      </c>
      <c r="E63" s="15">
        <f>SUM('- 48 -'!C63:G63,C63:D63)</f>
        <v>791931</v>
      </c>
    </row>
    <row r="64" spans="1:5" ht="4.5" customHeight="1">
      <c r="A64" s="18"/>
      <c r="B64" s="18"/>
      <c r="C64" s="18"/>
      <c r="D64" s="18"/>
      <c r="E64" s="18"/>
    </row>
    <row r="65" spans="1:5" ht="12.75">
      <c r="A65" s="20"/>
      <c r="B65" s="21" t="s">
        <v>166</v>
      </c>
      <c r="C65" s="21">
        <f>SUM(C11:C63)</f>
        <v>6300</v>
      </c>
      <c r="D65" s="21">
        <f>SUM(D11:D63)</f>
        <v>1543794</v>
      </c>
      <c r="E65" s="21">
        <f>SUM(E11:E63)</f>
        <v>73081715.17</v>
      </c>
    </row>
    <row r="66" spans="1:5" ht="4.5" customHeight="1">
      <c r="A66" s="18"/>
      <c r="B66" s="18"/>
      <c r="C66" s="18"/>
      <c r="D66" s="18"/>
      <c r="E66" s="18"/>
    </row>
    <row r="67" spans="1:5" ht="12.75">
      <c r="A67" s="16">
        <v>2155</v>
      </c>
      <c r="B67" s="17" t="s">
        <v>167</v>
      </c>
      <c r="C67" s="17">
        <v>0</v>
      </c>
      <c r="D67" s="17">
        <v>0</v>
      </c>
      <c r="E67" s="17">
        <f>SUM('- 48 -'!C67:G67,C67:D67)</f>
        <v>0</v>
      </c>
    </row>
    <row r="68" spans="1:5" ht="12.75">
      <c r="A68" s="14">
        <v>2408</v>
      </c>
      <c r="B68" s="15" t="s">
        <v>169</v>
      </c>
      <c r="C68" s="15">
        <v>0</v>
      </c>
      <c r="D68" s="15">
        <v>0</v>
      </c>
      <c r="E68" s="15">
        <f>SUM('- 48 -'!C68:G68,C68:D68)</f>
        <v>70000</v>
      </c>
    </row>
    <row r="69" ht="6.75" customHeight="1"/>
    <row r="70" spans="1:6" ht="12" customHeight="1">
      <c r="A70" s="7"/>
      <c r="B70" s="7"/>
      <c r="C70" s="18"/>
      <c r="D70" s="18"/>
      <c r="E70" s="18"/>
      <c r="F70" s="18"/>
    </row>
    <row r="71" spans="1:6" ht="12" customHeight="1">
      <c r="A71" s="7"/>
      <c r="B71" s="7"/>
      <c r="C71" s="18"/>
      <c r="D71" s="18"/>
      <c r="E71" s="18"/>
      <c r="F71" s="18"/>
    </row>
    <row r="72" spans="1:6" ht="12" customHeight="1">
      <c r="A72" s="7"/>
      <c r="B72" s="7"/>
      <c r="C72" s="18"/>
      <c r="D72" s="18"/>
      <c r="E72" s="18"/>
      <c r="F72" s="18"/>
    </row>
    <row r="73" spans="1:6" ht="12" customHeight="1">
      <c r="A73" s="7"/>
      <c r="B73" s="7"/>
      <c r="C73" s="18"/>
      <c r="D73" s="18"/>
      <c r="E73" s="18"/>
      <c r="F73" s="18"/>
    </row>
    <row r="74" spans="1:6" ht="12" customHeight="1">
      <c r="A74" s="7"/>
      <c r="B74" s="7"/>
      <c r="C74" s="18"/>
      <c r="D74" s="18"/>
      <c r="E74" s="18"/>
      <c r="F74" s="18"/>
    </row>
    <row r="75" ht="12" customHeight="1"/>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2">
    <pageSetUpPr fitToPage="1"/>
  </sheetPr>
  <dimension ref="A1:H75"/>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7.83203125" style="82" customWidth="1"/>
    <col min="4" max="5" width="16.83203125" style="82" customWidth="1"/>
    <col min="6" max="6" width="17.83203125" style="82" customWidth="1"/>
    <col min="7" max="16384" width="15.83203125" style="82" customWidth="1"/>
  </cols>
  <sheetData>
    <row r="1" spans="1:2" ht="6.75" customHeight="1">
      <c r="A1" s="18"/>
      <c r="B1" s="80"/>
    </row>
    <row r="2" spans="1:8" ht="12.75">
      <c r="A2" s="12"/>
      <c r="B2" s="106"/>
      <c r="C2" s="107" t="s">
        <v>171</v>
      </c>
      <c r="D2" s="107"/>
      <c r="E2" s="107"/>
      <c r="F2" s="107"/>
      <c r="G2" s="286"/>
      <c r="H2" s="286"/>
    </row>
    <row r="3" spans="1:8" ht="12.75">
      <c r="A3" s="13"/>
      <c r="B3" s="109"/>
      <c r="C3" s="392" t="str">
        <f>"FOR THE "&amp;REPLACE(REPLACE(YEAR,1,22,""),5,5,"")&amp;" TAXATION YEAR"</f>
        <v>FOR THE 2002 TAXATION YEAR</v>
      </c>
      <c r="D3" s="5"/>
      <c r="E3" s="171"/>
      <c r="F3" s="152"/>
      <c r="G3" s="319"/>
      <c r="H3" s="319"/>
    </row>
    <row r="4" spans="1:8" ht="12.75">
      <c r="A4" s="374"/>
      <c r="B4" s="374"/>
      <c r="C4" s="142"/>
      <c r="D4" s="142"/>
      <c r="E4" s="153"/>
      <c r="F4" s="153"/>
      <c r="G4" s="153"/>
      <c r="H4" s="142"/>
    </row>
    <row r="5" spans="1:8" ht="12.75">
      <c r="A5" s="11"/>
      <c r="B5" s="82">
        <f>REPLACE(B4,5,5,"")</f>
      </c>
      <c r="C5" s="57"/>
      <c r="D5" s="142"/>
      <c r="E5" s="142"/>
      <c r="F5" s="142"/>
      <c r="G5" s="142"/>
      <c r="H5" s="142"/>
    </row>
    <row r="6" spans="1:8" ht="16.5">
      <c r="A6" s="11"/>
      <c r="C6" s="154" t="s">
        <v>182</v>
      </c>
      <c r="D6" s="155"/>
      <c r="E6" s="155"/>
      <c r="F6" s="154" t="s">
        <v>406</v>
      </c>
      <c r="G6" s="155"/>
      <c r="H6" s="156"/>
    </row>
    <row r="7" spans="1:8" ht="12.75">
      <c r="A7" s="18"/>
      <c r="C7" s="157" t="s">
        <v>195</v>
      </c>
      <c r="D7" s="158"/>
      <c r="E7" s="143"/>
      <c r="F7" s="143" t="s">
        <v>195</v>
      </c>
      <c r="G7" s="144"/>
      <c r="H7" s="143"/>
    </row>
    <row r="8" spans="1:8" ht="12.75">
      <c r="A8" s="94"/>
      <c r="B8" s="46"/>
      <c r="C8" s="160" t="s">
        <v>221</v>
      </c>
      <c r="D8" s="172"/>
      <c r="E8" s="145"/>
      <c r="F8" s="145" t="s">
        <v>221</v>
      </c>
      <c r="G8" s="146"/>
      <c r="H8" s="145"/>
    </row>
    <row r="9" spans="1:8" ht="12.75">
      <c r="A9" s="52" t="s">
        <v>100</v>
      </c>
      <c r="B9" s="53" t="s">
        <v>101</v>
      </c>
      <c r="C9" s="163" t="s">
        <v>236</v>
      </c>
      <c r="D9" s="163" t="s">
        <v>237</v>
      </c>
      <c r="E9" s="147" t="s">
        <v>69</v>
      </c>
      <c r="F9" s="147" t="s">
        <v>236</v>
      </c>
      <c r="G9" s="147" t="s">
        <v>57</v>
      </c>
      <c r="H9" s="147" t="s">
        <v>69</v>
      </c>
    </row>
    <row r="10" spans="1:8" ht="4.5" customHeight="1">
      <c r="A10" s="77"/>
      <c r="B10" s="77"/>
      <c r="C10" s="148"/>
      <c r="D10" s="148"/>
      <c r="E10" s="148"/>
      <c r="H10" s="148"/>
    </row>
    <row r="11" spans="1:8" ht="12.75">
      <c r="A11" s="14">
        <v>1</v>
      </c>
      <c r="B11" s="15" t="s">
        <v>115</v>
      </c>
      <c r="C11" s="15">
        <f>'- 52 -'!C11</f>
        <v>1971764720</v>
      </c>
      <c r="D11" s="15">
        <f>'- 52 -'!E11</f>
        <v>2065233120</v>
      </c>
      <c r="E11" s="15">
        <f>SUM(C11:D11)</f>
        <v>4036997840</v>
      </c>
      <c r="F11" s="15">
        <v>13092517.7408</v>
      </c>
      <c r="G11" s="15">
        <v>34076346.480000004</v>
      </c>
      <c r="H11" s="15">
        <f>SUM(F11:G11)</f>
        <v>47168864.220800005</v>
      </c>
    </row>
    <row r="12" spans="1:8" ht="12.75">
      <c r="A12" s="16">
        <v>2</v>
      </c>
      <c r="B12" s="17" t="s">
        <v>116</v>
      </c>
      <c r="C12" s="17">
        <f>'- 52 -'!C12</f>
        <v>901225270</v>
      </c>
      <c r="D12" s="17">
        <f>'- 52 -'!E12</f>
        <v>662160960</v>
      </c>
      <c r="E12" s="17">
        <f aca="true" t="shared" si="0" ref="E12:E62">SUM(C12:D12)</f>
        <v>1563386230</v>
      </c>
      <c r="F12" s="17">
        <v>5984135.7928</v>
      </c>
      <c r="G12" s="17">
        <v>10925655.84</v>
      </c>
      <c r="H12" s="17">
        <f aca="true" t="shared" si="1" ref="H12:H62">SUM(F12:G12)</f>
        <v>16909791.632799998</v>
      </c>
    </row>
    <row r="13" spans="1:8" ht="12.75">
      <c r="A13" s="14">
        <v>3</v>
      </c>
      <c r="B13" s="15" t="s">
        <v>117</v>
      </c>
      <c r="C13" s="15">
        <f>'- 52 -'!C13</f>
        <v>879268290</v>
      </c>
      <c r="D13" s="15">
        <f>'- 52 -'!E13</f>
        <v>128544520</v>
      </c>
      <c r="E13" s="15">
        <f t="shared" si="0"/>
        <v>1007812810</v>
      </c>
      <c r="F13" s="15">
        <v>5838341.4456</v>
      </c>
      <c r="G13" s="15">
        <v>2120984.58</v>
      </c>
      <c r="H13" s="15">
        <f t="shared" si="1"/>
        <v>7959326.0256</v>
      </c>
    </row>
    <row r="14" spans="1:8" ht="12.75">
      <c r="A14" s="16">
        <v>4</v>
      </c>
      <c r="B14" s="17" t="s">
        <v>118</v>
      </c>
      <c r="C14" s="17">
        <f>'- 52 -'!C14</f>
        <v>669344160</v>
      </c>
      <c r="D14" s="17">
        <f>'- 52 -'!E14</f>
        <v>298639880</v>
      </c>
      <c r="E14" s="17">
        <f t="shared" si="0"/>
        <v>967984040</v>
      </c>
      <c r="F14" s="17">
        <v>4444445.2224</v>
      </c>
      <c r="G14" s="17">
        <v>4927558.02</v>
      </c>
      <c r="H14" s="17">
        <f t="shared" si="1"/>
        <v>9372003.2424</v>
      </c>
    </row>
    <row r="15" spans="1:8" ht="12.75">
      <c r="A15" s="14">
        <v>5</v>
      </c>
      <c r="B15" s="15" t="s">
        <v>119</v>
      </c>
      <c r="C15" s="15">
        <f>'- 52 -'!C15</f>
        <v>733391850</v>
      </c>
      <c r="D15" s="15">
        <f>'- 52 -'!E15</f>
        <v>436452210</v>
      </c>
      <c r="E15" s="15">
        <f t="shared" si="0"/>
        <v>1169844060</v>
      </c>
      <c r="F15" s="15">
        <v>4869721.884</v>
      </c>
      <c r="G15" s="15">
        <v>7201461.465000001</v>
      </c>
      <c r="H15" s="15">
        <f t="shared" si="1"/>
        <v>12071183.349</v>
      </c>
    </row>
    <row r="16" spans="1:8" ht="12.75">
      <c r="A16" s="16">
        <v>6</v>
      </c>
      <c r="B16" s="17" t="s">
        <v>120</v>
      </c>
      <c r="C16" s="17">
        <f>'- 52 -'!C16</f>
        <v>894336340</v>
      </c>
      <c r="D16" s="17">
        <f>'- 52 -'!E16</f>
        <v>200258230</v>
      </c>
      <c r="E16" s="17">
        <f t="shared" si="0"/>
        <v>1094594570</v>
      </c>
      <c r="F16" s="17">
        <v>5938393.2976</v>
      </c>
      <c r="G16" s="17">
        <v>3304260.795</v>
      </c>
      <c r="H16" s="17">
        <f t="shared" si="1"/>
        <v>9242654.0926</v>
      </c>
    </row>
    <row r="17" spans="1:8" ht="12.75">
      <c r="A17" s="14">
        <v>9</v>
      </c>
      <c r="B17" s="15" t="s">
        <v>121</v>
      </c>
      <c r="C17" s="15">
        <f>'- 52 -'!C17</f>
        <v>1164351900</v>
      </c>
      <c r="D17" s="15">
        <f>'- 52 -'!E17</f>
        <v>176203450</v>
      </c>
      <c r="E17" s="15">
        <f t="shared" si="0"/>
        <v>1340555350</v>
      </c>
      <c r="F17" s="15">
        <v>7731296.616</v>
      </c>
      <c r="G17" s="15">
        <v>2907356.9250000003</v>
      </c>
      <c r="H17" s="15">
        <f t="shared" si="1"/>
        <v>10638653.541000001</v>
      </c>
    </row>
    <row r="18" spans="1:8" ht="12.75">
      <c r="A18" s="16">
        <v>10</v>
      </c>
      <c r="B18" s="17" t="s">
        <v>122</v>
      </c>
      <c r="C18" s="17">
        <f>'- 52 -'!C18</f>
        <v>741087540</v>
      </c>
      <c r="D18" s="17">
        <f>'- 52 -'!E18</f>
        <v>152082300</v>
      </c>
      <c r="E18" s="17">
        <f t="shared" si="0"/>
        <v>893169840</v>
      </c>
      <c r="F18" s="17">
        <v>4920821.2656000005</v>
      </c>
      <c r="G18" s="17">
        <v>2509357.95</v>
      </c>
      <c r="H18" s="17">
        <f t="shared" si="1"/>
        <v>7430179.215600001</v>
      </c>
    </row>
    <row r="19" spans="1:8" ht="12.75">
      <c r="A19" s="14">
        <v>11</v>
      </c>
      <c r="B19" s="15" t="s">
        <v>123</v>
      </c>
      <c r="C19" s="15">
        <f>'- 52 -'!C19</f>
        <v>514126430</v>
      </c>
      <c r="D19" s="15">
        <f>'- 52 -'!E19</f>
        <v>103271850</v>
      </c>
      <c r="E19" s="15">
        <f t="shared" si="0"/>
        <v>617398280</v>
      </c>
      <c r="F19" s="15">
        <v>3413799.4952000002</v>
      </c>
      <c r="G19" s="15">
        <v>1703985.5250000001</v>
      </c>
      <c r="H19" s="15">
        <f t="shared" si="1"/>
        <v>5117785.0202</v>
      </c>
    </row>
    <row r="20" spans="1:8" ht="12.75">
      <c r="A20" s="16">
        <v>12</v>
      </c>
      <c r="B20" s="17" t="s">
        <v>124</v>
      </c>
      <c r="C20" s="17">
        <f>'- 52 -'!C20</f>
        <v>580278920</v>
      </c>
      <c r="D20" s="17">
        <f>'- 52 -'!E20</f>
        <v>336450600</v>
      </c>
      <c r="E20" s="17">
        <f t="shared" si="0"/>
        <v>916729520</v>
      </c>
      <c r="F20" s="17">
        <v>3853052.0288</v>
      </c>
      <c r="G20" s="17">
        <v>5551434.9</v>
      </c>
      <c r="H20" s="17">
        <f t="shared" si="1"/>
        <v>9404486.9288</v>
      </c>
    </row>
    <row r="21" spans="1:8" ht="12.75">
      <c r="A21" s="14">
        <v>13</v>
      </c>
      <c r="B21" s="15" t="s">
        <v>125</v>
      </c>
      <c r="C21" s="15">
        <f>'- 52 -'!C21</f>
        <v>265817260</v>
      </c>
      <c r="D21" s="15">
        <f>'- 52 -'!E21</f>
        <v>80231020</v>
      </c>
      <c r="E21" s="15">
        <f t="shared" si="0"/>
        <v>346048280</v>
      </c>
      <c r="F21" s="15">
        <v>1765026.6064</v>
      </c>
      <c r="G21" s="15">
        <v>1323811.83</v>
      </c>
      <c r="H21" s="15">
        <f t="shared" si="1"/>
        <v>3088838.4364</v>
      </c>
    </row>
    <row r="22" spans="1:8" ht="12.75">
      <c r="A22" s="16">
        <v>14</v>
      </c>
      <c r="B22" s="17" t="s">
        <v>126</v>
      </c>
      <c r="C22" s="17">
        <f>'- 52 -'!C22</f>
        <v>327555510</v>
      </c>
      <c r="D22" s="17">
        <f>'- 52 -'!E22</f>
        <v>76066160</v>
      </c>
      <c r="E22" s="17">
        <f t="shared" si="0"/>
        <v>403621670</v>
      </c>
      <c r="F22" s="17">
        <v>2174968.5864</v>
      </c>
      <c r="G22" s="17">
        <v>1255091.64</v>
      </c>
      <c r="H22" s="17">
        <f t="shared" si="1"/>
        <v>3430060.2264</v>
      </c>
    </row>
    <row r="23" spans="1:8" ht="12.75">
      <c r="A23" s="14">
        <v>15</v>
      </c>
      <c r="B23" s="15" t="s">
        <v>127</v>
      </c>
      <c r="C23" s="15">
        <f>'- 52 -'!C23</f>
        <v>327999190</v>
      </c>
      <c r="D23" s="15">
        <f>'- 52 -'!E23</f>
        <v>137350680</v>
      </c>
      <c r="E23" s="15">
        <f t="shared" si="0"/>
        <v>465349870</v>
      </c>
      <c r="F23" s="15">
        <v>2177914.6216</v>
      </c>
      <c r="G23" s="15">
        <v>2266286.22</v>
      </c>
      <c r="H23" s="15">
        <f t="shared" si="1"/>
        <v>4444200.841600001</v>
      </c>
    </row>
    <row r="24" spans="1:8" ht="12.75">
      <c r="A24" s="16">
        <v>16</v>
      </c>
      <c r="B24" s="17" t="s">
        <v>128</v>
      </c>
      <c r="C24" s="17">
        <f>'- 52 -'!C24</f>
        <v>37756880</v>
      </c>
      <c r="D24" s="17">
        <f>'- 52 -'!E24</f>
        <v>24928860</v>
      </c>
      <c r="E24" s="17">
        <f t="shared" si="0"/>
        <v>62685740</v>
      </c>
      <c r="F24" s="17">
        <v>250705.6832</v>
      </c>
      <c r="G24" s="17">
        <v>411326.19</v>
      </c>
      <c r="H24" s="17">
        <f t="shared" si="1"/>
        <v>662031.8732</v>
      </c>
    </row>
    <row r="25" spans="1:8" ht="12.75">
      <c r="A25" s="14">
        <v>17</v>
      </c>
      <c r="B25" s="15" t="s">
        <v>129</v>
      </c>
      <c r="C25" s="15">
        <f>'- 52 -'!C25</f>
        <v>52877550</v>
      </c>
      <c r="D25" s="15">
        <f>'- 52 -'!E25</f>
        <v>33388240</v>
      </c>
      <c r="E25" s="15">
        <f t="shared" si="0"/>
        <v>86265790</v>
      </c>
      <c r="F25" s="15">
        <v>351106.93200000003</v>
      </c>
      <c r="G25" s="15">
        <v>550905.96</v>
      </c>
      <c r="H25" s="15">
        <f t="shared" si="1"/>
        <v>902012.892</v>
      </c>
    </row>
    <row r="26" spans="1:8" ht="12.75">
      <c r="A26" s="16">
        <v>18</v>
      </c>
      <c r="B26" s="17" t="s">
        <v>130</v>
      </c>
      <c r="C26" s="17">
        <f>'- 52 -'!C26</f>
        <v>75422670</v>
      </c>
      <c r="D26" s="17">
        <f>'- 52 -'!E26</f>
        <v>38642250</v>
      </c>
      <c r="E26" s="17">
        <f t="shared" si="0"/>
        <v>114064920</v>
      </c>
      <c r="F26" s="17">
        <v>500806.52880000003</v>
      </c>
      <c r="G26" s="17">
        <v>637597.125</v>
      </c>
      <c r="H26" s="17">
        <f t="shared" si="1"/>
        <v>1138403.6538</v>
      </c>
    </row>
    <row r="27" spans="1:8" ht="12.75">
      <c r="A27" s="14">
        <v>19</v>
      </c>
      <c r="B27" s="15" t="s">
        <v>131</v>
      </c>
      <c r="C27" s="15">
        <f>'- 52 -'!C27</f>
        <v>96792940</v>
      </c>
      <c r="D27" s="15">
        <f>'- 52 -'!E27</f>
        <v>72007970</v>
      </c>
      <c r="E27" s="15">
        <f t="shared" si="0"/>
        <v>168800910</v>
      </c>
      <c r="F27" s="15">
        <v>642705.1216</v>
      </c>
      <c r="G27" s="15">
        <v>1188131.5050000001</v>
      </c>
      <c r="H27" s="15">
        <f t="shared" si="1"/>
        <v>1830836.6266</v>
      </c>
    </row>
    <row r="28" spans="1:8" ht="12.75">
      <c r="A28" s="16">
        <v>20</v>
      </c>
      <c r="B28" s="17" t="s">
        <v>132</v>
      </c>
      <c r="C28" s="17">
        <f>'- 52 -'!C28</f>
        <v>74939990</v>
      </c>
      <c r="D28" s="17">
        <f>'- 52 -'!E28</f>
        <v>32793730</v>
      </c>
      <c r="E28" s="17">
        <f t="shared" si="0"/>
        <v>107733720</v>
      </c>
      <c r="F28" s="17">
        <v>497601.5336</v>
      </c>
      <c r="G28" s="17">
        <v>541096.545</v>
      </c>
      <c r="H28" s="17">
        <f t="shared" si="1"/>
        <v>1038698.0786000001</v>
      </c>
    </row>
    <row r="29" spans="1:8" ht="12.75">
      <c r="A29" s="14">
        <v>21</v>
      </c>
      <c r="B29" s="15" t="s">
        <v>133</v>
      </c>
      <c r="C29" s="15">
        <f>'- 52 -'!C29</f>
        <v>239393700</v>
      </c>
      <c r="D29" s="15">
        <f>'- 52 -'!E29</f>
        <v>89272380</v>
      </c>
      <c r="E29" s="15">
        <f t="shared" si="0"/>
        <v>328666080</v>
      </c>
      <c r="F29" s="15">
        <v>1589574.168</v>
      </c>
      <c r="G29" s="15">
        <v>1472994.27</v>
      </c>
      <c r="H29" s="15">
        <f t="shared" si="1"/>
        <v>3062568.438</v>
      </c>
    </row>
    <row r="30" spans="1:8" ht="12.75">
      <c r="A30" s="16">
        <v>22</v>
      </c>
      <c r="B30" s="17" t="s">
        <v>134</v>
      </c>
      <c r="C30" s="17">
        <f>'- 52 -'!C30</f>
        <v>234522720</v>
      </c>
      <c r="D30" s="17">
        <f>'- 52 -'!E30</f>
        <v>64705750</v>
      </c>
      <c r="E30" s="17">
        <f t="shared" si="0"/>
        <v>299228470</v>
      </c>
      <c r="F30" s="17">
        <v>1557230.8608</v>
      </c>
      <c r="G30" s="17">
        <v>1067644.875</v>
      </c>
      <c r="H30" s="17">
        <f t="shared" si="1"/>
        <v>2624875.7358</v>
      </c>
    </row>
    <row r="31" spans="1:8" ht="12.75">
      <c r="A31" s="14">
        <v>23</v>
      </c>
      <c r="B31" s="15" t="s">
        <v>135</v>
      </c>
      <c r="C31" s="15">
        <f>'- 52 -'!C31</f>
        <v>62667940</v>
      </c>
      <c r="D31" s="15">
        <f>'- 52 -'!E31</f>
        <v>17851030</v>
      </c>
      <c r="E31" s="15">
        <f t="shared" si="0"/>
        <v>80518970</v>
      </c>
      <c r="F31" s="15">
        <v>416115.1216</v>
      </c>
      <c r="G31" s="15">
        <v>294541.995</v>
      </c>
      <c r="H31" s="15">
        <f t="shared" si="1"/>
        <v>710657.1166000001</v>
      </c>
    </row>
    <row r="32" spans="1:8" ht="12.75">
      <c r="A32" s="16">
        <v>24</v>
      </c>
      <c r="B32" s="17" t="s">
        <v>136</v>
      </c>
      <c r="C32" s="17">
        <f>'- 52 -'!C32</f>
        <v>215708640</v>
      </c>
      <c r="D32" s="17">
        <f>'- 52 -'!E32</f>
        <v>152193000</v>
      </c>
      <c r="E32" s="17">
        <f t="shared" si="0"/>
        <v>367901640</v>
      </c>
      <c r="F32" s="17">
        <v>1432305.3696</v>
      </c>
      <c r="G32" s="17">
        <v>2511184.5</v>
      </c>
      <c r="H32" s="17">
        <f t="shared" si="1"/>
        <v>3943489.8696</v>
      </c>
    </row>
    <row r="33" spans="1:8" ht="12.75">
      <c r="A33" s="14">
        <v>25</v>
      </c>
      <c r="B33" s="15" t="s">
        <v>137</v>
      </c>
      <c r="C33" s="15">
        <f>'- 52 -'!C33</f>
        <v>85432170</v>
      </c>
      <c r="D33" s="15">
        <f>'- 52 -'!E33</f>
        <v>26547330</v>
      </c>
      <c r="E33" s="15">
        <f t="shared" si="0"/>
        <v>111979500</v>
      </c>
      <c r="F33" s="15">
        <v>567269.6088</v>
      </c>
      <c r="G33" s="15">
        <v>438030.945</v>
      </c>
      <c r="H33" s="15">
        <f t="shared" si="1"/>
        <v>1005300.5538000001</v>
      </c>
    </row>
    <row r="34" spans="1:8" ht="12.75">
      <c r="A34" s="16">
        <v>26</v>
      </c>
      <c r="B34" s="17" t="s">
        <v>138</v>
      </c>
      <c r="C34" s="17">
        <f>'- 52 -'!C34</f>
        <v>156169920</v>
      </c>
      <c r="D34" s="17">
        <f>'- 52 -'!E34</f>
        <v>76551330</v>
      </c>
      <c r="E34" s="17">
        <f t="shared" si="0"/>
        <v>232721250</v>
      </c>
      <c r="F34" s="17">
        <v>1036968.2688</v>
      </c>
      <c r="G34" s="17">
        <v>1263096.945</v>
      </c>
      <c r="H34" s="17">
        <f t="shared" si="1"/>
        <v>2300065.2138</v>
      </c>
    </row>
    <row r="35" spans="1:8" ht="12.75">
      <c r="A35" s="14">
        <v>28</v>
      </c>
      <c r="B35" s="15" t="s">
        <v>139</v>
      </c>
      <c r="C35" s="15">
        <f>'- 52 -'!C35</f>
        <v>33969030</v>
      </c>
      <c r="D35" s="15">
        <f>'- 52 -'!E35</f>
        <v>23519470</v>
      </c>
      <c r="E35" s="15">
        <f t="shared" si="0"/>
        <v>57488500</v>
      </c>
      <c r="F35" s="15">
        <v>225554.3592</v>
      </c>
      <c r="G35" s="15">
        <v>388071.255</v>
      </c>
      <c r="H35" s="15">
        <f t="shared" si="1"/>
        <v>613625.6142</v>
      </c>
    </row>
    <row r="36" spans="1:8" ht="12.75">
      <c r="A36" s="16">
        <v>30</v>
      </c>
      <c r="B36" s="17" t="s">
        <v>140</v>
      </c>
      <c r="C36" s="17">
        <f>'- 52 -'!C36</f>
        <v>49096630</v>
      </c>
      <c r="D36" s="17">
        <f>'- 52 -'!E36</f>
        <v>45867060</v>
      </c>
      <c r="E36" s="17">
        <f t="shared" si="0"/>
        <v>94963690</v>
      </c>
      <c r="F36" s="17">
        <v>326001.62320000003</v>
      </c>
      <c r="G36" s="17">
        <v>756806.49</v>
      </c>
      <c r="H36" s="17">
        <f t="shared" si="1"/>
        <v>1082808.1132</v>
      </c>
    </row>
    <row r="37" spans="1:8" ht="12.75">
      <c r="A37" s="14">
        <v>31</v>
      </c>
      <c r="B37" s="15" t="s">
        <v>141</v>
      </c>
      <c r="C37" s="15">
        <f>'- 52 -'!C37</f>
        <v>90171650</v>
      </c>
      <c r="D37" s="15">
        <f>'- 52 -'!E37</f>
        <v>74969370</v>
      </c>
      <c r="E37" s="15">
        <f t="shared" si="0"/>
        <v>165141020</v>
      </c>
      <c r="F37" s="15">
        <v>598739.756</v>
      </c>
      <c r="G37" s="15">
        <v>1236994.605</v>
      </c>
      <c r="H37" s="15">
        <f t="shared" si="1"/>
        <v>1835734.361</v>
      </c>
    </row>
    <row r="38" spans="1:8" ht="12.75">
      <c r="A38" s="16">
        <v>32</v>
      </c>
      <c r="B38" s="17" t="s">
        <v>142</v>
      </c>
      <c r="C38" s="17">
        <f>'- 52 -'!C38</f>
        <v>38924000</v>
      </c>
      <c r="D38" s="17">
        <f>'- 52 -'!E38</f>
        <v>10221860</v>
      </c>
      <c r="E38" s="17">
        <f t="shared" si="0"/>
        <v>49145860</v>
      </c>
      <c r="F38" s="17">
        <v>258455.36</v>
      </c>
      <c r="G38" s="17">
        <v>168660.69</v>
      </c>
      <c r="H38" s="17">
        <f t="shared" si="1"/>
        <v>427116.05</v>
      </c>
    </row>
    <row r="39" spans="1:8" ht="12.75">
      <c r="A39" s="14">
        <v>33</v>
      </c>
      <c r="B39" s="15" t="s">
        <v>143</v>
      </c>
      <c r="C39" s="15">
        <f>'- 52 -'!C39</f>
        <v>124399310</v>
      </c>
      <c r="D39" s="15">
        <f>'- 52 -'!E39</f>
        <v>46495100</v>
      </c>
      <c r="E39" s="15">
        <f t="shared" si="0"/>
        <v>170894410</v>
      </c>
      <c r="F39" s="15">
        <v>826011.4184</v>
      </c>
      <c r="G39" s="15">
        <v>767169.15</v>
      </c>
      <c r="H39" s="15">
        <f t="shared" si="1"/>
        <v>1593180.5684</v>
      </c>
    </row>
    <row r="40" spans="1:8" ht="12.75">
      <c r="A40" s="16">
        <v>34</v>
      </c>
      <c r="B40" s="17" t="s">
        <v>144</v>
      </c>
      <c r="C40" s="17">
        <f>'- 52 -'!C40</f>
        <v>20834040</v>
      </c>
      <c r="D40" s="17">
        <f>'- 52 -'!E40</f>
        <v>2715510</v>
      </c>
      <c r="E40" s="17">
        <f t="shared" si="0"/>
        <v>23549550</v>
      </c>
      <c r="F40" s="17">
        <v>138338.0256</v>
      </c>
      <c r="G40" s="17">
        <v>44805.915</v>
      </c>
      <c r="H40" s="17">
        <f t="shared" si="1"/>
        <v>183143.9406</v>
      </c>
    </row>
    <row r="41" spans="1:8" ht="12.75">
      <c r="A41" s="14">
        <v>35</v>
      </c>
      <c r="B41" s="15" t="s">
        <v>145</v>
      </c>
      <c r="C41" s="15">
        <f>'- 52 -'!C41</f>
        <v>96259880</v>
      </c>
      <c r="D41" s="15">
        <f>'- 52 -'!E41</f>
        <v>47350020</v>
      </c>
      <c r="E41" s="15">
        <f t="shared" si="0"/>
        <v>143609900</v>
      </c>
      <c r="F41" s="15">
        <v>639165.6032</v>
      </c>
      <c r="G41" s="15">
        <v>781275.33</v>
      </c>
      <c r="H41" s="15">
        <f t="shared" si="1"/>
        <v>1420440.9331999999</v>
      </c>
    </row>
    <row r="42" spans="1:8" ht="12.75">
      <c r="A42" s="16">
        <v>36</v>
      </c>
      <c r="B42" s="17" t="s">
        <v>146</v>
      </c>
      <c r="C42" s="17">
        <f>'- 52 -'!C42</f>
        <v>60147080</v>
      </c>
      <c r="D42" s="17">
        <f>'- 52 -'!E42</f>
        <v>21507200</v>
      </c>
      <c r="E42" s="17">
        <f t="shared" si="0"/>
        <v>81654280</v>
      </c>
      <c r="F42" s="17">
        <v>399376.6112</v>
      </c>
      <c r="G42" s="17">
        <v>354868.8</v>
      </c>
      <c r="H42" s="17">
        <f t="shared" si="1"/>
        <v>754245.4112</v>
      </c>
    </row>
    <row r="43" spans="1:8" ht="12.75">
      <c r="A43" s="14">
        <v>37</v>
      </c>
      <c r="B43" s="15" t="s">
        <v>147</v>
      </c>
      <c r="C43" s="15">
        <f>'- 52 -'!C43</f>
        <v>46342980</v>
      </c>
      <c r="D43" s="15">
        <f>'- 52 -'!E43</f>
        <v>25365690</v>
      </c>
      <c r="E43" s="15">
        <f t="shared" si="0"/>
        <v>71708670</v>
      </c>
      <c r="F43" s="15">
        <v>307717.3872</v>
      </c>
      <c r="G43" s="15">
        <v>418533.885</v>
      </c>
      <c r="H43" s="15">
        <f t="shared" si="1"/>
        <v>726251.2722</v>
      </c>
    </row>
    <row r="44" spans="1:8" ht="12.75">
      <c r="A44" s="16">
        <v>38</v>
      </c>
      <c r="B44" s="17" t="s">
        <v>148</v>
      </c>
      <c r="C44" s="17">
        <f>'- 52 -'!C44</f>
        <v>45534030</v>
      </c>
      <c r="D44" s="17">
        <f>'- 52 -'!E44</f>
        <v>72303690</v>
      </c>
      <c r="E44" s="17">
        <f t="shared" si="0"/>
        <v>117837720</v>
      </c>
      <c r="F44" s="17">
        <v>302345.9592</v>
      </c>
      <c r="G44" s="17">
        <v>1193010.885</v>
      </c>
      <c r="H44" s="17">
        <f t="shared" si="1"/>
        <v>1495356.8442</v>
      </c>
    </row>
    <row r="45" spans="1:8" ht="12.75">
      <c r="A45" s="14">
        <v>39</v>
      </c>
      <c r="B45" s="15" t="s">
        <v>149</v>
      </c>
      <c r="C45" s="15">
        <f>'- 52 -'!C45</f>
        <v>131054740</v>
      </c>
      <c r="D45" s="15">
        <f>'- 52 -'!E45</f>
        <v>83714950</v>
      </c>
      <c r="E45" s="15">
        <f t="shared" si="0"/>
        <v>214769690</v>
      </c>
      <c r="F45" s="15">
        <v>870203.4736</v>
      </c>
      <c r="G45" s="15">
        <v>1381296.675</v>
      </c>
      <c r="H45" s="15">
        <f t="shared" si="1"/>
        <v>2251500.1486</v>
      </c>
    </row>
    <row r="46" spans="1:8" ht="12.75">
      <c r="A46" s="16">
        <v>40</v>
      </c>
      <c r="B46" s="17" t="s">
        <v>150</v>
      </c>
      <c r="C46" s="17">
        <f>'- 52 -'!C46</f>
        <v>615893450</v>
      </c>
      <c r="D46" s="17">
        <f>'- 52 -'!E46</f>
        <v>389542510</v>
      </c>
      <c r="E46" s="17">
        <f t="shared" si="0"/>
        <v>1005435960</v>
      </c>
      <c r="F46" s="17">
        <v>4089532.508</v>
      </c>
      <c r="G46" s="17">
        <v>6427451.415</v>
      </c>
      <c r="H46" s="17">
        <f t="shared" si="1"/>
        <v>10516983.923</v>
      </c>
    </row>
    <row r="47" spans="1:8" ht="12.75">
      <c r="A47" s="14">
        <v>41</v>
      </c>
      <c r="B47" s="15" t="s">
        <v>151</v>
      </c>
      <c r="C47" s="15">
        <f>'- 52 -'!C47</f>
        <v>69782290</v>
      </c>
      <c r="D47" s="15">
        <f>'- 52 -'!E47</f>
        <v>106258760</v>
      </c>
      <c r="E47" s="15">
        <f t="shared" si="0"/>
        <v>176041050</v>
      </c>
      <c r="F47" s="15">
        <v>463354.4056</v>
      </c>
      <c r="G47" s="15">
        <v>1753269.54</v>
      </c>
      <c r="H47" s="15">
        <f t="shared" si="1"/>
        <v>2216623.9456</v>
      </c>
    </row>
    <row r="48" spans="1:8" ht="12.75">
      <c r="A48" s="16">
        <v>42</v>
      </c>
      <c r="B48" s="17" t="s">
        <v>152</v>
      </c>
      <c r="C48" s="17">
        <f>'- 52 -'!C48</f>
        <v>49590100</v>
      </c>
      <c r="D48" s="17">
        <f>'- 52 -'!E48</f>
        <v>47696770</v>
      </c>
      <c r="E48" s="17">
        <f t="shared" si="0"/>
        <v>97286870</v>
      </c>
      <c r="F48" s="17">
        <v>329278.264</v>
      </c>
      <c r="G48" s="17">
        <v>786996.7050000001</v>
      </c>
      <c r="H48" s="17">
        <f t="shared" si="1"/>
        <v>1116274.969</v>
      </c>
    </row>
    <row r="49" spans="1:8" ht="12.75">
      <c r="A49" s="14">
        <v>43</v>
      </c>
      <c r="B49" s="15" t="s">
        <v>153</v>
      </c>
      <c r="C49" s="15">
        <f>'- 52 -'!C49</f>
        <v>37744870</v>
      </c>
      <c r="D49" s="15">
        <f>'- 52 -'!E49</f>
        <v>28660840</v>
      </c>
      <c r="E49" s="15">
        <f t="shared" si="0"/>
        <v>66405710</v>
      </c>
      <c r="F49" s="15">
        <v>250625.9368</v>
      </c>
      <c r="G49" s="15">
        <v>472903.86</v>
      </c>
      <c r="H49" s="15">
        <f t="shared" si="1"/>
        <v>723529.7968</v>
      </c>
    </row>
    <row r="50" spans="1:8" ht="12.75">
      <c r="A50" s="16">
        <v>44</v>
      </c>
      <c r="B50" s="17" t="s">
        <v>154</v>
      </c>
      <c r="C50" s="17">
        <f>'- 52 -'!C50</f>
        <v>68492010</v>
      </c>
      <c r="D50" s="17">
        <f>'- 52 -'!E50</f>
        <v>32709330</v>
      </c>
      <c r="E50" s="17">
        <f t="shared" si="0"/>
        <v>101201340</v>
      </c>
      <c r="F50" s="17">
        <v>454786.9464</v>
      </c>
      <c r="G50" s="17">
        <v>539703.9450000001</v>
      </c>
      <c r="H50" s="17">
        <f t="shared" si="1"/>
        <v>994490.8914000001</v>
      </c>
    </row>
    <row r="51" spans="1:8" ht="12.75">
      <c r="A51" s="14">
        <v>45</v>
      </c>
      <c r="B51" s="15" t="s">
        <v>155</v>
      </c>
      <c r="C51" s="15">
        <f>'- 52 -'!C51</f>
        <v>76525420</v>
      </c>
      <c r="D51" s="15">
        <f>'- 52 -'!E51</f>
        <v>58621770</v>
      </c>
      <c r="E51" s="15">
        <f t="shared" si="0"/>
        <v>135147190</v>
      </c>
      <c r="F51" s="15">
        <v>508128.7888</v>
      </c>
      <c r="G51" s="15">
        <v>967259.2050000001</v>
      </c>
      <c r="H51" s="15">
        <f t="shared" si="1"/>
        <v>1475387.9938</v>
      </c>
    </row>
    <row r="52" spans="1:8" ht="12.75">
      <c r="A52" s="16">
        <v>46</v>
      </c>
      <c r="B52" s="17" t="s">
        <v>156</v>
      </c>
      <c r="C52" s="17">
        <f>'- 52 -'!C52</f>
        <v>50788040</v>
      </c>
      <c r="D52" s="17">
        <f>'- 52 -'!E52</f>
        <v>19925820</v>
      </c>
      <c r="E52" s="17">
        <f t="shared" si="0"/>
        <v>70713860</v>
      </c>
      <c r="F52" s="17">
        <v>337232.5856</v>
      </c>
      <c r="G52" s="17">
        <v>328776.03</v>
      </c>
      <c r="H52" s="17">
        <f t="shared" si="1"/>
        <v>666008.6156</v>
      </c>
    </row>
    <row r="53" spans="1:8" ht="12.75">
      <c r="A53" s="14">
        <v>47</v>
      </c>
      <c r="B53" s="15" t="s">
        <v>157</v>
      </c>
      <c r="C53" s="15">
        <f>'- 52 -'!C53</f>
        <v>103030210</v>
      </c>
      <c r="D53" s="15">
        <f>'- 52 -'!E53</f>
        <v>41986850</v>
      </c>
      <c r="E53" s="15">
        <f t="shared" si="0"/>
        <v>145017060</v>
      </c>
      <c r="F53" s="15">
        <v>684120.5944000001</v>
      </c>
      <c r="G53" s="15">
        <v>692783.025</v>
      </c>
      <c r="H53" s="15">
        <f t="shared" si="1"/>
        <v>1376903.6194000002</v>
      </c>
    </row>
    <row r="54" spans="1:8" ht="12.75">
      <c r="A54" s="16">
        <v>48</v>
      </c>
      <c r="B54" s="17" t="s">
        <v>158</v>
      </c>
      <c r="C54" s="17">
        <f>'- 52 -'!C54</f>
        <v>34621120</v>
      </c>
      <c r="D54" s="17">
        <f>'- 52 -'!E54</f>
        <v>23474660</v>
      </c>
      <c r="E54" s="17">
        <f t="shared" si="0"/>
        <v>58095780</v>
      </c>
      <c r="F54" s="17">
        <v>229884.2368</v>
      </c>
      <c r="G54" s="17">
        <v>387331.89</v>
      </c>
      <c r="H54" s="17">
        <f t="shared" si="1"/>
        <v>617216.1268</v>
      </c>
    </row>
    <row r="55" spans="1:8" ht="12.75">
      <c r="A55" s="14">
        <v>49</v>
      </c>
      <c r="B55" s="15" t="s">
        <v>159</v>
      </c>
      <c r="C55" s="15">
        <f>'- 52 -'!C55</f>
        <v>0</v>
      </c>
      <c r="D55" s="15">
        <f>'- 52 -'!E55</f>
        <v>0</v>
      </c>
      <c r="E55" s="15">
        <f t="shared" si="0"/>
        <v>0</v>
      </c>
      <c r="F55" s="15">
        <v>0</v>
      </c>
      <c r="G55" s="15">
        <v>0</v>
      </c>
      <c r="H55" s="15">
        <f t="shared" si="1"/>
        <v>0</v>
      </c>
    </row>
    <row r="56" spans="1:8" ht="12.75">
      <c r="A56" s="16">
        <v>50</v>
      </c>
      <c r="B56" s="17" t="s">
        <v>340</v>
      </c>
      <c r="C56" s="17">
        <f>'- 52 -'!C56</f>
        <v>72625850</v>
      </c>
      <c r="D56" s="17">
        <f>'- 52 -'!E56</f>
        <v>44710220</v>
      </c>
      <c r="E56" s="17">
        <f t="shared" si="0"/>
        <v>117336070</v>
      </c>
      <c r="F56" s="17">
        <v>482235.64400000003</v>
      </c>
      <c r="G56" s="17">
        <v>737718.63</v>
      </c>
      <c r="H56" s="17">
        <f t="shared" si="1"/>
        <v>1219954.274</v>
      </c>
    </row>
    <row r="57" spans="1:8" ht="12.75">
      <c r="A57" s="14">
        <v>2264</v>
      </c>
      <c r="B57" s="15" t="s">
        <v>160</v>
      </c>
      <c r="C57" s="15">
        <f>'- 52 -'!C57</f>
        <v>7006420</v>
      </c>
      <c r="D57" s="15">
        <f>'- 52 -'!E57</f>
        <v>13843400</v>
      </c>
      <c r="E57" s="15">
        <f t="shared" si="0"/>
        <v>20849820</v>
      </c>
      <c r="F57" s="15">
        <v>46522.6288</v>
      </c>
      <c r="G57" s="15">
        <v>228416.1</v>
      </c>
      <c r="H57" s="15">
        <f t="shared" si="1"/>
        <v>274938.7288</v>
      </c>
    </row>
    <row r="58" spans="1:8" ht="12.75">
      <c r="A58" s="16">
        <v>2309</v>
      </c>
      <c r="B58" s="17" t="s">
        <v>161</v>
      </c>
      <c r="C58" s="17">
        <f>'- 52 -'!C58</f>
        <v>9087990</v>
      </c>
      <c r="D58" s="17">
        <f>'- 52 -'!E58</f>
        <v>2406260</v>
      </c>
      <c r="E58" s="17">
        <f t="shared" si="0"/>
        <v>11494250</v>
      </c>
      <c r="F58" s="17">
        <v>60344.253600000004</v>
      </c>
      <c r="G58" s="17">
        <v>39703.29</v>
      </c>
      <c r="H58" s="17">
        <f t="shared" si="1"/>
        <v>100047.5436</v>
      </c>
    </row>
    <row r="59" spans="1:8" ht="12.75">
      <c r="A59" s="14">
        <v>2312</v>
      </c>
      <c r="B59" s="15" t="s">
        <v>162</v>
      </c>
      <c r="C59" s="15">
        <f>'- 52 -'!C59</f>
        <v>1211300</v>
      </c>
      <c r="D59" s="15">
        <f>'- 52 -'!E59</f>
        <v>1118320</v>
      </c>
      <c r="E59" s="15">
        <f t="shared" si="0"/>
        <v>2329620</v>
      </c>
      <c r="F59" s="15">
        <v>8043.032</v>
      </c>
      <c r="G59" s="15">
        <v>18452.28</v>
      </c>
      <c r="H59" s="15">
        <f t="shared" si="1"/>
        <v>26495.311999999998</v>
      </c>
    </row>
    <row r="60" spans="1:8" ht="12.75">
      <c r="A60" s="16">
        <v>2355</v>
      </c>
      <c r="B60" s="17" t="s">
        <v>163</v>
      </c>
      <c r="C60" s="17">
        <f>'- 52 -'!C60</f>
        <v>129750670</v>
      </c>
      <c r="D60" s="17">
        <f>'- 52 -'!E60</f>
        <v>55124760</v>
      </c>
      <c r="E60" s="17">
        <f t="shared" si="0"/>
        <v>184875430</v>
      </c>
      <c r="F60" s="17">
        <v>861544.4488</v>
      </c>
      <c r="G60" s="17">
        <v>909558.54</v>
      </c>
      <c r="H60" s="17">
        <f t="shared" si="1"/>
        <v>1771102.9888</v>
      </c>
    </row>
    <row r="61" spans="1:8" ht="12.75">
      <c r="A61" s="14">
        <v>2439</v>
      </c>
      <c r="B61" s="15" t="s">
        <v>164</v>
      </c>
      <c r="C61" s="15">
        <f>'- 52 -'!C61</f>
        <v>6314660</v>
      </c>
      <c r="D61" s="15">
        <f>'- 52 -'!E61</f>
        <v>4389610</v>
      </c>
      <c r="E61" s="15">
        <f t="shared" si="0"/>
        <v>10704270</v>
      </c>
      <c r="F61" s="15">
        <v>41929.3424</v>
      </c>
      <c r="G61" s="15">
        <v>72428.565</v>
      </c>
      <c r="H61" s="15">
        <f t="shared" si="1"/>
        <v>114357.9074</v>
      </c>
    </row>
    <row r="62" spans="1:8" ht="12.75">
      <c r="A62" s="16">
        <v>2460</v>
      </c>
      <c r="B62" s="17" t="s">
        <v>165</v>
      </c>
      <c r="C62" s="17">
        <f>'- 52 -'!C62</f>
        <v>6861660</v>
      </c>
      <c r="D62" s="17">
        <f>'- 52 -'!E62</f>
        <v>6917680</v>
      </c>
      <c r="E62" s="17">
        <f t="shared" si="0"/>
        <v>13779340</v>
      </c>
      <c r="F62" s="17">
        <v>45561.4224</v>
      </c>
      <c r="G62" s="17">
        <v>114141.72</v>
      </c>
      <c r="H62" s="17">
        <f t="shared" si="1"/>
        <v>159703.1424</v>
      </c>
    </row>
    <row r="63" spans="1:8" ht="12.75">
      <c r="A63" s="14">
        <v>3000</v>
      </c>
      <c r="B63" s="15" t="s">
        <v>363</v>
      </c>
      <c r="C63" s="15">
        <f>'- 52 -'!C63</f>
        <v>0</v>
      </c>
      <c r="D63" s="15">
        <f>'- 52 -'!E63</f>
        <v>0</v>
      </c>
      <c r="E63" s="15"/>
      <c r="F63" s="15"/>
      <c r="G63" s="15"/>
      <c r="H63" s="15"/>
    </row>
    <row r="64" spans="1:2" ht="4.5" customHeight="1">
      <c r="A64" s="18"/>
      <c r="B64" s="18"/>
    </row>
    <row r="65" spans="1:8" ht="12.75">
      <c r="A65" s="20"/>
      <c r="B65" s="21" t="s">
        <v>166</v>
      </c>
      <c r="C65" s="21">
        <f aca="true" t="shared" si="2" ref="C65:H65">SUM(C11:C63)</f>
        <v>13378291930</v>
      </c>
      <c r="D65" s="21">
        <f t="shared" si="2"/>
        <v>6813244330</v>
      </c>
      <c r="E65" s="21">
        <f t="shared" si="2"/>
        <v>20191536260</v>
      </c>
      <c r="F65" s="21">
        <f t="shared" si="2"/>
        <v>88831858.41520002</v>
      </c>
      <c r="G65" s="21">
        <f t="shared" si="2"/>
        <v>112418531.44500001</v>
      </c>
      <c r="H65" s="21">
        <f t="shared" si="2"/>
        <v>201250389.86019996</v>
      </c>
    </row>
    <row r="66" spans="1:2" ht="4.5" customHeight="1">
      <c r="A66" s="18"/>
      <c r="B66" s="18"/>
    </row>
    <row r="67" spans="1:8" ht="12.75">
      <c r="A67"/>
      <c r="B67" s="17" t="s">
        <v>246</v>
      </c>
      <c r="C67" s="100">
        <f>'- 52 -'!C67</f>
        <v>17332120</v>
      </c>
      <c r="D67" s="100">
        <f>'- 52 -'!E67</f>
        <v>1348600</v>
      </c>
      <c r="E67" s="100">
        <f>SUM(C67:D67)</f>
        <v>18680720</v>
      </c>
      <c r="F67" s="100">
        <v>0</v>
      </c>
      <c r="G67" s="100">
        <v>0</v>
      </c>
      <c r="H67" s="100">
        <f>SUM(F67:G67)</f>
        <v>0</v>
      </c>
    </row>
    <row r="68" spans="1:8" ht="12.75">
      <c r="A68"/>
      <c r="B68" s="15" t="s">
        <v>247</v>
      </c>
      <c r="C68" s="173">
        <f>'- 52 -'!C68</f>
        <v>6872640</v>
      </c>
      <c r="D68" s="173">
        <f>'- 52 -'!E68</f>
        <v>26403690</v>
      </c>
      <c r="E68" s="98">
        <f>SUM(C68:D68)</f>
        <v>33276330</v>
      </c>
      <c r="F68" s="98">
        <v>45634.3296</v>
      </c>
      <c r="G68" s="98">
        <v>435660.885</v>
      </c>
      <c r="H68" s="98">
        <f>SUM(F68:G68)</f>
        <v>481295.2146</v>
      </c>
    </row>
    <row r="69" spans="3:8" ht="6.75" customHeight="1">
      <c r="C69" s="18"/>
      <c r="D69" s="18"/>
      <c r="E69" s="18"/>
      <c r="F69" s="18"/>
      <c r="G69" s="18"/>
      <c r="H69" s="18"/>
    </row>
    <row r="70" spans="1:8" ht="12" customHeight="1">
      <c r="A70" s="7"/>
      <c r="B70" s="1" t="s">
        <v>248</v>
      </c>
      <c r="C70" s="21">
        <f aca="true" t="shared" si="3" ref="C70:H70">SUM(C65,C67:C68)</f>
        <v>13402496690</v>
      </c>
      <c r="D70" s="21">
        <f t="shared" si="3"/>
        <v>6840996620</v>
      </c>
      <c r="E70" s="21">
        <f t="shared" si="3"/>
        <v>20243493310</v>
      </c>
      <c r="F70" s="21">
        <f t="shared" si="3"/>
        <v>88877492.74480003</v>
      </c>
      <c r="G70" s="21">
        <f t="shared" si="3"/>
        <v>112854192.33000001</v>
      </c>
      <c r="H70" s="21">
        <f t="shared" si="3"/>
        <v>201731685.07479995</v>
      </c>
    </row>
    <row r="71" spans="1:8" ht="12" customHeight="1">
      <c r="A71" s="7"/>
      <c r="B71" s="7"/>
      <c r="C71" s="18"/>
      <c r="D71" s="18"/>
      <c r="E71" s="18"/>
      <c r="F71" s="18"/>
      <c r="G71" s="18"/>
      <c r="H71" s="18"/>
    </row>
    <row r="72" spans="1:8" ht="12" customHeight="1">
      <c r="A72" s="396" t="s">
        <v>351</v>
      </c>
      <c r="B72" s="359" t="s">
        <v>479</v>
      </c>
      <c r="C72" s="123"/>
      <c r="D72" s="123"/>
      <c r="E72" s="123"/>
      <c r="F72" s="123"/>
      <c r="G72" s="123"/>
      <c r="H72" s="123"/>
    </row>
    <row r="73" spans="1:8" ht="12" customHeight="1">
      <c r="A73" s="7"/>
      <c r="B73" s="359" t="s">
        <v>345</v>
      </c>
      <c r="C73" s="123"/>
      <c r="D73" s="123"/>
      <c r="E73" s="123"/>
      <c r="F73" s="123"/>
      <c r="G73" s="123"/>
      <c r="H73" s="123"/>
    </row>
    <row r="74" spans="1:8" ht="12" customHeight="1">
      <c r="A74" s="7"/>
      <c r="B74" s="7"/>
      <c r="C74" s="123"/>
      <c r="D74" s="123"/>
      <c r="E74" s="123"/>
      <c r="F74" s="123"/>
      <c r="G74" s="123"/>
      <c r="H74" s="123"/>
    </row>
    <row r="75" spans="3:8" ht="12" customHeight="1">
      <c r="C75" s="129"/>
      <c r="D75" s="174"/>
      <c r="E75" s="174"/>
      <c r="F75" s="174"/>
      <c r="G75" s="174"/>
      <c r="H75" s="174"/>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3">
    <pageSetUpPr fitToPage="1"/>
  </sheetPr>
  <dimension ref="A1:L74"/>
  <sheetViews>
    <sheetView showGridLines="0" showZeros="0" workbookViewId="0" topLeftCell="A1">
      <selection activeCell="A1" sqref="A1"/>
    </sheetView>
  </sheetViews>
  <sheetFormatPr defaultColWidth="15.83203125" defaultRowHeight="12"/>
  <cols>
    <col min="1" max="1" width="6.83203125" style="82" customWidth="1"/>
    <col min="2" max="2" width="34.83203125" style="82" customWidth="1"/>
    <col min="3" max="3" width="16.83203125" style="82" customWidth="1"/>
    <col min="4" max="4" width="15.83203125" style="82" customWidth="1"/>
    <col min="5" max="6" width="16.83203125" style="82" customWidth="1"/>
    <col min="7" max="16384" width="15.83203125" style="82" customWidth="1"/>
  </cols>
  <sheetData>
    <row r="1" spans="1:2" ht="6.75" customHeight="1">
      <c r="A1" s="18"/>
      <c r="B1" s="80"/>
    </row>
    <row r="2" spans="1:8" ht="12.75">
      <c r="A2" s="12"/>
      <c r="B2" s="106"/>
      <c r="C2" s="107" t="s">
        <v>172</v>
      </c>
      <c r="D2" s="107"/>
      <c r="E2" s="107"/>
      <c r="F2" s="107"/>
      <c r="G2" s="107"/>
      <c r="H2" s="107"/>
    </row>
    <row r="3" spans="1:8" ht="12.75">
      <c r="A3" s="13"/>
      <c r="B3" s="109"/>
      <c r="C3" s="140" t="str">
        <f>TAXYEAR</f>
        <v>FOR THE 2002 TAXATION YEAR</v>
      </c>
      <c r="D3" s="140"/>
      <c r="E3" s="140"/>
      <c r="F3" s="152"/>
      <c r="G3" s="152"/>
      <c r="H3" s="140"/>
    </row>
    <row r="4" spans="1:8" ht="12.75">
      <c r="A4" s="11"/>
      <c r="B4"/>
      <c r="C4" s="142"/>
      <c r="D4" s="142"/>
      <c r="E4" s="142"/>
      <c r="F4" s="153"/>
      <c r="G4" s="153"/>
      <c r="H4" s="153"/>
    </row>
    <row r="5" spans="1:8" ht="12.75">
      <c r="A5" s="11"/>
      <c r="C5" s="57"/>
      <c r="D5" s="142"/>
      <c r="E5" s="142"/>
      <c r="F5" s="142"/>
      <c r="G5" s="142"/>
      <c r="H5" s="142"/>
    </row>
    <row r="6" spans="1:9" ht="12.75">
      <c r="A6" s="11"/>
      <c r="C6" s="154" t="s">
        <v>182</v>
      </c>
      <c r="D6" s="155"/>
      <c r="E6" s="155"/>
      <c r="F6" s="156"/>
      <c r="G6" s="142"/>
      <c r="H6" s="142"/>
      <c r="I6" s="104" t="s">
        <v>224</v>
      </c>
    </row>
    <row r="7" spans="1:9" ht="12.75">
      <c r="A7" s="18"/>
      <c r="C7" s="157" t="s">
        <v>195</v>
      </c>
      <c r="D7" s="157" t="s">
        <v>196</v>
      </c>
      <c r="E7" s="158"/>
      <c r="F7" s="143"/>
      <c r="G7" s="159"/>
      <c r="H7" s="143" t="s">
        <v>197</v>
      </c>
      <c r="I7" s="104" t="s">
        <v>211</v>
      </c>
    </row>
    <row r="8" spans="1:9" ht="12.75">
      <c r="A8" s="94"/>
      <c r="B8" s="46"/>
      <c r="C8" s="160" t="s">
        <v>221</v>
      </c>
      <c r="D8" s="160" t="s">
        <v>222</v>
      </c>
      <c r="E8" s="161" t="s">
        <v>3</v>
      </c>
      <c r="F8" s="162"/>
      <c r="G8" s="145" t="s">
        <v>197</v>
      </c>
      <c r="H8" s="145" t="s">
        <v>223</v>
      </c>
      <c r="I8" s="104" t="s">
        <v>385</v>
      </c>
    </row>
    <row r="9" spans="1:9" ht="16.5">
      <c r="A9" s="52" t="s">
        <v>100</v>
      </c>
      <c r="B9" s="53" t="s">
        <v>101</v>
      </c>
      <c r="C9" s="163" t="s">
        <v>236</v>
      </c>
      <c r="D9" s="163" t="s">
        <v>233</v>
      </c>
      <c r="E9" s="163" t="s">
        <v>237</v>
      </c>
      <c r="F9" s="147" t="s">
        <v>69</v>
      </c>
      <c r="G9" s="147" t="s">
        <v>223</v>
      </c>
      <c r="H9" s="147" t="s">
        <v>407</v>
      </c>
      <c r="I9" s="104" t="s">
        <v>386</v>
      </c>
    </row>
    <row r="10" spans="1:8" ht="4.5" customHeight="1">
      <c r="A10" s="77"/>
      <c r="B10" s="77"/>
      <c r="C10" s="148"/>
      <c r="D10" s="164"/>
      <c r="E10" s="148"/>
      <c r="F10" s="148"/>
      <c r="G10" s="164"/>
      <c r="H10" s="164"/>
    </row>
    <row r="11" spans="1:12" ht="12.75">
      <c r="A11" s="375">
        <v>1</v>
      </c>
      <c r="B11" s="15" t="s">
        <v>115</v>
      </c>
      <c r="C11" s="15">
        <v>1971764720</v>
      </c>
      <c r="D11" s="15">
        <v>1050100</v>
      </c>
      <c r="E11" s="15">
        <v>2065233120</v>
      </c>
      <c r="F11" s="15">
        <f aca="true" t="shared" si="0" ref="F11:F62">SUM(C11:E11)</f>
        <v>4038047940</v>
      </c>
      <c r="G11" s="15">
        <f>'- 54 -'!D11</f>
        <v>107748572</v>
      </c>
      <c r="H11" s="348">
        <f aca="true" t="shared" si="1" ref="H11:H62">G11/F11*1000</f>
        <v>26.683331550541226</v>
      </c>
      <c r="J11" s="325">
        <v>1</v>
      </c>
      <c r="K11" s="165">
        <f>H11</f>
        <v>26.683331550541226</v>
      </c>
      <c r="L11" s="82">
        <f>G11-'- 54 -'!D11</f>
        <v>0</v>
      </c>
    </row>
    <row r="12" spans="1:12" ht="12.75">
      <c r="A12" s="376">
        <v>2</v>
      </c>
      <c r="B12" s="17" t="s">
        <v>116</v>
      </c>
      <c r="C12" s="17">
        <v>901225270</v>
      </c>
      <c r="D12" s="17">
        <v>5652690</v>
      </c>
      <c r="E12" s="17">
        <v>662160960</v>
      </c>
      <c r="F12" s="17">
        <f t="shared" si="0"/>
        <v>1569038920</v>
      </c>
      <c r="G12" s="17">
        <f>'- 54 -'!D12</f>
        <v>27188910</v>
      </c>
      <c r="H12" s="349">
        <f t="shared" si="1"/>
        <v>17.32838469041928</v>
      </c>
      <c r="J12" s="325">
        <v>2</v>
      </c>
      <c r="K12" s="165">
        <f aca="true" t="shared" si="2" ref="K12:K54">H12</f>
        <v>17.32838469041928</v>
      </c>
      <c r="L12" s="409">
        <f>G12-'- 54 -'!D12</f>
        <v>0</v>
      </c>
    </row>
    <row r="13" spans="1:12" ht="12.75">
      <c r="A13" s="375">
        <v>3</v>
      </c>
      <c r="B13" s="15" t="s">
        <v>117</v>
      </c>
      <c r="C13" s="15">
        <v>879268290</v>
      </c>
      <c r="D13" s="15">
        <v>4092240</v>
      </c>
      <c r="E13" s="15">
        <v>128544520</v>
      </c>
      <c r="F13" s="15">
        <f t="shared" si="0"/>
        <v>1011905050</v>
      </c>
      <c r="G13" s="15">
        <f>'- 54 -'!D13</f>
        <v>22983747</v>
      </c>
      <c r="H13" s="348">
        <f t="shared" si="1"/>
        <v>22.713343509848084</v>
      </c>
      <c r="J13" s="325">
        <v>3</v>
      </c>
      <c r="K13" s="165">
        <f t="shared" si="2"/>
        <v>22.713343509848084</v>
      </c>
      <c r="L13" s="82">
        <f>G13-'- 54 -'!D13</f>
        <v>0</v>
      </c>
    </row>
    <row r="14" spans="1:12" ht="12.75">
      <c r="A14" s="376">
        <v>4</v>
      </c>
      <c r="B14" s="17" t="s">
        <v>118</v>
      </c>
      <c r="C14" s="17">
        <v>669344160</v>
      </c>
      <c r="D14" s="17">
        <v>1194100</v>
      </c>
      <c r="E14" s="17">
        <v>298639880</v>
      </c>
      <c r="F14" s="17">
        <f t="shared" si="0"/>
        <v>969178140</v>
      </c>
      <c r="G14" s="17">
        <f>'- 54 -'!D14</f>
        <v>21210404</v>
      </c>
      <c r="H14" s="349">
        <f t="shared" si="1"/>
        <v>21.884938510891303</v>
      </c>
      <c r="J14" s="325">
        <v>4</v>
      </c>
      <c r="K14" s="165">
        <f t="shared" si="2"/>
        <v>21.884938510891303</v>
      </c>
      <c r="L14" s="82">
        <f>G14-'- 54 -'!D14</f>
        <v>0</v>
      </c>
    </row>
    <row r="15" spans="1:12" ht="12.75">
      <c r="A15" s="375">
        <v>5</v>
      </c>
      <c r="B15" s="15" t="s">
        <v>119</v>
      </c>
      <c r="C15" s="15">
        <v>733391850</v>
      </c>
      <c r="D15" s="15">
        <v>2003530</v>
      </c>
      <c r="E15" s="15">
        <v>436452210</v>
      </c>
      <c r="F15" s="15">
        <f t="shared" si="0"/>
        <v>1171847590</v>
      </c>
      <c r="G15" s="15">
        <f>'- 54 -'!D15</f>
        <v>26600023</v>
      </c>
      <c r="H15" s="348">
        <f t="shared" si="1"/>
        <v>22.699217224997664</v>
      </c>
      <c r="J15" s="325">
        <v>5</v>
      </c>
      <c r="K15" s="165">
        <f t="shared" si="2"/>
        <v>22.699217224997664</v>
      </c>
      <c r="L15" s="82">
        <f>G15-'- 54 -'!D15</f>
        <v>0</v>
      </c>
    </row>
    <row r="16" spans="1:12" ht="12.75">
      <c r="A16" s="376">
        <v>6</v>
      </c>
      <c r="B16" s="17" t="s">
        <v>120</v>
      </c>
      <c r="C16" s="17">
        <v>894336340</v>
      </c>
      <c r="D16" s="17">
        <v>5025270</v>
      </c>
      <c r="E16" s="17">
        <v>200258230</v>
      </c>
      <c r="F16" s="17">
        <f t="shared" si="0"/>
        <v>1099619840</v>
      </c>
      <c r="G16" s="17">
        <f>'- 54 -'!D16</f>
        <v>24105260</v>
      </c>
      <c r="H16" s="349">
        <f t="shared" si="1"/>
        <v>21.921448779971083</v>
      </c>
      <c r="J16" s="325">
        <v>6</v>
      </c>
      <c r="K16" s="165">
        <f t="shared" si="2"/>
        <v>21.921448779971083</v>
      </c>
      <c r="L16" s="82">
        <f>G16-'- 54 -'!D16</f>
        <v>0</v>
      </c>
    </row>
    <row r="17" spans="1:12" ht="12.75">
      <c r="A17" s="375">
        <v>9</v>
      </c>
      <c r="B17" s="15" t="s">
        <v>121</v>
      </c>
      <c r="C17" s="15">
        <v>1164351900</v>
      </c>
      <c r="D17" s="15">
        <v>5090650</v>
      </c>
      <c r="E17" s="15">
        <v>176203450</v>
      </c>
      <c r="F17" s="15">
        <f t="shared" si="0"/>
        <v>1345646000</v>
      </c>
      <c r="G17" s="15">
        <f>'- 54 -'!D17</f>
        <v>30650482</v>
      </c>
      <c r="H17" s="348">
        <f t="shared" si="1"/>
        <v>22.777522468762214</v>
      </c>
      <c r="J17" s="325">
        <v>9</v>
      </c>
      <c r="K17" s="165">
        <f t="shared" si="2"/>
        <v>22.777522468762214</v>
      </c>
      <c r="L17" s="82">
        <f>G17-'- 54 -'!D17</f>
        <v>0</v>
      </c>
    </row>
    <row r="18" spans="1:12" ht="12.75">
      <c r="A18" s="376">
        <v>10</v>
      </c>
      <c r="B18" s="17" t="s">
        <v>122</v>
      </c>
      <c r="C18" s="17">
        <v>741087540</v>
      </c>
      <c r="D18" s="17">
        <v>5050840</v>
      </c>
      <c r="E18" s="17">
        <v>152082300</v>
      </c>
      <c r="F18" s="17">
        <f t="shared" si="0"/>
        <v>898220680</v>
      </c>
      <c r="G18" s="17">
        <f>'- 54 -'!D18</f>
        <v>24460476</v>
      </c>
      <c r="H18" s="349">
        <f t="shared" si="1"/>
        <v>27.232145222931184</v>
      </c>
      <c r="J18" s="325">
        <v>10</v>
      </c>
      <c r="K18" s="165">
        <f t="shared" si="2"/>
        <v>27.232145222931184</v>
      </c>
      <c r="L18" s="82">
        <f>G18-'- 54 -'!D18</f>
        <v>0</v>
      </c>
    </row>
    <row r="19" spans="1:12" ht="12.75">
      <c r="A19" s="375">
        <v>11</v>
      </c>
      <c r="B19" s="15" t="s">
        <v>123</v>
      </c>
      <c r="C19" s="15">
        <v>514126430</v>
      </c>
      <c r="D19" s="15">
        <v>30861180</v>
      </c>
      <c r="E19" s="15">
        <v>103271850</v>
      </c>
      <c r="F19" s="15">
        <f t="shared" si="0"/>
        <v>648259460</v>
      </c>
      <c r="G19" s="15">
        <f>'- 54 -'!D19</f>
        <v>12810734</v>
      </c>
      <c r="H19" s="348">
        <f t="shared" si="1"/>
        <v>19.761738610031237</v>
      </c>
      <c r="J19" s="325">
        <v>11</v>
      </c>
      <c r="K19" s="165">
        <f t="shared" si="2"/>
        <v>19.761738610031237</v>
      </c>
      <c r="L19" s="82">
        <f>G19-'- 54 -'!D19</f>
        <v>0</v>
      </c>
    </row>
    <row r="20" spans="1:12" ht="12.75">
      <c r="A20" s="376">
        <v>12</v>
      </c>
      <c r="B20" s="17" t="s">
        <v>124</v>
      </c>
      <c r="C20" s="17">
        <v>580278920</v>
      </c>
      <c r="D20" s="17">
        <v>38102430</v>
      </c>
      <c r="E20" s="17">
        <v>336450600</v>
      </c>
      <c r="F20" s="17">
        <f t="shared" si="0"/>
        <v>954831950</v>
      </c>
      <c r="G20" s="17">
        <f>'- 54 -'!D20</f>
        <v>19803752</v>
      </c>
      <c r="H20" s="349">
        <f t="shared" si="1"/>
        <v>20.740562776517898</v>
      </c>
      <c r="J20" s="325">
        <v>12</v>
      </c>
      <c r="K20" s="165">
        <f t="shared" si="2"/>
        <v>20.740562776517898</v>
      </c>
      <c r="L20" s="82">
        <f>G20-'- 54 -'!D20</f>
        <v>0</v>
      </c>
    </row>
    <row r="21" spans="1:12" ht="12.75">
      <c r="A21" s="375">
        <v>13</v>
      </c>
      <c r="B21" s="15" t="s">
        <v>125</v>
      </c>
      <c r="C21" s="15">
        <v>265817260</v>
      </c>
      <c r="D21" s="15">
        <v>52642710</v>
      </c>
      <c r="E21" s="15">
        <v>80231020</v>
      </c>
      <c r="F21" s="15">
        <f t="shared" si="0"/>
        <v>398690990</v>
      </c>
      <c r="G21" s="15">
        <f>'- 54 -'!D21</f>
        <v>8328918</v>
      </c>
      <c r="H21" s="348">
        <f t="shared" si="1"/>
        <v>20.890660207796518</v>
      </c>
      <c r="J21" s="325">
        <v>13</v>
      </c>
      <c r="K21" s="165">
        <f t="shared" si="2"/>
        <v>20.890660207796518</v>
      </c>
      <c r="L21" s="82">
        <f>G21-'- 54 -'!D21</f>
        <v>0</v>
      </c>
    </row>
    <row r="22" spans="1:12" ht="12.75">
      <c r="A22" s="376">
        <v>14</v>
      </c>
      <c r="B22" s="17" t="s">
        <v>126</v>
      </c>
      <c r="C22" s="17">
        <v>327555510</v>
      </c>
      <c r="D22" s="17">
        <v>51172560</v>
      </c>
      <c r="E22" s="17">
        <v>76066160</v>
      </c>
      <c r="F22" s="17">
        <f t="shared" si="0"/>
        <v>454794230</v>
      </c>
      <c r="G22" s="17">
        <f>'- 54 -'!D22</f>
        <v>10225809</v>
      </c>
      <c r="H22" s="349">
        <f t="shared" si="1"/>
        <v>22.484473912520833</v>
      </c>
      <c r="J22" s="325">
        <v>14</v>
      </c>
      <c r="K22" s="165">
        <f t="shared" si="2"/>
        <v>22.484473912520833</v>
      </c>
      <c r="L22" s="82">
        <f>G22-'- 54 -'!D22</f>
        <v>0</v>
      </c>
    </row>
    <row r="23" spans="1:12" ht="12.75">
      <c r="A23" s="375">
        <v>15</v>
      </c>
      <c r="B23" s="15" t="s">
        <v>127</v>
      </c>
      <c r="C23" s="15">
        <v>327999190</v>
      </c>
      <c r="D23" s="15">
        <v>87737940</v>
      </c>
      <c r="E23" s="15">
        <v>137350680</v>
      </c>
      <c r="F23" s="15">
        <f t="shared" si="0"/>
        <v>553087810</v>
      </c>
      <c r="G23" s="15">
        <f>'- 54 -'!D23</f>
        <v>8683479</v>
      </c>
      <c r="H23" s="348">
        <f t="shared" si="1"/>
        <v>15.700000692475937</v>
      </c>
      <c r="I23" s="428"/>
      <c r="J23" s="325">
        <v>15</v>
      </c>
      <c r="K23" s="165">
        <f t="shared" si="2"/>
        <v>15.700000692475937</v>
      </c>
      <c r="L23" s="82">
        <f>I23*F23</f>
        <v>0</v>
      </c>
    </row>
    <row r="24" spans="1:12" ht="12.75">
      <c r="A24" s="376">
        <v>16</v>
      </c>
      <c r="B24" s="17" t="s">
        <v>128</v>
      </c>
      <c r="C24" s="17">
        <v>37756880</v>
      </c>
      <c r="D24" s="17">
        <v>50289390</v>
      </c>
      <c r="E24" s="17">
        <v>24928860</v>
      </c>
      <c r="F24" s="17">
        <f t="shared" si="0"/>
        <v>112975130</v>
      </c>
      <c r="G24" s="17">
        <f>'- 54 -'!D24</f>
        <v>2266302</v>
      </c>
      <c r="H24" s="349">
        <f t="shared" si="1"/>
        <v>20.06018492742606</v>
      </c>
      <c r="J24" s="325">
        <v>16</v>
      </c>
      <c r="K24" s="165">
        <f t="shared" si="2"/>
        <v>20.06018492742606</v>
      </c>
      <c r="L24" s="82">
        <f>G24-'- 54 -'!D24</f>
        <v>0</v>
      </c>
    </row>
    <row r="25" spans="1:12" ht="12.75">
      <c r="A25" s="375">
        <v>17</v>
      </c>
      <c r="B25" s="15" t="s">
        <v>129</v>
      </c>
      <c r="C25" s="15">
        <v>52877550</v>
      </c>
      <c r="D25" s="15">
        <v>54122090</v>
      </c>
      <c r="E25" s="15">
        <v>33388240</v>
      </c>
      <c r="F25" s="15">
        <f t="shared" si="0"/>
        <v>140387880</v>
      </c>
      <c r="G25" s="15">
        <f>'- 54 -'!D25</f>
        <v>2679729</v>
      </c>
      <c r="H25" s="348">
        <f t="shared" si="1"/>
        <v>19.088036659574886</v>
      </c>
      <c r="J25" s="325">
        <v>17</v>
      </c>
      <c r="K25" s="165">
        <f t="shared" si="2"/>
        <v>19.088036659574886</v>
      </c>
      <c r="L25" s="82">
        <f>G25-'- 54 -'!D25</f>
        <v>0</v>
      </c>
    </row>
    <row r="26" spans="1:12" ht="12.75">
      <c r="A26" s="376">
        <v>18</v>
      </c>
      <c r="B26" s="17" t="s">
        <v>130</v>
      </c>
      <c r="C26" s="17">
        <v>75422670</v>
      </c>
      <c r="D26" s="17">
        <v>48505820</v>
      </c>
      <c r="E26" s="17">
        <v>38642250</v>
      </c>
      <c r="F26" s="17">
        <f t="shared" si="0"/>
        <v>162570740</v>
      </c>
      <c r="G26" s="17">
        <f>'- 54 -'!D26</f>
        <v>3181040</v>
      </c>
      <c r="H26" s="349">
        <f t="shared" si="1"/>
        <v>19.567112753500417</v>
      </c>
      <c r="J26" s="325">
        <v>18</v>
      </c>
      <c r="K26" s="165">
        <f t="shared" si="2"/>
        <v>19.567112753500417</v>
      </c>
      <c r="L26" s="82">
        <f>G26-'- 54 -'!D26</f>
        <v>0</v>
      </c>
    </row>
    <row r="27" spans="1:12" ht="12.75">
      <c r="A27" s="375">
        <v>19</v>
      </c>
      <c r="B27" s="15" t="s">
        <v>131</v>
      </c>
      <c r="C27" s="15">
        <v>96792940</v>
      </c>
      <c r="D27" s="15">
        <v>96819450</v>
      </c>
      <c r="E27" s="15">
        <v>72007970</v>
      </c>
      <c r="F27" s="15">
        <f t="shared" si="0"/>
        <v>265620360</v>
      </c>
      <c r="G27" s="15">
        <f>'- 54 -'!D27</f>
        <v>5270258</v>
      </c>
      <c r="H27" s="348">
        <f t="shared" si="1"/>
        <v>19.841317886927044</v>
      </c>
      <c r="J27" s="325">
        <v>19</v>
      </c>
      <c r="K27" s="165">
        <f t="shared" si="2"/>
        <v>19.841317886927044</v>
      </c>
      <c r="L27" s="82">
        <f>G27-'- 54 -'!D27</f>
        <v>0</v>
      </c>
    </row>
    <row r="28" spans="1:12" ht="12.75">
      <c r="A28" s="376">
        <v>20</v>
      </c>
      <c r="B28" s="17" t="s">
        <v>132</v>
      </c>
      <c r="C28" s="17">
        <v>74939990</v>
      </c>
      <c r="D28" s="17">
        <v>53989680</v>
      </c>
      <c r="E28" s="17">
        <v>32793730</v>
      </c>
      <c r="F28" s="17">
        <f t="shared" si="0"/>
        <v>161723400</v>
      </c>
      <c r="G28" s="17">
        <f>'- 54 -'!D28</f>
        <v>3515221</v>
      </c>
      <c r="H28" s="349">
        <f t="shared" si="1"/>
        <v>21.736007281568405</v>
      </c>
      <c r="J28" s="325">
        <v>20</v>
      </c>
      <c r="K28" s="165">
        <f t="shared" si="2"/>
        <v>21.736007281568405</v>
      </c>
      <c r="L28" s="82">
        <f>G28-'- 54 -'!D28</f>
        <v>0</v>
      </c>
    </row>
    <row r="29" spans="1:12" ht="12.75">
      <c r="A29" s="375">
        <v>21</v>
      </c>
      <c r="B29" s="15" t="s">
        <v>133</v>
      </c>
      <c r="C29" s="15">
        <v>239393700</v>
      </c>
      <c r="D29" s="15">
        <v>83543480</v>
      </c>
      <c r="E29" s="15">
        <v>89272380</v>
      </c>
      <c r="F29" s="15">
        <f t="shared" si="0"/>
        <v>412209560</v>
      </c>
      <c r="G29" s="15">
        <f>'- 54 -'!D29</f>
        <v>8245000</v>
      </c>
      <c r="H29" s="348">
        <f t="shared" si="1"/>
        <v>20.001962108787577</v>
      </c>
      <c r="J29" s="325">
        <v>21</v>
      </c>
      <c r="K29" s="165">
        <f t="shared" si="2"/>
        <v>20.001962108787577</v>
      </c>
      <c r="L29" s="82">
        <f>F29*H29</f>
        <v>8244999999.999999</v>
      </c>
    </row>
    <row r="30" spans="1:12" ht="12.75">
      <c r="A30" s="376">
        <v>22</v>
      </c>
      <c r="B30" s="17" t="s">
        <v>134</v>
      </c>
      <c r="C30" s="17">
        <v>234522720</v>
      </c>
      <c r="D30" s="17">
        <v>37155310</v>
      </c>
      <c r="E30" s="17">
        <v>64705750</v>
      </c>
      <c r="F30" s="17">
        <f t="shared" si="0"/>
        <v>336383780</v>
      </c>
      <c r="G30" s="17">
        <f>'- 54 -'!D30</f>
        <v>5579948</v>
      </c>
      <c r="H30" s="349">
        <f t="shared" si="1"/>
        <v>16.588041195089726</v>
      </c>
      <c r="J30" s="325">
        <v>22</v>
      </c>
      <c r="K30" s="165">
        <f t="shared" si="2"/>
        <v>16.588041195089726</v>
      </c>
      <c r="L30" s="82">
        <f>G30-'- 54 -'!D30</f>
        <v>0</v>
      </c>
    </row>
    <row r="31" spans="1:12" ht="12.75">
      <c r="A31" s="375">
        <v>23</v>
      </c>
      <c r="B31" s="15" t="s">
        <v>135</v>
      </c>
      <c r="C31" s="15">
        <v>62667940</v>
      </c>
      <c r="D31" s="15">
        <v>46534320</v>
      </c>
      <c r="E31" s="15">
        <v>17851030</v>
      </c>
      <c r="F31" s="15">
        <f t="shared" si="0"/>
        <v>127053290</v>
      </c>
      <c r="G31" s="15">
        <f>'- 54 -'!D31</f>
        <v>2670917</v>
      </c>
      <c r="H31" s="348">
        <f t="shared" si="1"/>
        <v>21.022021547021726</v>
      </c>
      <c r="J31" s="325">
        <v>23</v>
      </c>
      <c r="K31" s="165">
        <f t="shared" si="2"/>
        <v>21.022021547021726</v>
      </c>
      <c r="L31" s="82">
        <f>G31-'- 54 -'!D31</f>
        <v>0</v>
      </c>
    </row>
    <row r="32" spans="1:12" ht="12.75">
      <c r="A32" s="376">
        <v>24</v>
      </c>
      <c r="B32" s="17" t="s">
        <v>136</v>
      </c>
      <c r="C32" s="17">
        <v>215708640</v>
      </c>
      <c r="D32" s="17">
        <v>99389440</v>
      </c>
      <c r="E32" s="17">
        <v>152193000</v>
      </c>
      <c r="F32" s="17">
        <f t="shared" si="0"/>
        <v>467291080</v>
      </c>
      <c r="G32" s="17">
        <f>'- 54 -'!D32</f>
        <v>8213199</v>
      </c>
      <c r="H32" s="349">
        <f t="shared" si="1"/>
        <v>17.576194692182014</v>
      </c>
      <c r="J32" s="325">
        <v>24</v>
      </c>
      <c r="K32" s="165">
        <f t="shared" si="2"/>
        <v>17.576194692182014</v>
      </c>
      <c r="L32" s="82">
        <f>G32-'- 54 -'!D32</f>
        <v>0</v>
      </c>
    </row>
    <row r="33" spans="1:12" ht="12.75">
      <c r="A33" s="375">
        <v>25</v>
      </c>
      <c r="B33" s="15" t="s">
        <v>137</v>
      </c>
      <c r="C33" s="15">
        <v>85432170</v>
      </c>
      <c r="D33" s="15">
        <v>119623930</v>
      </c>
      <c r="E33" s="15">
        <v>26547330</v>
      </c>
      <c r="F33" s="15">
        <f t="shared" si="0"/>
        <v>231603430</v>
      </c>
      <c r="G33" s="15">
        <f>'- 54 -'!D33</f>
        <v>3934622</v>
      </c>
      <c r="H33" s="348">
        <f t="shared" si="1"/>
        <v>16.988617137492305</v>
      </c>
      <c r="J33" s="325">
        <v>25</v>
      </c>
      <c r="K33" s="165">
        <f t="shared" si="2"/>
        <v>16.988617137492305</v>
      </c>
      <c r="L33" s="82">
        <f>G33-'- 54 -'!D33</f>
        <v>0</v>
      </c>
    </row>
    <row r="34" spans="1:12" ht="12.75">
      <c r="A34" s="376">
        <v>26</v>
      </c>
      <c r="B34" s="17" t="s">
        <v>138</v>
      </c>
      <c r="C34" s="17">
        <v>156169920</v>
      </c>
      <c r="D34" s="17">
        <v>64243260</v>
      </c>
      <c r="E34" s="17">
        <v>76551330</v>
      </c>
      <c r="F34" s="17">
        <f t="shared" si="0"/>
        <v>296964510</v>
      </c>
      <c r="G34" s="17">
        <f>'- 54 -'!D34</f>
        <v>4974000</v>
      </c>
      <c r="H34" s="349">
        <f t="shared" si="1"/>
        <v>16.749476225290355</v>
      </c>
      <c r="J34" s="325">
        <v>26</v>
      </c>
      <c r="K34" s="165">
        <f t="shared" si="2"/>
        <v>16.749476225290355</v>
      </c>
      <c r="L34" s="82">
        <f>G34-'- 54 -'!D34</f>
        <v>0</v>
      </c>
    </row>
    <row r="35" spans="1:12" ht="12.75">
      <c r="A35" s="375">
        <v>28</v>
      </c>
      <c r="B35" s="15" t="s">
        <v>139</v>
      </c>
      <c r="C35" s="15">
        <v>33969030</v>
      </c>
      <c r="D35" s="15">
        <v>62208460</v>
      </c>
      <c r="E35" s="15">
        <v>23519470</v>
      </c>
      <c r="F35" s="15">
        <f t="shared" si="0"/>
        <v>119696960</v>
      </c>
      <c r="G35" s="15">
        <f>'- 54 -'!D35</f>
        <v>2469829</v>
      </c>
      <c r="H35" s="348">
        <f t="shared" si="1"/>
        <v>20.63401610199624</v>
      </c>
      <c r="J35" s="325">
        <v>28</v>
      </c>
      <c r="K35" s="165">
        <f t="shared" si="2"/>
        <v>20.63401610199624</v>
      </c>
      <c r="L35" s="82">
        <f>G35-'- 54 -'!D35</f>
        <v>0</v>
      </c>
    </row>
    <row r="36" spans="1:12" ht="12.75">
      <c r="A36" s="376">
        <v>30</v>
      </c>
      <c r="B36" s="17" t="s">
        <v>140</v>
      </c>
      <c r="C36" s="17">
        <v>49096630</v>
      </c>
      <c r="D36" s="17">
        <v>68936420</v>
      </c>
      <c r="E36" s="17">
        <v>45867060</v>
      </c>
      <c r="F36" s="17">
        <f t="shared" si="0"/>
        <v>163900110</v>
      </c>
      <c r="G36" s="17">
        <f>'- 54 -'!D36</f>
        <v>3318978</v>
      </c>
      <c r="H36" s="349">
        <f t="shared" si="1"/>
        <v>20.250004713236617</v>
      </c>
      <c r="J36" s="325">
        <v>30</v>
      </c>
      <c r="K36" s="165">
        <f t="shared" si="2"/>
        <v>20.250004713236617</v>
      </c>
      <c r="L36" s="82">
        <f>G36-'- 54 -'!D36</f>
        <v>0</v>
      </c>
    </row>
    <row r="37" spans="1:12" ht="12.75">
      <c r="A37" s="375">
        <v>31</v>
      </c>
      <c r="B37" s="15" t="s">
        <v>141</v>
      </c>
      <c r="C37" s="15">
        <v>90171650</v>
      </c>
      <c r="D37" s="15">
        <v>77392850</v>
      </c>
      <c r="E37" s="15">
        <v>74969370</v>
      </c>
      <c r="F37" s="15">
        <f t="shared" si="0"/>
        <v>242533870</v>
      </c>
      <c r="G37" s="15">
        <f>'- 54 -'!D37</f>
        <v>3904820</v>
      </c>
      <c r="H37" s="348">
        <f t="shared" si="1"/>
        <v>16.10010181258395</v>
      </c>
      <c r="J37" s="325">
        <v>31</v>
      </c>
      <c r="K37" s="165">
        <f t="shared" si="2"/>
        <v>16.10010181258395</v>
      </c>
      <c r="L37" s="82">
        <f>G37-'- 54 -'!D37</f>
        <v>0</v>
      </c>
    </row>
    <row r="38" spans="1:12" ht="12.75">
      <c r="A38" s="376">
        <v>32</v>
      </c>
      <c r="B38" s="17" t="s">
        <v>142</v>
      </c>
      <c r="C38" s="17">
        <v>38924000</v>
      </c>
      <c r="D38" s="17">
        <v>41855460</v>
      </c>
      <c r="E38" s="17">
        <v>10221860</v>
      </c>
      <c r="F38" s="17">
        <f t="shared" si="0"/>
        <v>91001320</v>
      </c>
      <c r="G38" s="17">
        <f>'- 54 -'!D38</f>
        <v>1998517</v>
      </c>
      <c r="H38" s="349">
        <f t="shared" si="1"/>
        <v>21.961406713660857</v>
      </c>
      <c r="J38" s="325">
        <v>32</v>
      </c>
      <c r="K38" s="165">
        <f t="shared" si="2"/>
        <v>21.961406713660857</v>
      </c>
      <c r="L38" s="82">
        <f>G38-'- 54 -'!D38</f>
        <v>0</v>
      </c>
    </row>
    <row r="39" spans="1:12" ht="12.75">
      <c r="A39" s="375">
        <v>33</v>
      </c>
      <c r="B39" s="15" t="s">
        <v>143</v>
      </c>
      <c r="C39" s="15">
        <v>124399310</v>
      </c>
      <c r="D39" s="15">
        <v>36026650</v>
      </c>
      <c r="E39" s="15">
        <v>46495100</v>
      </c>
      <c r="F39" s="15">
        <f t="shared" si="0"/>
        <v>206921060</v>
      </c>
      <c r="G39" s="15">
        <f>'- 54 -'!D39</f>
        <v>4250977</v>
      </c>
      <c r="H39" s="348">
        <f t="shared" si="1"/>
        <v>20.54395526487251</v>
      </c>
      <c r="J39" s="325">
        <v>33</v>
      </c>
      <c r="K39" s="165">
        <f t="shared" si="2"/>
        <v>20.54395526487251</v>
      </c>
      <c r="L39" s="82">
        <f>G39-'- 54 -'!D39</f>
        <v>0</v>
      </c>
    </row>
    <row r="40" spans="1:12" ht="12.75">
      <c r="A40" s="376">
        <v>34</v>
      </c>
      <c r="B40" s="17" t="s">
        <v>144</v>
      </c>
      <c r="C40" s="17">
        <v>20834040</v>
      </c>
      <c r="D40" s="17">
        <v>22213720</v>
      </c>
      <c r="E40" s="17">
        <v>2715510</v>
      </c>
      <c r="F40" s="17">
        <f t="shared" si="0"/>
        <v>45763270</v>
      </c>
      <c r="G40" s="17">
        <f>'- 54 -'!D40</f>
        <v>1073528</v>
      </c>
      <c r="H40" s="349">
        <f t="shared" si="1"/>
        <v>23.458288710575097</v>
      </c>
      <c r="J40" s="325">
        <v>34</v>
      </c>
      <c r="K40" s="165">
        <f t="shared" si="2"/>
        <v>23.458288710575097</v>
      </c>
      <c r="L40" s="82">
        <f>G40-'- 54 -'!D40</f>
        <v>0</v>
      </c>
    </row>
    <row r="41" spans="1:12" ht="12.75">
      <c r="A41" s="375">
        <v>35</v>
      </c>
      <c r="B41" s="15" t="s">
        <v>145</v>
      </c>
      <c r="C41" s="15">
        <v>96259880</v>
      </c>
      <c r="D41" s="15">
        <v>57608780</v>
      </c>
      <c r="E41" s="15">
        <v>47350020</v>
      </c>
      <c r="F41" s="15">
        <f t="shared" si="0"/>
        <v>201218680</v>
      </c>
      <c r="G41" s="15">
        <f>'- 54 -'!D41</f>
        <v>4413369</v>
      </c>
      <c r="H41" s="348">
        <f t="shared" si="1"/>
        <v>21.933197255841257</v>
      </c>
      <c r="J41" s="325">
        <v>35</v>
      </c>
      <c r="K41" s="165">
        <f t="shared" si="2"/>
        <v>21.933197255841257</v>
      </c>
      <c r="L41" s="82">
        <f>G41-'- 54 -'!D41</f>
        <v>0</v>
      </c>
    </row>
    <row r="42" spans="1:12" ht="12.75">
      <c r="A42" s="376">
        <v>36</v>
      </c>
      <c r="B42" s="17" t="s">
        <v>146</v>
      </c>
      <c r="C42" s="17">
        <v>60147080</v>
      </c>
      <c r="D42" s="17">
        <v>62776450</v>
      </c>
      <c r="E42" s="17">
        <v>21507200</v>
      </c>
      <c r="F42" s="17">
        <f t="shared" si="0"/>
        <v>144430730</v>
      </c>
      <c r="G42" s="17">
        <f>'- 54 -'!D42</f>
        <v>2856840</v>
      </c>
      <c r="H42" s="349">
        <f t="shared" si="1"/>
        <v>19.78000111195173</v>
      </c>
      <c r="J42" s="325">
        <v>36</v>
      </c>
      <c r="K42" s="165">
        <f t="shared" si="2"/>
        <v>19.78000111195173</v>
      </c>
      <c r="L42" s="82">
        <f>G42-'- 54 -'!D42</f>
        <v>0</v>
      </c>
    </row>
    <row r="43" spans="1:12" ht="12.75">
      <c r="A43" s="375">
        <v>37</v>
      </c>
      <c r="B43" s="15" t="s">
        <v>147</v>
      </c>
      <c r="C43" s="15">
        <v>46342980</v>
      </c>
      <c r="D43" s="15">
        <v>50441350</v>
      </c>
      <c r="E43" s="15">
        <v>25365690</v>
      </c>
      <c r="F43" s="15">
        <f t="shared" si="0"/>
        <v>122150020</v>
      </c>
      <c r="G43" s="15">
        <f>'- 54 -'!D43</f>
        <v>2321229</v>
      </c>
      <c r="H43" s="348">
        <f t="shared" si="1"/>
        <v>19.00309963109298</v>
      </c>
      <c r="J43" s="325">
        <v>37</v>
      </c>
      <c r="K43" s="165">
        <f t="shared" si="2"/>
        <v>19.00309963109298</v>
      </c>
      <c r="L43" s="82">
        <f>G43-'- 54 -'!D43</f>
        <v>0</v>
      </c>
    </row>
    <row r="44" spans="1:12" ht="12.75">
      <c r="A44" s="376">
        <v>38</v>
      </c>
      <c r="B44" s="17" t="s">
        <v>148</v>
      </c>
      <c r="C44" s="17">
        <v>45534030</v>
      </c>
      <c r="D44" s="17">
        <v>78143500</v>
      </c>
      <c r="E44" s="17">
        <v>72303690</v>
      </c>
      <c r="F44" s="17">
        <f t="shared" si="0"/>
        <v>195981220</v>
      </c>
      <c r="G44" s="17">
        <f>'- 54 -'!D44</f>
        <v>3727332</v>
      </c>
      <c r="H44" s="349">
        <f t="shared" si="1"/>
        <v>19.01882231368904</v>
      </c>
      <c r="J44" s="325">
        <v>38</v>
      </c>
      <c r="K44" s="165">
        <f t="shared" si="2"/>
        <v>19.01882231368904</v>
      </c>
      <c r="L44" s="82">
        <f>G44-'- 54 -'!D44</f>
        <v>0</v>
      </c>
    </row>
    <row r="45" spans="1:12" ht="12.75">
      <c r="A45" s="375">
        <v>39</v>
      </c>
      <c r="B45" s="15" t="s">
        <v>149</v>
      </c>
      <c r="C45" s="15">
        <v>131054740</v>
      </c>
      <c r="D45" s="15">
        <v>78295420</v>
      </c>
      <c r="E45" s="15">
        <v>83714950</v>
      </c>
      <c r="F45" s="15">
        <f t="shared" si="0"/>
        <v>293065110</v>
      </c>
      <c r="G45" s="15">
        <f>'- 54 -'!D45</f>
        <v>5532584</v>
      </c>
      <c r="H45" s="348">
        <f t="shared" si="1"/>
        <v>18.878344133151845</v>
      </c>
      <c r="J45" s="325">
        <v>39</v>
      </c>
      <c r="K45" s="165">
        <f t="shared" si="2"/>
        <v>18.878344133151845</v>
      </c>
      <c r="L45" s="82">
        <f>G45-'- 54 -'!D45</f>
        <v>0</v>
      </c>
    </row>
    <row r="46" spans="1:12" ht="12.75">
      <c r="A46" s="376">
        <v>40</v>
      </c>
      <c r="B46" s="17" t="s">
        <v>150</v>
      </c>
      <c r="C46" s="17">
        <v>615893450</v>
      </c>
      <c r="D46" s="17">
        <v>27396400</v>
      </c>
      <c r="E46" s="17">
        <v>389542510</v>
      </c>
      <c r="F46" s="17">
        <f t="shared" si="0"/>
        <v>1032832360</v>
      </c>
      <c r="G46" s="17">
        <f>'- 54 -'!D46</f>
        <v>17086400</v>
      </c>
      <c r="H46" s="349">
        <f t="shared" si="1"/>
        <v>16.543246185663662</v>
      </c>
      <c r="J46" s="325">
        <v>40</v>
      </c>
      <c r="K46" s="165">
        <f t="shared" si="2"/>
        <v>16.543246185663662</v>
      </c>
      <c r="L46" s="82">
        <f>G46-'- 54 -'!D46</f>
        <v>0</v>
      </c>
    </row>
    <row r="47" spans="1:12" ht="12.75">
      <c r="A47" s="375">
        <v>41</v>
      </c>
      <c r="B47" s="15" t="s">
        <v>151</v>
      </c>
      <c r="C47" s="15">
        <v>69782290</v>
      </c>
      <c r="D47" s="15">
        <v>74644730</v>
      </c>
      <c r="E47" s="15">
        <v>106258760</v>
      </c>
      <c r="F47" s="15">
        <f t="shared" si="0"/>
        <v>250685780</v>
      </c>
      <c r="G47" s="15">
        <f>'- 54 -'!D47</f>
        <v>4707544</v>
      </c>
      <c r="H47" s="348">
        <f t="shared" si="1"/>
        <v>18.778663871560646</v>
      </c>
      <c r="J47" s="325">
        <v>41</v>
      </c>
      <c r="K47" s="165">
        <f t="shared" si="2"/>
        <v>18.778663871560646</v>
      </c>
      <c r="L47" s="82">
        <f>G47-'- 54 -'!D47</f>
        <v>0</v>
      </c>
    </row>
    <row r="48" spans="1:12" ht="12.75">
      <c r="A48" s="376">
        <v>42</v>
      </c>
      <c r="B48" s="17" t="s">
        <v>152</v>
      </c>
      <c r="C48" s="17">
        <v>49590100</v>
      </c>
      <c r="D48" s="17">
        <v>71366500</v>
      </c>
      <c r="E48" s="17">
        <v>47696770</v>
      </c>
      <c r="F48" s="17">
        <f t="shared" si="0"/>
        <v>168653370</v>
      </c>
      <c r="G48" s="17">
        <f>'- 54 -'!D48</f>
        <v>3185643</v>
      </c>
      <c r="H48" s="349">
        <f t="shared" si="1"/>
        <v>18.88870053411918</v>
      </c>
      <c r="J48" s="325">
        <v>42</v>
      </c>
      <c r="K48" s="165">
        <f t="shared" si="2"/>
        <v>18.88870053411918</v>
      </c>
      <c r="L48" s="82">
        <f>G48-'- 54 -'!D48</f>
        <v>0</v>
      </c>
    </row>
    <row r="49" spans="1:12" ht="12.75">
      <c r="A49" s="375">
        <v>43</v>
      </c>
      <c r="B49" s="15" t="s">
        <v>153</v>
      </c>
      <c r="C49" s="15">
        <v>37744870</v>
      </c>
      <c r="D49" s="15">
        <v>78135660</v>
      </c>
      <c r="E49" s="15">
        <v>28660840</v>
      </c>
      <c r="F49" s="15">
        <f t="shared" si="0"/>
        <v>144541370</v>
      </c>
      <c r="G49" s="15">
        <f>'- 54 -'!D49</f>
        <v>2820833</v>
      </c>
      <c r="H49" s="348">
        <f t="shared" si="1"/>
        <v>19.515748328661893</v>
      </c>
      <c r="J49" s="325">
        <v>43</v>
      </c>
      <c r="K49" s="165">
        <f t="shared" si="2"/>
        <v>19.515748328661893</v>
      </c>
      <c r="L49" s="82">
        <f>G49-'- 54 -'!D49</f>
        <v>0</v>
      </c>
    </row>
    <row r="50" spans="1:12" ht="12.75">
      <c r="A50" s="376">
        <v>44</v>
      </c>
      <c r="B50" s="17" t="s">
        <v>154</v>
      </c>
      <c r="C50" s="17">
        <v>68492010</v>
      </c>
      <c r="D50" s="17">
        <v>74559990</v>
      </c>
      <c r="E50" s="17">
        <v>32709330</v>
      </c>
      <c r="F50" s="17">
        <f t="shared" si="0"/>
        <v>175761330</v>
      </c>
      <c r="G50" s="17">
        <f>'- 54 -'!D50</f>
        <v>3515514</v>
      </c>
      <c r="H50" s="349">
        <f t="shared" si="1"/>
        <v>20.001635171968715</v>
      </c>
      <c r="J50" s="325">
        <v>44</v>
      </c>
      <c r="K50" s="165">
        <f t="shared" si="2"/>
        <v>20.001635171968715</v>
      </c>
      <c r="L50" s="82">
        <f>G50-'- 54 -'!D50</f>
        <v>0</v>
      </c>
    </row>
    <row r="51" spans="1:12" ht="12.75">
      <c r="A51" s="375">
        <v>45</v>
      </c>
      <c r="B51" s="15" t="s">
        <v>155</v>
      </c>
      <c r="C51" s="15">
        <v>76525420</v>
      </c>
      <c r="D51" s="15">
        <v>6437720</v>
      </c>
      <c r="E51" s="15">
        <v>58621770</v>
      </c>
      <c r="F51" s="15">
        <f t="shared" si="0"/>
        <v>141584910</v>
      </c>
      <c r="G51" s="15">
        <f>'- 54 -'!D51</f>
        <v>2975475</v>
      </c>
      <c r="H51" s="348">
        <f t="shared" si="1"/>
        <v>21.015481098939144</v>
      </c>
      <c r="J51" s="325">
        <v>45</v>
      </c>
      <c r="K51" s="165">
        <f t="shared" si="2"/>
        <v>21.015481098939144</v>
      </c>
      <c r="L51" s="82">
        <f>G51-'- 54 -'!D51</f>
        <v>0</v>
      </c>
    </row>
    <row r="52" spans="1:12" ht="12.75">
      <c r="A52" s="376">
        <v>46</v>
      </c>
      <c r="B52" s="17" t="s">
        <v>156</v>
      </c>
      <c r="C52" s="17">
        <v>50788040</v>
      </c>
      <c r="D52" s="17">
        <v>0</v>
      </c>
      <c r="E52" s="17">
        <v>19925820</v>
      </c>
      <c r="F52" s="17">
        <f t="shared" si="0"/>
        <v>70713860</v>
      </c>
      <c r="G52" s="17">
        <f>'- 54 -'!D52</f>
        <v>2983511</v>
      </c>
      <c r="H52" s="349">
        <f>(G52-I52)/F52*1000</f>
        <v>22.787527084506486</v>
      </c>
      <c r="I52" s="82">
        <v>1372117</v>
      </c>
      <c r="J52" s="325">
        <v>46</v>
      </c>
      <c r="K52" s="165">
        <f t="shared" si="2"/>
        <v>22.787527084506486</v>
      </c>
      <c r="L52" s="82">
        <f>G52-'- 54 -'!D52</f>
        <v>0</v>
      </c>
    </row>
    <row r="53" spans="1:12" ht="12.75">
      <c r="A53" s="375">
        <v>47</v>
      </c>
      <c r="B53" s="15" t="s">
        <v>157</v>
      </c>
      <c r="C53" s="15">
        <v>103030210</v>
      </c>
      <c r="D53" s="15">
        <v>22994450</v>
      </c>
      <c r="E53" s="15">
        <v>41986850</v>
      </c>
      <c r="F53" s="15">
        <f t="shared" si="0"/>
        <v>168011510</v>
      </c>
      <c r="G53" s="15">
        <f>'- 54 -'!D53</f>
        <v>3262852</v>
      </c>
      <c r="H53" s="348">
        <f t="shared" si="1"/>
        <v>19.42040756612449</v>
      </c>
      <c r="I53" s="82" t="s">
        <v>497</v>
      </c>
      <c r="J53" s="325">
        <v>47</v>
      </c>
      <c r="K53" s="165">
        <f t="shared" si="2"/>
        <v>19.42040756612449</v>
      </c>
      <c r="L53" s="82">
        <f>G53-'- 54 -'!D53</f>
        <v>0</v>
      </c>
    </row>
    <row r="54" spans="1:12" ht="12.75">
      <c r="A54" s="376">
        <v>48</v>
      </c>
      <c r="B54" s="17" t="s">
        <v>158</v>
      </c>
      <c r="C54" s="17">
        <v>34621120</v>
      </c>
      <c r="D54" s="17">
        <v>5782690</v>
      </c>
      <c r="E54" s="17">
        <v>23474660</v>
      </c>
      <c r="F54" s="17">
        <f t="shared" si="0"/>
        <v>63878470</v>
      </c>
      <c r="G54" s="17">
        <f>'- 54 -'!D54</f>
        <v>1307573</v>
      </c>
      <c r="H54" s="349">
        <f t="shared" si="1"/>
        <v>20.46969816277691</v>
      </c>
      <c r="J54" s="325">
        <v>48</v>
      </c>
      <c r="K54" s="165">
        <f t="shared" si="2"/>
        <v>20.46969816277691</v>
      </c>
      <c r="L54" s="82">
        <f>G54-'- 54 -'!D54</f>
        <v>0</v>
      </c>
    </row>
    <row r="55" spans="1:12" ht="12.75">
      <c r="A55" s="375">
        <v>49</v>
      </c>
      <c r="B55" s="15" t="s">
        <v>159</v>
      </c>
      <c r="C55" s="15"/>
      <c r="D55" s="15"/>
      <c r="E55" s="15"/>
      <c r="F55" s="15">
        <f t="shared" si="0"/>
        <v>0</v>
      </c>
      <c r="G55" s="15">
        <f>'- 54 -'!D55</f>
        <v>0</v>
      </c>
      <c r="H55" s="348"/>
      <c r="J55" s="325">
        <v>50</v>
      </c>
      <c r="K55" s="165">
        <f aca="true" t="shared" si="3" ref="K55:K61">H56</f>
        <v>21.20034328261753</v>
      </c>
      <c r="L55" s="82">
        <f>G55-'- 54 -'!D55</f>
        <v>0</v>
      </c>
    </row>
    <row r="56" spans="1:12" ht="12.75">
      <c r="A56" s="376">
        <v>50</v>
      </c>
      <c r="B56" s="17" t="s">
        <v>340</v>
      </c>
      <c r="C56" s="17">
        <v>72625850</v>
      </c>
      <c r="D56" s="17">
        <v>140457350</v>
      </c>
      <c r="E56" s="17">
        <v>44710220</v>
      </c>
      <c r="F56" s="17">
        <f t="shared" si="0"/>
        <v>257793420</v>
      </c>
      <c r="G56" s="17">
        <f>'- 54 -'!D56</f>
        <v>5465309</v>
      </c>
      <c r="H56" s="349">
        <f t="shared" si="1"/>
        <v>21.20034328261753</v>
      </c>
      <c r="J56" s="325">
        <v>2264</v>
      </c>
      <c r="K56" s="165">
        <f t="shared" si="3"/>
        <v>22.972122058491355</v>
      </c>
      <c r="L56" s="82">
        <f>G56-'- 54 -'!D56</f>
        <v>0</v>
      </c>
    </row>
    <row r="57" spans="1:12" ht="12.75">
      <c r="A57" s="375">
        <v>2264</v>
      </c>
      <c r="B57" s="15" t="s">
        <v>160</v>
      </c>
      <c r="C57" s="15">
        <v>7006420</v>
      </c>
      <c r="D57" s="15">
        <v>2150</v>
      </c>
      <c r="E57" s="15">
        <v>13843400</v>
      </c>
      <c r="F57" s="15">
        <f t="shared" si="0"/>
        <v>20851970</v>
      </c>
      <c r="G57" s="15">
        <f>'- 54 -'!D57</f>
        <v>479014</v>
      </c>
      <c r="H57" s="348">
        <f t="shared" si="1"/>
        <v>22.972122058491355</v>
      </c>
      <c r="J57" s="325">
        <v>2309</v>
      </c>
      <c r="K57" s="165">
        <f t="shared" si="3"/>
        <v>27.636571782501203</v>
      </c>
      <c r="L57" s="82">
        <f>G57-'- 54 -'!D57</f>
        <v>0</v>
      </c>
    </row>
    <row r="58" spans="1:12" ht="12.75">
      <c r="A58" s="376">
        <v>2309</v>
      </c>
      <c r="B58" s="17" t="s">
        <v>161</v>
      </c>
      <c r="C58" s="17">
        <v>9087990</v>
      </c>
      <c r="D58" s="17">
        <v>1170</v>
      </c>
      <c r="E58" s="17">
        <v>2406260</v>
      </c>
      <c r="F58" s="17">
        <f t="shared" si="0"/>
        <v>11495420</v>
      </c>
      <c r="G58" s="17">
        <f>'- 54 -'!D58</f>
        <v>578010</v>
      </c>
      <c r="H58" s="349">
        <f>(G58-I58)/F58*1000</f>
        <v>27.636571782501203</v>
      </c>
      <c r="I58" s="430">
        <f>80316+180000</f>
        <v>260316</v>
      </c>
      <c r="J58" s="325">
        <v>2312</v>
      </c>
      <c r="K58" s="165">
        <f t="shared" si="3"/>
        <v>42.925455653711765</v>
      </c>
      <c r="L58" s="82">
        <f>G58-'- 54 -'!D58</f>
        <v>0</v>
      </c>
    </row>
    <row r="59" spans="1:12" ht="12.75">
      <c r="A59" s="375">
        <v>2312</v>
      </c>
      <c r="B59" s="15" t="s">
        <v>162</v>
      </c>
      <c r="C59" s="15">
        <v>1211300</v>
      </c>
      <c r="D59" s="15">
        <v>0</v>
      </c>
      <c r="E59" s="15">
        <v>1118320</v>
      </c>
      <c r="F59" s="15">
        <f t="shared" si="0"/>
        <v>2329620</v>
      </c>
      <c r="G59" s="15">
        <f>'- 54 -'!D59</f>
        <v>100000</v>
      </c>
      <c r="H59" s="348">
        <f t="shared" si="1"/>
        <v>42.925455653711765</v>
      </c>
      <c r="I59" s="82" t="s">
        <v>496</v>
      </c>
      <c r="J59" s="325">
        <v>2355</v>
      </c>
      <c r="K59" s="165">
        <f t="shared" si="3"/>
        <v>32.66269617330978</v>
      </c>
      <c r="L59" s="82">
        <f>G59-'- 54 -'!D59</f>
        <v>0</v>
      </c>
    </row>
    <row r="60" spans="1:12" ht="12.75">
      <c r="A60" s="376">
        <v>2355</v>
      </c>
      <c r="B60" s="17" t="s">
        <v>163</v>
      </c>
      <c r="C60" s="17">
        <v>129750670</v>
      </c>
      <c r="D60" s="17">
        <v>0</v>
      </c>
      <c r="E60" s="17">
        <v>55124760</v>
      </c>
      <c r="F60" s="17">
        <f t="shared" si="0"/>
        <v>184875430</v>
      </c>
      <c r="G60" s="17">
        <f>'- 54 -'!D60</f>
        <v>6038530</v>
      </c>
      <c r="H60" s="349">
        <f t="shared" si="1"/>
        <v>32.66269617330978</v>
      </c>
      <c r="J60" s="325">
        <v>2439</v>
      </c>
      <c r="K60" s="165">
        <f t="shared" si="3"/>
        <v>18.7805531829829</v>
      </c>
      <c r="L60" s="82">
        <f>G60-'- 54 -'!D60</f>
        <v>0</v>
      </c>
    </row>
    <row r="61" spans="1:12" ht="12.75">
      <c r="A61" s="375">
        <v>2439</v>
      </c>
      <c r="B61" s="15" t="s">
        <v>164</v>
      </c>
      <c r="C61" s="15">
        <v>6314660</v>
      </c>
      <c r="D61" s="15">
        <v>2502210</v>
      </c>
      <c r="E61" s="15">
        <v>4389610</v>
      </c>
      <c r="F61" s="15">
        <f t="shared" si="0"/>
        <v>13206480</v>
      </c>
      <c r="G61" s="15">
        <f>'- 54 -'!D61</f>
        <v>248025</v>
      </c>
      <c r="H61" s="348">
        <f t="shared" si="1"/>
        <v>18.7805531829829</v>
      </c>
      <c r="J61" s="325">
        <v>2460</v>
      </c>
      <c r="K61" s="165">
        <f t="shared" si="3"/>
        <v>35.5146493302956</v>
      </c>
      <c r="L61" s="82">
        <f>G61-'- 54 -'!D61</f>
        <v>0</v>
      </c>
    </row>
    <row r="62" spans="1:12" ht="12.75">
      <c r="A62" s="376">
        <v>2460</v>
      </c>
      <c r="B62" s="17" t="s">
        <v>165</v>
      </c>
      <c r="C62" s="17">
        <v>6861660</v>
      </c>
      <c r="D62" s="17">
        <v>2860</v>
      </c>
      <c r="E62" s="17">
        <v>6917680</v>
      </c>
      <c r="F62" s="17">
        <f t="shared" si="0"/>
        <v>13782200</v>
      </c>
      <c r="G62" s="17">
        <f>'- 54 -'!D62</f>
        <v>489470</v>
      </c>
      <c r="H62" s="349">
        <f t="shared" si="1"/>
        <v>35.5146493302956</v>
      </c>
      <c r="L62" s="82">
        <f>G62-'- 54 -'!D62</f>
        <v>0</v>
      </c>
    </row>
    <row r="63" spans="1:12" ht="12.75">
      <c r="A63" s="375">
        <v>3000</v>
      </c>
      <c r="B63" s="15" t="s">
        <v>363</v>
      </c>
      <c r="C63" s="15"/>
      <c r="D63" s="15"/>
      <c r="E63" s="15"/>
      <c r="F63" s="15"/>
      <c r="G63" s="15">
        <f>'- 54 -'!D63</f>
        <v>0</v>
      </c>
      <c r="H63" s="15"/>
      <c r="L63" s="82">
        <f>G63-'- 54 -'!D63</f>
        <v>0</v>
      </c>
    </row>
    <row r="64" spans="2:12" ht="4.5" customHeight="1">
      <c r="B64" s="18"/>
      <c r="H64" s="165"/>
      <c r="L64" s="82">
        <f>G64-'- 54 -'!D64</f>
        <v>0</v>
      </c>
    </row>
    <row r="65" spans="1:12" ht="12.75">
      <c r="A65" s="102"/>
      <c r="B65" s="21" t="s">
        <v>166</v>
      </c>
      <c r="C65" s="21">
        <f>SUM(C11:C63)</f>
        <v>13378291930</v>
      </c>
      <c r="D65" s="21">
        <f>SUM(D11:D63)</f>
        <v>2184075350</v>
      </c>
      <c r="E65" s="21">
        <f>SUM(E11:E63)</f>
        <v>6813244330</v>
      </c>
      <c r="F65" s="21">
        <f>SUM(F11:F63)</f>
        <v>22375611610</v>
      </c>
      <c r="G65" s="21">
        <f>SUM(G11:G63)</f>
        <v>486442508</v>
      </c>
      <c r="H65" s="166">
        <f>G65/F65*1000</f>
        <v>21.739853036356845</v>
      </c>
      <c r="L65" s="82">
        <f>G65-'- 54 -'!D65</f>
        <v>0</v>
      </c>
    </row>
    <row r="66" ht="4.5" customHeight="1">
      <c r="B66" s="18"/>
    </row>
    <row r="67" spans="1:6" ht="12.75">
      <c r="A67" s="167"/>
      <c r="B67" s="17" t="s">
        <v>246</v>
      </c>
      <c r="C67" s="100">
        <v>17332120</v>
      </c>
      <c r="D67" s="100">
        <v>191910</v>
      </c>
      <c r="E67" s="100">
        <v>1348600</v>
      </c>
      <c r="F67" s="100">
        <f>SUM(C67:E67)</f>
        <v>18872630</v>
      </c>
    </row>
    <row r="68" spans="1:8" ht="12.75">
      <c r="A68" s="150"/>
      <c r="B68" s="15" t="s">
        <v>247</v>
      </c>
      <c r="C68" s="98">
        <v>6872640</v>
      </c>
      <c r="D68" s="98">
        <v>10854590</v>
      </c>
      <c r="E68" s="98">
        <v>26403690</v>
      </c>
      <c r="F68" s="98">
        <f>SUM(C68:E68)</f>
        <v>44130920</v>
      </c>
      <c r="H68" s="168"/>
    </row>
    <row r="69" spans="3:6" ht="4.5" customHeight="1">
      <c r="C69" s="18"/>
      <c r="D69" s="18"/>
      <c r="E69" s="18"/>
      <c r="F69" s="18"/>
    </row>
    <row r="70" spans="1:8" ht="12" customHeight="1">
      <c r="A70" s="7"/>
      <c r="B70" s="1" t="s">
        <v>248</v>
      </c>
      <c r="C70" s="21">
        <f>SUM(C65,C67:C68)</f>
        <v>13402496690</v>
      </c>
      <c r="D70" s="21">
        <f>SUM(D65,D67:D68)</f>
        <v>2195121850</v>
      </c>
      <c r="E70" s="21">
        <f>SUM(E65,E67:E68)</f>
        <v>6840996620</v>
      </c>
      <c r="F70" s="21">
        <f>SUM(F65,F67:F68)</f>
        <v>22438615160</v>
      </c>
      <c r="G70" s="18"/>
      <c r="H70" s="169"/>
    </row>
    <row r="71" spans="1:8" ht="4.5" customHeight="1">
      <c r="A71" s="7"/>
      <c r="B71" s="7"/>
      <c r="C71" s="18"/>
      <c r="D71" s="18"/>
      <c r="E71" s="18"/>
      <c r="F71" s="18"/>
      <c r="G71" s="18"/>
      <c r="H71" s="18"/>
    </row>
    <row r="72" spans="1:11" ht="12" customHeight="1">
      <c r="A72" s="396" t="s">
        <v>351</v>
      </c>
      <c r="B72" s="7" t="s">
        <v>306</v>
      </c>
      <c r="C72" s="123"/>
      <c r="D72" s="123"/>
      <c r="E72" s="123"/>
      <c r="F72" s="123"/>
      <c r="G72" s="123"/>
      <c r="H72" s="123"/>
      <c r="I72" s="124"/>
      <c r="J72" s="124"/>
      <c r="K72" s="124"/>
    </row>
    <row r="73" spans="1:11" ht="12" customHeight="1">
      <c r="A73" s="377"/>
      <c r="B73" s="359"/>
      <c r="C73" s="123"/>
      <c r="D73" s="123"/>
      <c r="E73" s="123"/>
      <c r="F73" s="123"/>
      <c r="G73" s="123"/>
      <c r="H73" s="123"/>
      <c r="I73" s="124"/>
      <c r="J73" s="124"/>
      <c r="K73" s="124"/>
    </row>
    <row r="74" spans="1:11" ht="12" customHeight="1">
      <c r="A74" s="7"/>
      <c r="B74" s="359"/>
      <c r="C74" s="123"/>
      <c r="D74" s="123"/>
      <c r="E74" s="123"/>
      <c r="F74" s="123"/>
      <c r="G74" s="123"/>
      <c r="H74" s="123"/>
      <c r="I74" s="124"/>
      <c r="J74" s="124"/>
      <c r="K74" s="124"/>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codeName="Sheet44">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4" width="21.83203125" style="82" customWidth="1"/>
    <col min="5" max="5" width="23.83203125" style="82" customWidth="1"/>
    <col min="6" max="6" width="4.83203125" style="82" customWidth="1"/>
    <col min="7" max="7" width="26.83203125" style="82" customWidth="1"/>
    <col min="8" max="16384" width="15.83203125" style="82" customWidth="1"/>
  </cols>
  <sheetData>
    <row r="1" spans="1:2" ht="6.75" customHeight="1">
      <c r="A1" s="18"/>
      <c r="B1" s="80"/>
    </row>
    <row r="2" spans="1:7" ht="12.75">
      <c r="A2" s="12"/>
      <c r="B2" s="106"/>
      <c r="C2" s="107" t="s">
        <v>173</v>
      </c>
      <c r="D2" s="107"/>
      <c r="E2" s="107"/>
      <c r="F2" s="286"/>
      <c r="G2" s="286"/>
    </row>
    <row r="3" spans="1:7" ht="12.75">
      <c r="A3" s="13"/>
      <c r="B3" s="109"/>
      <c r="C3" s="140" t="str">
        <f>TAXYEAR</f>
        <v>FOR THE 2002 TAXATION YEAR</v>
      </c>
      <c r="D3" s="140"/>
      <c r="E3" s="140"/>
      <c r="F3" s="319"/>
      <c r="G3" s="319"/>
    </row>
    <row r="4" spans="1:7" ht="12.75">
      <c r="A4" s="11"/>
      <c r="C4" s="142"/>
      <c r="D4" s="142"/>
      <c r="E4" s="142"/>
      <c r="F4" s="142"/>
      <c r="G4" s="142"/>
    </row>
    <row r="5" spans="1:7" ht="12.75">
      <c r="A5" s="11"/>
      <c r="C5" s="57"/>
      <c r="D5" s="142"/>
      <c r="E5" s="142"/>
      <c r="F5" s="142"/>
      <c r="G5" s="142"/>
    </row>
    <row r="6" spans="1:7" ht="12.75">
      <c r="A6" s="11"/>
      <c r="C6" s="142"/>
      <c r="D6" s="142"/>
      <c r="E6" s="142"/>
      <c r="F6" s="142"/>
      <c r="G6" s="142"/>
    </row>
    <row r="7" spans="1:7" ht="12.75">
      <c r="A7" s="18"/>
      <c r="C7" s="143" t="s">
        <v>97</v>
      </c>
      <c r="D7" s="144"/>
      <c r="E7" s="144"/>
      <c r="F7" s="142"/>
      <c r="G7" s="144" t="s">
        <v>198</v>
      </c>
    </row>
    <row r="8" spans="1:7" ht="12.75">
      <c r="A8" s="94"/>
      <c r="B8" s="46"/>
      <c r="C8" s="145" t="s">
        <v>225</v>
      </c>
      <c r="D8" s="146"/>
      <c r="E8" s="146"/>
      <c r="F8" s="142"/>
      <c r="G8" s="145" t="s">
        <v>75</v>
      </c>
    </row>
    <row r="9" spans="1:9" ht="16.5">
      <c r="A9" s="52" t="s">
        <v>100</v>
      </c>
      <c r="B9" s="53" t="s">
        <v>101</v>
      </c>
      <c r="C9" s="147" t="s">
        <v>223</v>
      </c>
      <c r="D9" s="147" t="s">
        <v>238</v>
      </c>
      <c r="E9" s="147" t="s">
        <v>69</v>
      </c>
      <c r="F9" s="142"/>
      <c r="G9" s="147" t="s">
        <v>408</v>
      </c>
      <c r="H9" s="378"/>
      <c r="I9" s="19"/>
    </row>
    <row r="10" spans="1:9" ht="4.5" customHeight="1">
      <c r="A10" s="77"/>
      <c r="B10" s="77"/>
      <c r="C10" s="148"/>
      <c r="D10" s="148"/>
      <c r="E10" s="148"/>
      <c r="F10" s="6"/>
      <c r="G10" s="148"/>
      <c r="H10" s="19"/>
      <c r="I10" s="19"/>
    </row>
    <row r="11" spans="1:10" ht="12.75" customHeight="1">
      <c r="A11" s="370">
        <v>1</v>
      </c>
      <c r="B11" s="15" t="s">
        <v>115</v>
      </c>
      <c r="C11" s="15">
        <f>'- 50 -'!H11</f>
        <v>47168864.220800005</v>
      </c>
      <c r="D11" s="15">
        <v>107748572</v>
      </c>
      <c r="E11" s="15">
        <f aca="true" t="shared" si="0" ref="E11:E63">SUM(C11,D11)</f>
        <v>154917436.2208</v>
      </c>
      <c r="G11" s="15">
        <v>135130</v>
      </c>
      <c r="H11" s="320"/>
      <c r="I11" s="19"/>
      <c r="J11" s="326">
        <v>1</v>
      </c>
    </row>
    <row r="12" spans="1:10" ht="12.75" customHeight="1">
      <c r="A12" s="371">
        <v>2</v>
      </c>
      <c r="B12" s="17" t="s">
        <v>116</v>
      </c>
      <c r="C12" s="17">
        <f>'- 50 -'!H12</f>
        <v>16909791.632799998</v>
      </c>
      <c r="D12" s="17">
        <v>27188910</v>
      </c>
      <c r="E12" s="17">
        <f t="shared" si="0"/>
        <v>44098701.6328</v>
      </c>
      <c r="G12" s="17">
        <v>176959</v>
      </c>
      <c r="H12" s="320"/>
      <c r="I12" s="19"/>
      <c r="J12" s="326">
        <v>2</v>
      </c>
    </row>
    <row r="13" spans="1:10" ht="12.75" customHeight="1">
      <c r="A13" s="370">
        <v>3</v>
      </c>
      <c r="B13" s="15" t="s">
        <v>117</v>
      </c>
      <c r="C13" s="15">
        <f>'- 50 -'!H13</f>
        <v>7959326.0256</v>
      </c>
      <c r="D13" s="15">
        <v>22983747</v>
      </c>
      <c r="E13" s="15">
        <f t="shared" si="0"/>
        <v>30943073.0256</v>
      </c>
      <c r="G13" s="15">
        <v>164824</v>
      </c>
      <c r="H13" s="320"/>
      <c r="I13" s="19"/>
      <c r="J13" s="326">
        <v>3</v>
      </c>
    </row>
    <row r="14" spans="1:10" ht="12.75" customHeight="1">
      <c r="A14" s="371">
        <v>4</v>
      </c>
      <c r="B14" s="17" t="s">
        <v>118</v>
      </c>
      <c r="C14" s="17">
        <f>'- 50 -'!H14</f>
        <v>9372003.2424</v>
      </c>
      <c r="D14" s="17">
        <v>21210404</v>
      </c>
      <c r="E14" s="17">
        <f t="shared" si="0"/>
        <v>30582407.242399998</v>
      </c>
      <c r="G14" s="17">
        <v>138616</v>
      </c>
      <c r="H14" s="320"/>
      <c r="I14" s="19"/>
      <c r="J14" s="326">
        <v>4</v>
      </c>
    </row>
    <row r="15" spans="1:10" ht="12.75" customHeight="1">
      <c r="A15" s="370">
        <v>5</v>
      </c>
      <c r="B15" s="15" t="s">
        <v>119</v>
      </c>
      <c r="C15" s="15">
        <f>'- 50 -'!H15</f>
        <v>12071183.349</v>
      </c>
      <c r="D15" s="15">
        <v>26600023</v>
      </c>
      <c r="E15" s="15">
        <f t="shared" si="0"/>
        <v>38671206.349</v>
      </c>
      <c r="G15" s="15">
        <v>164604</v>
      </c>
      <c r="H15" s="320"/>
      <c r="I15" s="19"/>
      <c r="J15" s="326">
        <v>5</v>
      </c>
    </row>
    <row r="16" spans="1:10" ht="12.75" customHeight="1">
      <c r="A16" s="371">
        <v>6</v>
      </c>
      <c r="B16" s="17" t="s">
        <v>120</v>
      </c>
      <c r="C16" s="17">
        <f>'- 50 -'!H16</f>
        <v>9242654.0926</v>
      </c>
      <c r="D16" s="17">
        <v>24105260</v>
      </c>
      <c r="E16" s="17">
        <f t="shared" si="0"/>
        <v>33347914.0926</v>
      </c>
      <c r="G16" s="17">
        <v>114864</v>
      </c>
      <c r="H16" s="320"/>
      <c r="I16" s="19"/>
      <c r="J16" s="326">
        <v>6</v>
      </c>
    </row>
    <row r="17" spans="1:10" ht="12.75" customHeight="1">
      <c r="A17" s="370">
        <v>9</v>
      </c>
      <c r="B17" s="15" t="s">
        <v>121</v>
      </c>
      <c r="C17" s="15">
        <f>'- 50 -'!H17</f>
        <v>10638653.541000001</v>
      </c>
      <c r="D17" s="15">
        <v>30650482</v>
      </c>
      <c r="E17" s="15">
        <f t="shared" si="0"/>
        <v>41289135.541</v>
      </c>
      <c r="G17" s="15">
        <v>110813</v>
      </c>
      <c r="H17" s="320"/>
      <c r="I17" s="19"/>
      <c r="J17" s="326">
        <v>9</v>
      </c>
    </row>
    <row r="18" spans="1:10" ht="12.75" customHeight="1">
      <c r="A18" s="371">
        <v>10</v>
      </c>
      <c r="B18" s="17" t="s">
        <v>122</v>
      </c>
      <c r="C18" s="17">
        <f>'- 50 -'!H18</f>
        <v>7430179.215600001</v>
      </c>
      <c r="D18" s="17">
        <v>24460476</v>
      </c>
      <c r="E18" s="17">
        <f t="shared" si="0"/>
        <v>31890655.2156</v>
      </c>
      <c r="G18" s="17">
        <v>105353</v>
      </c>
      <c r="H18" s="320"/>
      <c r="I18" s="19"/>
      <c r="J18" s="326">
        <v>10</v>
      </c>
    </row>
    <row r="19" spans="1:10" ht="12.75" customHeight="1">
      <c r="A19" s="370">
        <v>11</v>
      </c>
      <c r="B19" s="15" t="s">
        <v>123</v>
      </c>
      <c r="C19" s="15">
        <f>'- 50 -'!H19</f>
        <v>5117785.0202</v>
      </c>
      <c r="D19" s="15">
        <v>12810734</v>
      </c>
      <c r="E19" s="15">
        <f t="shared" si="0"/>
        <v>17928519.0202</v>
      </c>
      <c r="G19" s="15">
        <v>140703</v>
      </c>
      <c r="H19" s="320"/>
      <c r="I19" s="19"/>
      <c r="J19" s="326">
        <v>11</v>
      </c>
    </row>
    <row r="20" spans="1:10" ht="12.75" customHeight="1">
      <c r="A20" s="371">
        <v>12</v>
      </c>
      <c r="B20" s="17" t="s">
        <v>124</v>
      </c>
      <c r="C20" s="17">
        <f>'- 50 -'!H20</f>
        <v>9404486.9288</v>
      </c>
      <c r="D20" s="17">
        <v>19803752</v>
      </c>
      <c r="E20" s="17">
        <f t="shared" si="0"/>
        <v>29208238.9288</v>
      </c>
      <c r="G20" s="17">
        <v>121376</v>
      </c>
      <c r="H20" s="320"/>
      <c r="I20" s="19"/>
      <c r="J20" s="326">
        <v>12</v>
      </c>
    </row>
    <row r="21" spans="1:10" ht="12.75" customHeight="1">
      <c r="A21" s="370">
        <v>13</v>
      </c>
      <c r="B21" s="15" t="s">
        <v>125</v>
      </c>
      <c r="C21" s="15">
        <f>'- 50 -'!H21</f>
        <v>3088838.4364</v>
      </c>
      <c r="D21" s="15">
        <v>8328918</v>
      </c>
      <c r="E21" s="15">
        <f t="shared" si="0"/>
        <v>11417756.4364</v>
      </c>
      <c r="G21" s="15">
        <v>149889</v>
      </c>
      <c r="H21" s="320"/>
      <c r="I21" s="19"/>
      <c r="J21" s="326">
        <v>13</v>
      </c>
    </row>
    <row r="22" spans="1:10" ht="12.75" customHeight="1">
      <c r="A22" s="371">
        <v>14</v>
      </c>
      <c r="B22" s="17" t="s">
        <v>126</v>
      </c>
      <c r="C22" s="17">
        <f>'- 50 -'!H22</f>
        <v>3430060.2264</v>
      </c>
      <c r="D22" s="17">
        <v>10225809</v>
      </c>
      <c r="E22" s="17">
        <f t="shared" si="0"/>
        <v>13655869.2264</v>
      </c>
      <c r="G22" s="17">
        <v>90603</v>
      </c>
      <c r="H22" s="320"/>
      <c r="I22" s="19"/>
      <c r="J22" s="326">
        <v>14</v>
      </c>
    </row>
    <row r="23" spans="1:10" ht="12.75" customHeight="1">
      <c r="A23" s="370">
        <v>15</v>
      </c>
      <c r="B23" s="15" t="s">
        <v>127</v>
      </c>
      <c r="C23" s="15">
        <f>'- 50 -'!H23</f>
        <v>4444200.841600001</v>
      </c>
      <c r="D23" s="15">
        <v>8683479</v>
      </c>
      <c r="E23" s="15">
        <f t="shared" si="0"/>
        <v>13127679.8416</v>
      </c>
      <c r="G23" s="15">
        <v>93831</v>
      </c>
      <c r="H23" s="320"/>
      <c r="I23" s="19"/>
      <c r="J23" s="326">
        <v>15</v>
      </c>
    </row>
    <row r="24" spans="1:10" ht="12.75" customHeight="1">
      <c r="A24" s="371">
        <v>16</v>
      </c>
      <c r="B24" s="17" t="s">
        <v>128</v>
      </c>
      <c r="C24" s="17">
        <f>'- 50 -'!H24</f>
        <v>662031.8732</v>
      </c>
      <c r="D24" s="17">
        <v>2266302</v>
      </c>
      <c r="E24" s="17">
        <f t="shared" si="0"/>
        <v>2928333.8732000003</v>
      </c>
      <c r="G24" s="17">
        <v>142107</v>
      </c>
      <c r="H24" s="320"/>
      <c r="I24" s="19"/>
      <c r="J24" s="326">
        <v>16</v>
      </c>
    </row>
    <row r="25" spans="1:10" ht="12.75" customHeight="1">
      <c r="A25" s="370">
        <v>17</v>
      </c>
      <c r="B25" s="15" t="s">
        <v>129</v>
      </c>
      <c r="C25" s="15">
        <f>'- 50 -'!H25</f>
        <v>902012.892</v>
      </c>
      <c r="D25" s="15">
        <v>2679729</v>
      </c>
      <c r="E25" s="15">
        <f t="shared" si="0"/>
        <v>3581741.892</v>
      </c>
      <c r="G25" s="15">
        <v>123810</v>
      </c>
      <c r="H25" s="320"/>
      <c r="I25" s="19"/>
      <c r="J25" s="326">
        <v>17</v>
      </c>
    </row>
    <row r="26" spans="1:10" ht="12.75" customHeight="1">
      <c r="A26" s="371">
        <v>18</v>
      </c>
      <c r="B26" s="17" t="s">
        <v>130</v>
      </c>
      <c r="C26" s="17">
        <f>'- 50 -'!H26</f>
        <v>1138403.6538</v>
      </c>
      <c r="D26" s="17">
        <v>3181040</v>
      </c>
      <c r="E26" s="17">
        <f t="shared" si="0"/>
        <v>4319443.6537999995</v>
      </c>
      <c r="G26" s="17">
        <v>121240</v>
      </c>
      <c r="H26" s="320"/>
      <c r="I26" s="19"/>
      <c r="J26" s="326">
        <v>18</v>
      </c>
    </row>
    <row r="27" spans="1:10" ht="12.75" customHeight="1">
      <c r="A27" s="370">
        <v>19</v>
      </c>
      <c r="B27" s="15" t="s">
        <v>131</v>
      </c>
      <c r="C27" s="15">
        <f>'- 50 -'!H27</f>
        <v>1830836.6266</v>
      </c>
      <c r="D27" s="15">
        <v>5270258</v>
      </c>
      <c r="E27" s="15">
        <f t="shared" si="0"/>
        <v>7101094.6266</v>
      </c>
      <c r="G27" s="15">
        <v>168125</v>
      </c>
      <c r="H27" s="320"/>
      <c r="I27" s="19"/>
      <c r="J27" s="326">
        <v>19</v>
      </c>
    </row>
    <row r="28" spans="1:10" ht="12.75" customHeight="1">
      <c r="A28" s="371">
        <v>20</v>
      </c>
      <c r="B28" s="17" t="s">
        <v>132</v>
      </c>
      <c r="C28" s="17">
        <f>'- 50 -'!H28</f>
        <v>1038698.0786000001</v>
      </c>
      <c r="D28" s="17">
        <v>3515221</v>
      </c>
      <c r="E28" s="17">
        <f t="shared" si="0"/>
        <v>4553919.078600001</v>
      </c>
      <c r="G28" s="17">
        <v>142000</v>
      </c>
      <c r="H28" s="320"/>
      <c r="I28" s="19"/>
      <c r="J28" s="326">
        <v>20</v>
      </c>
    </row>
    <row r="29" spans="1:10" ht="12.75" customHeight="1">
      <c r="A29" s="370">
        <v>21</v>
      </c>
      <c r="B29" s="15" t="s">
        <v>133</v>
      </c>
      <c r="C29" s="15">
        <f>'- 50 -'!H29</f>
        <v>3062568.438</v>
      </c>
      <c r="D29" s="15">
        <v>8245000</v>
      </c>
      <c r="E29" s="15">
        <f t="shared" si="0"/>
        <v>11307568.438000001</v>
      </c>
      <c r="G29" s="15">
        <v>118393</v>
      </c>
      <c r="H29" s="320"/>
      <c r="I29" s="19"/>
      <c r="J29" s="326">
        <v>21</v>
      </c>
    </row>
    <row r="30" spans="1:10" ht="12.75" customHeight="1">
      <c r="A30" s="371">
        <v>22</v>
      </c>
      <c r="B30" s="17" t="s">
        <v>134</v>
      </c>
      <c r="C30" s="17">
        <f>'- 50 -'!H30</f>
        <v>2624875.7358</v>
      </c>
      <c r="D30" s="17">
        <v>5579948</v>
      </c>
      <c r="E30" s="17">
        <f t="shared" si="0"/>
        <v>8204823.7358</v>
      </c>
      <c r="G30" s="17">
        <v>204675</v>
      </c>
      <c r="H30" s="320"/>
      <c r="I30" s="19"/>
      <c r="J30" s="326">
        <v>22</v>
      </c>
    </row>
    <row r="31" spans="1:10" ht="12.75" customHeight="1">
      <c r="A31" s="370">
        <v>23</v>
      </c>
      <c r="B31" s="15" t="s">
        <v>135</v>
      </c>
      <c r="C31" s="15">
        <f>'- 50 -'!H31</f>
        <v>710657.1166000001</v>
      </c>
      <c r="D31" s="15">
        <v>2670917</v>
      </c>
      <c r="E31" s="15">
        <f t="shared" si="0"/>
        <v>3381574.1166000003</v>
      </c>
      <c r="G31" s="15">
        <v>95314</v>
      </c>
      <c r="H31" s="320"/>
      <c r="I31" s="19"/>
      <c r="J31" s="326">
        <v>23</v>
      </c>
    </row>
    <row r="32" spans="1:10" ht="12.75" customHeight="1">
      <c r="A32" s="371">
        <v>24</v>
      </c>
      <c r="B32" s="17" t="s">
        <v>136</v>
      </c>
      <c r="C32" s="17">
        <f>'- 50 -'!H32</f>
        <v>3943489.8696</v>
      </c>
      <c r="D32" s="17">
        <v>8213199</v>
      </c>
      <c r="E32" s="17">
        <f t="shared" si="0"/>
        <v>12156688.8696</v>
      </c>
      <c r="G32" s="17">
        <v>135302</v>
      </c>
      <c r="H32" s="320"/>
      <c r="I32" s="19"/>
      <c r="J32" s="326">
        <v>24</v>
      </c>
    </row>
    <row r="33" spans="1:10" ht="12.75" customHeight="1">
      <c r="A33" s="370">
        <v>25</v>
      </c>
      <c r="B33" s="15" t="s">
        <v>137</v>
      </c>
      <c r="C33" s="15">
        <f>'- 50 -'!H33</f>
        <v>1005300.5538000001</v>
      </c>
      <c r="D33" s="15">
        <v>3934622</v>
      </c>
      <c r="E33" s="15">
        <f t="shared" si="0"/>
        <v>4939922.5538</v>
      </c>
      <c r="G33" s="15">
        <v>162131</v>
      </c>
      <c r="H33" s="320"/>
      <c r="I33" s="19"/>
      <c r="J33" s="326">
        <v>25</v>
      </c>
    </row>
    <row r="34" spans="1:10" ht="12.75" customHeight="1">
      <c r="A34" s="371">
        <v>26</v>
      </c>
      <c r="B34" s="17" t="s">
        <v>138</v>
      </c>
      <c r="C34" s="17">
        <f>'- 50 -'!H34</f>
        <v>2300065.2138</v>
      </c>
      <c r="D34" s="17">
        <v>4974000</v>
      </c>
      <c r="E34" s="17">
        <f t="shared" si="0"/>
        <v>7274065.2138</v>
      </c>
      <c r="G34" s="17">
        <v>105625</v>
      </c>
      <c r="H34" s="320"/>
      <c r="I34" s="19"/>
      <c r="J34" s="326">
        <v>26</v>
      </c>
    </row>
    <row r="35" spans="1:10" ht="12.75" customHeight="1">
      <c r="A35" s="370">
        <v>28</v>
      </c>
      <c r="B35" s="15" t="s">
        <v>139</v>
      </c>
      <c r="C35" s="15">
        <f>'- 50 -'!H35</f>
        <v>613625.6142</v>
      </c>
      <c r="D35" s="15">
        <v>2469829</v>
      </c>
      <c r="E35" s="15">
        <f t="shared" si="0"/>
        <v>3083454.6141999997</v>
      </c>
      <c r="G35" s="15">
        <v>104841</v>
      </c>
      <c r="H35" s="320"/>
      <c r="I35" s="19"/>
      <c r="J35" s="326">
        <v>28</v>
      </c>
    </row>
    <row r="36" spans="1:10" ht="12.75" customHeight="1">
      <c r="A36" s="371">
        <v>30</v>
      </c>
      <c r="B36" s="17" t="s">
        <v>140</v>
      </c>
      <c r="C36" s="17">
        <f>'- 50 -'!H36</f>
        <v>1082808.1132</v>
      </c>
      <c r="D36" s="17">
        <v>3318978</v>
      </c>
      <c r="E36" s="17">
        <f t="shared" si="0"/>
        <v>4401786.1132</v>
      </c>
      <c r="G36" s="17">
        <v>126447</v>
      </c>
      <c r="H36" s="320"/>
      <c r="I36" s="19"/>
      <c r="J36" s="326">
        <v>30</v>
      </c>
    </row>
    <row r="37" spans="1:10" ht="12.75" customHeight="1">
      <c r="A37" s="370">
        <v>31</v>
      </c>
      <c r="B37" s="15" t="s">
        <v>141</v>
      </c>
      <c r="C37" s="15">
        <f>'- 50 -'!H37</f>
        <v>1835734.361</v>
      </c>
      <c r="D37" s="15">
        <v>3904820</v>
      </c>
      <c r="E37" s="15">
        <f t="shared" si="0"/>
        <v>5740554.361</v>
      </c>
      <c r="G37" s="15">
        <v>150858</v>
      </c>
      <c r="H37" s="320"/>
      <c r="I37" s="19"/>
      <c r="J37" s="326">
        <v>31</v>
      </c>
    </row>
    <row r="38" spans="1:10" ht="12.75" customHeight="1">
      <c r="A38" s="371">
        <v>32</v>
      </c>
      <c r="B38" s="17" t="s">
        <v>142</v>
      </c>
      <c r="C38" s="17">
        <f>'- 50 -'!H38</f>
        <v>427116.05</v>
      </c>
      <c r="D38" s="17">
        <v>1998517</v>
      </c>
      <c r="E38" s="17">
        <f t="shared" si="0"/>
        <v>2425633.05</v>
      </c>
      <c r="G38" s="17">
        <v>102884</v>
      </c>
      <c r="H38" s="320"/>
      <c r="I38" s="19"/>
      <c r="J38" s="326">
        <v>32</v>
      </c>
    </row>
    <row r="39" spans="1:10" ht="12.75" customHeight="1">
      <c r="A39" s="370">
        <v>33</v>
      </c>
      <c r="B39" s="15" t="s">
        <v>143</v>
      </c>
      <c r="C39" s="15">
        <f>'- 50 -'!H39</f>
        <v>1593180.5684</v>
      </c>
      <c r="D39" s="15">
        <v>4250977</v>
      </c>
      <c r="E39" s="15">
        <f t="shared" si="0"/>
        <v>5844157.5684</v>
      </c>
      <c r="G39" s="15">
        <v>115046</v>
      </c>
      <c r="H39" s="320"/>
      <c r="I39" s="19"/>
      <c r="J39" s="326">
        <v>33</v>
      </c>
    </row>
    <row r="40" spans="1:10" ht="12.75" customHeight="1">
      <c r="A40" s="371">
        <v>34</v>
      </c>
      <c r="B40" s="17" t="s">
        <v>144</v>
      </c>
      <c r="C40" s="17">
        <f>'- 50 -'!H40</f>
        <v>183143.9406</v>
      </c>
      <c r="D40" s="17">
        <v>1073528</v>
      </c>
      <c r="E40" s="17">
        <f t="shared" si="0"/>
        <v>1256671.9406</v>
      </c>
      <c r="G40" s="17">
        <v>68745</v>
      </c>
      <c r="H40" s="320"/>
      <c r="I40" s="19"/>
      <c r="J40" s="326">
        <v>34</v>
      </c>
    </row>
    <row r="41" spans="1:10" ht="12.75" customHeight="1">
      <c r="A41" s="370">
        <v>35</v>
      </c>
      <c r="B41" s="15" t="s">
        <v>145</v>
      </c>
      <c r="C41" s="15">
        <f>'- 50 -'!H41</f>
        <v>1420440.9331999999</v>
      </c>
      <c r="D41" s="15">
        <v>4413369</v>
      </c>
      <c r="E41" s="15">
        <f t="shared" si="0"/>
        <v>5833809.9332</v>
      </c>
      <c r="G41" s="15">
        <v>112949</v>
      </c>
      <c r="H41" s="320"/>
      <c r="I41" s="19"/>
      <c r="J41" s="326">
        <v>35</v>
      </c>
    </row>
    <row r="42" spans="1:10" ht="12.75" customHeight="1">
      <c r="A42" s="371">
        <v>36</v>
      </c>
      <c r="B42" s="17" t="s">
        <v>146</v>
      </c>
      <c r="C42" s="17">
        <f>'- 50 -'!H42</f>
        <v>754245.4112</v>
      </c>
      <c r="D42" s="17">
        <v>2856840</v>
      </c>
      <c r="E42" s="17">
        <f t="shared" si="0"/>
        <v>3611085.4112</v>
      </c>
      <c r="G42" s="17">
        <v>142916</v>
      </c>
      <c r="H42" s="320"/>
      <c r="I42" s="19"/>
      <c r="J42" s="326">
        <v>36</v>
      </c>
    </row>
    <row r="43" spans="1:10" ht="12.75" customHeight="1">
      <c r="A43" s="370">
        <v>37</v>
      </c>
      <c r="B43" s="15" t="s">
        <v>147</v>
      </c>
      <c r="C43" s="15">
        <f>'- 50 -'!H43</f>
        <v>726251.2722</v>
      </c>
      <c r="D43" s="15">
        <v>2321229</v>
      </c>
      <c r="E43" s="15">
        <f t="shared" si="0"/>
        <v>3047480.2722</v>
      </c>
      <c r="G43" s="15">
        <v>131429</v>
      </c>
      <c r="H43" s="320"/>
      <c r="I43" s="19"/>
      <c r="J43" s="326">
        <v>37</v>
      </c>
    </row>
    <row r="44" spans="1:10" ht="12.75" customHeight="1">
      <c r="A44" s="371">
        <v>38</v>
      </c>
      <c r="B44" s="17" t="s">
        <v>148</v>
      </c>
      <c r="C44" s="17">
        <f>'- 50 -'!H44</f>
        <v>1495356.8442</v>
      </c>
      <c r="D44" s="17">
        <v>3727332</v>
      </c>
      <c r="E44" s="17">
        <f t="shared" si="0"/>
        <v>5222688.8442</v>
      </c>
      <c r="G44" s="17">
        <v>162424</v>
      </c>
      <c r="H44" s="320"/>
      <c r="I44" s="19"/>
      <c r="J44" s="326">
        <v>38</v>
      </c>
    </row>
    <row r="45" spans="1:10" ht="12.75" customHeight="1">
      <c r="A45" s="370">
        <v>39</v>
      </c>
      <c r="B45" s="15" t="s">
        <v>149</v>
      </c>
      <c r="C45" s="15">
        <f>'- 50 -'!H45</f>
        <v>2251500.1486</v>
      </c>
      <c r="D45" s="15">
        <v>5532584</v>
      </c>
      <c r="E45" s="15">
        <f t="shared" si="0"/>
        <v>7784084.1486</v>
      </c>
      <c r="G45" s="15">
        <v>144855</v>
      </c>
      <c r="H45" s="320"/>
      <c r="I45" s="19"/>
      <c r="J45" s="326">
        <v>39</v>
      </c>
    </row>
    <row r="46" spans="1:10" ht="12.75" customHeight="1">
      <c r="A46" s="371">
        <v>40</v>
      </c>
      <c r="B46" s="17" t="s">
        <v>150</v>
      </c>
      <c r="C46" s="17">
        <f>'- 50 -'!H46</f>
        <v>10516983.923</v>
      </c>
      <c r="D46" s="17">
        <v>17086400</v>
      </c>
      <c r="E46" s="17">
        <f t="shared" si="0"/>
        <v>27603383.923</v>
      </c>
      <c r="G46" s="17">
        <v>141908</v>
      </c>
      <c r="H46" s="320"/>
      <c r="I46" s="19"/>
      <c r="J46" s="326">
        <v>40</v>
      </c>
    </row>
    <row r="47" spans="1:10" ht="12.75" customHeight="1">
      <c r="A47" s="370">
        <v>41</v>
      </c>
      <c r="B47" s="15" t="s">
        <v>151</v>
      </c>
      <c r="C47" s="15">
        <f>'- 50 -'!H47</f>
        <v>2216623.9456</v>
      </c>
      <c r="D47" s="15">
        <v>4707544</v>
      </c>
      <c r="E47" s="15">
        <f t="shared" si="0"/>
        <v>6924167.9456</v>
      </c>
      <c r="G47" s="15">
        <v>162225</v>
      </c>
      <c r="H47" s="320"/>
      <c r="I47" s="19"/>
      <c r="J47" s="326">
        <v>41</v>
      </c>
    </row>
    <row r="48" spans="1:10" ht="12.75" customHeight="1">
      <c r="A48" s="371">
        <v>42</v>
      </c>
      <c r="B48" s="17" t="s">
        <v>152</v>
      </c>
      <c r="C48" s="17">
        <f>'- 50 -'!H48</f>
        <v>1116274.969</v>
      </c>
      <c r="D48" s="17">
        <v>3185643</v>
      </c>
      <c r="E48" s="17">
        <f t="shared" si="0"/>
        <v>4301917.9690000005</v>
      </c>
      <c r="G48" s="17">
        <v>156320</v>
      </c>
      <c r="H48" s="320"/>
      <c r="I48" s="19"/>
      <c r="J48" s="326">
        <v>42</v>
      </c>
    </row>
    <row r="49" spans="1:10" ht="12.75" customHeight="1">
      <c r="A49" s="370">
        <v>43</v>
      </c>
      <c r="B49" s="15" t="s">
        <v>153</v>
      </c>
      <c r="C49" s="15">
        <f>'- 50 -'!H49</f>
        <v>723529.7968</v>
      </c>
      <c r="D49" s="15">
        <v>2820833</v>
      </c>
      <c r="E49" s="15">
        <f t="shared" si="0"/>
        <v>3544362.7968</v>
      </c>
      <c r="G49" s="15">
        <v>181357</v>
      </c>
      <c r="H49" s="320"/>
      <c r="I49" s="19"/>
      <c r="J49" s="326">
        <v>43</v>
      </c>
    </row>
    <row r="50" spans="1:10" ht="12.75" customHeight="1">
      <c r="A50" s="371">
        <v>44</v>
      </c>
      <c r="B50" s="17" t="s">
        <v>154</v>
      </c>
      <c r="C50" s="17">
        <f>'- 50 -'!H50</f>
        <v>994490.8914000001</v>
      </c>
      <c r="D50" s="17">
        <v>3515514</v>
      </c>
      <c r="E50" s="17">
        <f t="shared" si="0"/>
        <v>4510004.8914</v>
      </c>
      <c r="G50" s="17">
        <v>142363</v>
      </c>
      <c r="H50" s="320"/>
      <c r="I50" s="19"/>
      <c r="J50" s="326">
        <v>44</v>
      </c>
    </row>
    <row r="51" spans="1:10" ht="12.75" customHeight="1">
      <c r="A51" s="370">
        <v>45</v>
      </c>
      <c r="B51" s="15" t="s">
        <v>155</v>
      </c>
      <c r="C51" s="15">
        <f>'- 50 -'!H51</f>
        <v>1475387.9938</v>
      </c>
      <c r="D51" s="15">
        <v>2975475</v>
      </c>
      <c r="E51" s="15">
        <f t="shared" si="0"/>
        <v>4450862.9938</v>
      </c>
      <c r="G51" s="15">
        <v>81605</v>
      </c>
      <c r="H51" s="320"/>
      <c r="I51" s="19"/>
      <c r="J51" s="326">
        <v>45</v>
      </c>
    </row>
    <row r="52" spans="1:10" ht="12.75" customHeight="1">
      <c r="A52" s="371">
        <v>46</v>
      </c>
      <c r="B52" s="17" t="s">
        <v>156</v>
      </c>
      <c r="C52" s="17">
        <f>'- 50 -'!H52</f>
        <v>666008.6156</v>
      </c>
      <c r="D52" s="17">
        <v>2983511</v>
      </c>
      <c r="E52" s="17">
        <f t="shared" si="0"/>
        <v>3649519.6156</v>
      </c>
      <c r="G52" s="17">
        <v>80618</v>
      </c>
      <c r="H52" s="320"/>
      <c r="I52" s="19"/>
      <c r="J52" s="326">
        <v>46</v>
      </c>
    </row>
    <row r="53" spans="1:10" ht="12.75" customHeight="1">
      <c r="A53" s="370">
        <v>47</v>
      </c>
      <c r="B53" s="15" t="s">
        <v>157</v>
      </c>
      <c r="C53" s="15">
        <f>'- 50 -'!H53</f>
        <v>1376903.6194000002</v>
      </c>
      <c r="D53" s="15">
        <v>3262852</v>
      </c>
      <c r="E53" s="15">
        <f t="shared" si="0"/>
        <v>4639755.6194</v>
      </c>
      <c r="G53" s="15">
        <v>115504</v>
      </c>
      <c r="H53" s="320"/>
      <c r="I53" s="19"/>
      <c r="J53" s="326">
        <v>47</v>
      </c>
    </row>
    <row r="54" spans="1:10" ht="12.75" customHeight="1">
      <c r="A54" s="371">
        <v>48</v>
      </c>
      <c r="B54" s="17" t="s">
        <v>158</v>
      </c>
      <c r="C54" s="17">
        <f>'- 50 -'!H54</f>
        <v>617216.1268</v>
      </c>
      <c r="D54" s="17">
        <v>1307573</v>
      </c>
      <c r="E54" s="17">
        <f t="shared" si="0"/>
        <v>1924789.1268</v>
      </c>
      <c r="G54" s="17">
        <v>24849</v>
      </c>
      <c r="H54" s="320"/>
      <c r="I54" s="19"/>
      <c r="J54" s="326">
        <v>48</v>
      </c>
    </row>
    <row r="55" spans="1:10" ht="12.75" customHeight="1">
      <c r="A55" s="370">
        <v>49</v>
      </c>
      <c r="B55" s="15" t="s">
        <v>159</v>
      </c>
      <c r="C55" s="15">
        <f>'- 50 -'!H55</f>
        <v>0</v>
      </c>
      <c r="D55" s="15"/>
      <c r="E55" s="15">
        <f t="shared" si="0"/>
        <v>0</v>
      </c>
      <c r="G55" s="15">
        <v>118917</v>
      </c>
      <c r="H55" s="320"/>
      <c r="I55" s="19"/>
      <c r="J55" s="326">
        <v>49</v>
      </c>
    </row>
    <row r="56" spans="1:10" ht="12.75" customHeight="1">
      <c r="A56" s="371">
        <v>50</v>
      </c>
      <c r="B56" s="17" t="s">
        <v>340</v>
      </c>
      <c r="C56" s="17">
        <f>'- 50 -'!H56</f>
        <v>1219954.274</v>
      </c>
      <c r="D56" s="17">
        <v>5465309</v>
      </c>
      <c r="E56" s="17">
        <f t="shared" si="0"/>
        <v>6685263.274</v>
      </c>
      <c r="G56" s="17">
        <v>142838</v>
      </c>
      <c r="H56" s="320"/>
      <c r="I56" s="19"/>
      <c r="J56" s="326">
        <v>50</v>
      </c>
    </row>
    <row r="57" spans="1:10" ht="12.75" customHeight="1">
      <c r="A57" s="370">
        <v>2264</v>
      </c>
      <c r="B57" s="15" t="s">
        <v>160</v>
      </c>
      <c r="C57" s="15">
        <f>'- 50 -'!H57</f>
        <v>274938.7288</v>
      </c>
      <c r="D57" s="15">
        <v>479014</v>
      </c>
      <c r="E57" s="15">
        <f t="shared" si="0"/>
        <v>753952.7287999999</v>
      </c>
      <c r="G57" s="15">
        <v>106660</v>
      </c>
      <c r="H57" s="320"/>
      <c r="I57" s="19"/>
      <c r="J57" s="326">
        <v>2264</v>
      </c>
    </row>
    <row r="58" spans="1:10" ht="12.75" customHeight="1">
      <c r="A58" s="371">
        <v>2309</v>
      </c>
      <c r="B58" s="17" t="s">
        <v>161</v>
      </c>
      <c r="C58" s="17">
        <f>'- 50 -'!H58</f>
        <v>100047.5436</v>
      </c>
      <c r="D58" s="17">
        <v>578010</v>
      </c>
      <c r="E58" s="17">
        <f t="shared" si="0"/>
        <v>678057.5436</v>
      </c>
      <c r="G58" s="17">
        <v>56601</v>
      </c>
      <c r="H58" s="320"/>
      <c r="I58" s="19"/>
      <c r="J58" s="326">
        <v>2309</v>
      </c>
    </row>
    <row r="59" spans="1:10" ht="12.75" customHeight="1">
      <c r="A59" s="370">
        <v>2312</v>
      </c>
      <c r="B59" s="15" t="s">
        <v>162</v>
      </c>
      <c r="C59" s="15">
        <f>'- 50 -'!H59</f>
        <v>26495.311999999998</v>
      </c>
      <c r="D59" s="15">
        <v>100000</v>
      </c>
      <c r="E59" s="15">
        <f t="shared" si="0"/>
        <v>126495.312</v>
      </c>
      <c r="G59" s="15">
        <v>13704</v>
      </c>
      <c r="H59" s="320"/>
      <c r="I59" s="19"/>
      <c r="J59" s="326">
        <v>2312</v>
      </c>
    </row>
    <row r="60" spans="1:10" ht="12.75" customHeight="1">
      <c r="A60" s="371">
        <v>2355</v>
      </c>
      <c r="B60" s="17" t="s">
        <v>163</v>
      </c>
      <c r="C60" s="17">
        <f>'- 50 -'!H60</f>
        <v>1771102.9888</v>
      </c>
      <c r="D60" s="17">
        <v>6038530</v>
      </c>
      <c r="E60" s="17">
        <f t="shared" si="0"/>
        <v>7809632.9888</v>
      </c>
      <c r="G60" s="17">
        <v>71572</v>
      </c>
      <c r="H60" s="320"/>
      <c r="I60" s="19"/>
      <c r="J60" s="326">
        <v>2355</v>
      </c>
    </row>
    <row r="61" spans="1:10" ht="12.75" customHeight="1">
      <c r="A61" s="370">
        <v>2439</v>
      </c>
      <c r="B61" s="15" t="s">
        <v>164</v>
      </c>
      <c r="C61" s="15">
        <f>'- 50 -'!H61</f>
        <v>114357.9074</v>
      </c>
      <c r="D61" s="15">
        <v>248025</v>
      </c>
      <c r="E61" s="15">
        <f t="shared" si="0"/>
        <v>362382.9074</v>
      </c>
      <c r="G61" s="15">
        <v>99672</v>
      </c>
      <c r="H61" s="320"/>
      <c r="I61" s="19"/>
      <c r="J61" s="326">
        <v>2439</v>
      </c>
    </row>
    <row r="62" spans="1:10" ht="12.75" customHeight="1">
      <c r="A62" s="371">
        <v>2460</v>
      </c>
      <c r="B62" s="17" t="s">
        <v>165</v>
      </c>
      <c r="C62" s="17">
        <f>'- 50 -'!H62</f>
        <v>159703.1424</v>
      </c>
      <c r="D62" s="17">
        <v>489470</v>
      </c>
      <c r="E62" s="17">
        <f t="shared" si="0"/>
        <v>649173.1424</v>
      </c>
      <c r="G62" s="17">
        <v>52324</v>
      </c>
      <c r="H62" s="320"/>
      <c r="I62" s="19"/>
      <c r="J62" s="326">
        <v>2460</v>
      </c>
    </row>
    <row r="63" spans="1:10" ht="12.75" customHeight="1">
      <c r="A63" s="370">
        <v>3000</v>
      </c>
      <c r="B63" s="15" t="s">
        <v>363</v>
      </c>
      <c r="C63" s="15">
        <f>'- 50 -'!H63</f>
        <v>0</v>
      </c>
      <c r="D63" s="15"/>
      <c r="E63" s="15">
        <f t="shared" si="0"/>
        <v>0</v>
      </c>
      <c r="G63" s="15">
        <v>0</v>
      </c>
      <c r="H63" s="320"/>
      <c r="I63" s="19"/>
      <c r="J63" s="327"/>
    </row>
    <row r="64" spans="8:9" ht="4.5" customHeight="1">
      <c r="H64" s="321"/>
      <c r="I64" s="19"/>
    </row>
    <row r="65" spans="1:9" ht="12" customHeight="1">
      <c r="A65" s="102"/>
      <c r="B65" s="21" t="s">
        <v>166</v>
      </c>
      <c r="C65" s="21">
        <f>SUM(C11:C63)</f>
        <v>201250389.86019996</v>
      </c>
      <c r="D65" s="21">
        <f>SUM(D11:D63)</f>
        <v>486442508</v>
      </c>
      <c r="E65" s="21">
        <f>SUM(E11:E63)</f>
        <v>687692897.8602002</v>
      </c>
      <c r="G65" s="21">
        <v>128105</v>
      </c>
      <c r="H65" s="320"/>
      <c r="I65" s="19"/>
    </row>
    <row r="66" ht="4.5" customHeight="1"/>
    <row r="67" spans="1:2" ht="12" customHeight="1">
      <c r="A67" s="396" t="s">
        <v>351</v>
      </c>
      <c r="B67" s="271" t="s">
        <v>360</v>
      </c>
    </row>
    <row r="68" spans="1:4" ht="12" customHeight="1">
      <c r="A68" s="7"/>
      <c r="B68" s="271" t="s">
        <v>359</v>
      </c>
      <c r="D68" s="151"/>
    </row>
    <row r="69" spans="1:2" ht="12" customHeight="1">
      <c r="A69" s="7"/>
      <c r="B69" s="7" t="s">
        <v>358</v>
      </c>
    </row>
    <row r="70" spans="1:10" ht="12" customHeight="1">
      <c r="A70" s="7"/>
      <c r="B70" s="7" t="s">
        <v>361</v>
      </c>
      <c r="D70" s="123"/>
      <c r="E70" s="123"/>
      <c r="F70" s="124"/>
      <c r="G70" s="123"/>
      <c r="H70" s="124"/>
      <c r="I70" s="124"/>
      <c r="J70" s="124"/>
    </row>
    <row r="71" spans="4:10" ht="12" customHeight="1">
      <c r="D71" s="123"/>
      <c r="E71" s="123"/>
      <c r="F71" s="124"/>
      <c r="G71" s="123"/>
      <c r="H71" s="124"/>
      <c r="I71" s="124"/>
      <c r="J71" s="124"/>
    </row>
    <row r="72" spans="4:10" ht="12" customHeight="1">
      <c r="D72" s="123"/>
      <c r="E72" s="123"/>
      <c r="F72" s="124"/>
      <c r="G72" s="123"/>
      <c r="H72" s="124"/>
      <c r="I72" s="124"/>
      <c r="J72" s="124"/>
    </row>
    <row r="73" spans="4:10" ht="12" customHeight="1">
      <c r="D73" s="123"/>
      <c r="E73" s="123"/>
      <c r="F73" s="124"/>
      <c r="G73" s="123"/>
      <c r="H73" s="124"/>
      <c r="I73" s="124"/>
      <c r="J73" s="124"/>
    </row>
    <row r="74" spans="1:10" ht="12" customHeight="1">
      <c r="A74" s="7"/>
      <c r="B74" s="7"/>
      <c r="C74" s="123"/>
      <c r="D74" s="123"/>
      <c r="E74" s="123"/>
      <c r="F74" s="124"/>
      <c r="G74" s="123"/>
      <c r="H74" s="124"/>
      <c r="I74" s="124"/>
      <c r="J74" s="124"/>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5">
    <pageSetUpPr fitToPage="1"/>
  </sheetPr>
  <dimension ref="A1:G76"/>
  <sheetViews>
    <sheetView showGridLines="0" showZeros="0" workbookViewId="0" topLeftCell="A1">
      <selection activeCell="A1" sqref="A1"/>
    </sheetView>
  </sheetViews>
  <sheetFormatPr defaultColWidth="19.83203125" defaultRowHeight="12"/>
  <cols>
    <col min="1" max="1" width="6.83203125" style="82" customWidth="1"/>
    <col min="2" max="2" width="33.83203125" style="82" customWidth="1"/>
    <col min="3" max="3" width="21.83203125" style="82" customWidth="1"/>
    <col min="4" max="4" width="18.83203125" style="82" customWidth="1"/>
    <col min="5" max="5" width="19.83203125" style="82" customWidth="1"/>
    <col min="6" max="6" width="18.83203125" style="82" customWidth="1"/>
    <col min="7" max="16384" width="19.83203125" style="82" customWidth="1"/>
  </cols>
  <sheetData>
    <row r="1" spans="1:7" ht="6.75" customHeight="1">
      <c r="A1" s="18"/>
      <c r="B1" s="80"/>
      <c r="C1" s="80"/>
      <c r="D1" s="80"/>
      <c r="E1" s="80"/>
      <c r="F1" s="80"/>
      <c r="G1" s="80"/>
    </row>
    <row r="2" spans="1:7" ht="12.75">
      <c r="A2" s="12"/>
      <c r="B2" s="106"/>
      <c r="C2" s="136" t="str">
        <f>REVYEAR</f>
        <v>ANALYSIS OF OPERATING FUND REVENUE: 2002/2003 BUDGET</v>
      </c>
      <c r="D2" s="136"/>
      <c r="E2" s="137"/>
      <c r="F2" s="137"/>
      <c r="G2" s="108" t="s">
        <v>373</v>
      </c>
    </row>
    <row r="3" spans="1:7" ht="12.75">
      <c r="A3" s="13"/>
      <c r="B3" s="109"/>
      <c r="C3" s="80"/>
      <c r="D3" s="80"/>
      <c r="E3" s="80"/>
      <c r="F3" s="80"/>
      <c r="G3" s="80"/>
    </row>
    <row r="4" spans="1:7" ht="12.75">
      <c r="A4" s="11"/>
      <c r="C4" s="111" t="s">
        <v>484</v>
      </c>
      <c r="D4" s="112"/>
      <c r="E4" s="112"/>
      <c r="F4" s="112"/>
      <c r="G4" s="113"/>
    </row>
    <row r="5" spans="1:7" ht="12.75">
      <c r="A5" s="11"/>
      <c r="C5" s="114" t="s">
        <v>486</v>
      </c>
      <c r="D5" s="115"/>
      <c r="E5" s="138"/>
      <c r="F5" s="138"/>
      <c r="G5" s="139"/>
    </row>
    <row r="6" spans="1:7" ht="12.75">
      <c r="A6" s="11"/>
      <c r="C6" s="125" t="s">
        <v>175</v>
      </c>
      <c r="D6" s="107"/>
      <c r="E6" s="107"/>
      <c r="F6" s="140"/>
      <c r="G6" s="141"/>
    </row>
    <row r="7" spans="1:7" ht="12.75">
      <c r="A7" s="18"/>
      <c r="C7" s="117"/>
      <c r="D7" s="46"/>
      <c r="E7" s="46"/>
      <c r="F7" s="46"/>
      <c r="G7" s="46"/>
    </row>
    <row r="8" spans="1:7" ht="12.75">
      <c r="A8" s="94"/>
      <c r="B8" s="46"/>
      <c r="C8" s="120" t="s">
        <v>480</v>
      </c>
      <c r="D8" s="120" t="s">
        <v>508</v>
      </c>
      <c r="E8" s="120" t="s">
        <v>368</v>
      </c>
      <c r="F8" s="120" t="s">
        <v>369</v>
      </c>
      <c r="G8" s="120" t="s">
        <v>200</v>
      </c>
    </row>
    <row r="9" spans="1:7" ht="16.5">
      <c r="A9" s="52" t="s">
        <v>100</v>
      </c>
      <c r="B9" s="53" t="s">
        <v>101</v>
      </c>
      <c r="C9" s="122" t="s">
        <v>452</v>
      </c>
      <c r="D9" s="122" t="s">
        <v>412</v>
      </c>
      <c r="E9" s="122" t="s">
        <v>255</v>
      </c>
      <c r="F9" s="122" t="s">
        <v>29</v>
      </c>
      <c r="G9" s="122" t="s">
        <v>228</v>
      </c>
    </row>
    <row r="10" spans="1:7" ht="4.5" customHeight="1">
      <c r="A10" s="77"/>
      <c r="B10" s="77"/>
      <c r="E10" s="80"/>
      <c r="F10" s="80"/>
      <c r="G10" s="80"/>
    </row>
    <row r="11" spans="1:7" ht="12.75">
      <c r="A11" s="370">
        <v>1</v>
      </c>
      <c r="B11" s="15" t="s">
        <v>115</v>
      </c>
      <c r="C11" s="15">
        <v>53173488</v>
      </c>
      <c r="D11" s="15">
        <v>0</v>
      </c>
      <c r="E11" s="15">
        <v>1523595</v>
      </c>
      <c r="F11" s="15">
        <v>1218876</v>
      </c>
      <c r="G11" s="15">
        <v>2742471</v>
      </c>
    </row>
    <row r="12" spans="1:7" ht="12.75">
      <c r="A12" s="371">
        <v>2</v>
      </c>
      <c r="B12" s="17" t="s">
        <v>116</v>
      </c>
      <c r="C12" s="17">
        <v>15857688</v>
      </c>
      <c r="D12" s="17">
        <v>0</v>
      </c>
      <c r="E12" s="17">
        <v>454375</v>
      </c>
      <c r="F12" s="17">
        <v>363500</v>
      </c>
      <c r="G12" s="17">
        <v>817875</v>
      </c>
    </row>
    <row r="13" spans="1:7" ht="12.75">
      <c r="A13" s="370">
        <v>3</v>
      </c>
      <c r="B13" s="15" t="s">
        <v>117</v>
      </c>
      <c r="C13" s="15">
        <v>11041488</v>
      </c>
      <c r="D13" s="15">
        <v>0</v>
      </c>
      <c r="E13" s="15">
        <v>316375</v>
      </c>
      <c r="F13" s="15">
        <v>253100</v>
      </c>
      <c r="G13" s="15">
        <v>569475</v>
      </c>
    </row>
    <row r="14" spans="1:7" ht="12.75">
      <c r="A14" s="371">
        <v>4</v>
      </c>
      <c r="B14" s="17" t="s">
        <v>118</v>
      </c>
      <c r="C14" s="17">
        <v>10316091</v>
      </c>
      <c r="D14" s="17">
        <v>0</v>
      </c>
      <c r="E14" s="17">
        <v>295590</v>
      </c>
      <c r="F14" s="17">
        <v>236472</v>
      </c>
      <c r="G14" s="17">
        <v>532062</v>
      </c>
    </row>
    <row r="15" spans="1:7" ht="12.75">
      <c r="A15" s="370">
        <v>5</v>
      </c>
      <c r="B15" s="15" t="s">
        <v>119</v>
      </c>
      <c r="C15" s="15">
        <v>12498912</v>
      </c>
      <c r="D15" s="15">
        <v>0</v>
      </c>
      <c r="E15" s="15">
        <v>358135</v>
      </c>
      <c r="F15" s="15">
        <v>286508</v>
      </c>
      <c r="G15" s="15">
        <v>644643</v>
      </c>
    </row>
    <row r="16" spans="1:7" ht="12.75">
      <c r="A16" s="371">
        <v>6</v>
      </c>
      <c r="B16" s="17" t="s">
        <v>120</v>
      </c>
      <c r="C16" s="17">
        <v>15601696</v>
      </c>
      <c r="D16" s="17">
        <v>0</v>
      </c>
      <c r="E16" s="17">
        <v>447040</v>
      </c>
      <c r="F16" s="17">
        <v>357632</v>
      </c>
      <c r="G16" s="17">
        <v>804672</v>
      </c>
    </row>
    <row r="17" spans="1:7" ht="12.75">
      <c r="A17" s="370">
        <v>9</v>
      </c>
      <c r="B17" s="15" t="s">
        <v>121</v>
      </c>
      <c r="C17" s="15">
        <v>21739559</v>
      </c>
      <c r="D17" s="15">
        <v>0</v>
      </c>
      <c r="E17" s="15">
        <v>622910</v>
      </c>
      <c r="F17" s="15">
        <v>498328</v>
      </c>
      <c r="G17" s="15">
        <v>1121238</v>
      </c>
    </row>
    <row r="18" spans="1:7" ht="12.75">
      <c r="A18" s="371">
        <v>10</v>
      </c>
      <c r="B18" s="17" t="s">
        <v>122</v>
      </c>
      <c r="C18" s="17">
        <v>14855011</v>
      </c>
      <c r="D18" s="17">
        <v>0</v>
      </c>
      <c r="E18" s="17">
        <v>425645</v>
      </c>
      <c r="F18" s="17">
        <v>340516</v>
      </c>
      <c r="G18" s="17">
        <v>766161</v>
      </c>
    </row>
    <row r="19" spans="1:7" ht="12.75">
      <c r="A19" s="370">
        <v>11</v>
      </c>
      <c r="B19" s="15" t="s">
        <v>123</v>
      </c>
      <c r="C19" s="15">
        <v>8141298</v>
      </c>
      <c r="D19" s="15">
        <v>385170</v>
      </c>
      <c r="E19" s="15">
        <v>233275</v>
      </c>
      <c r="F19" s="15">
        <v>186620</v>
      </c>
      <c r="G19" s="15">
        <v>419895</v>
      </c>
    </row>
    <row r="20" spans="1:7" ht="12.75">
      <c r="A20" s="371">
        <v>12</v>
      </c>
      <c r="B20" s="17" t="s">
        <v>124</v>
      </c>
      <c r="C20" s="17">
        <v>13460581</v>
      </c>
      <c r="D20" s="17">
        <v>127040</v>
      </c>
      <c r="E20" s="17">
        <v>385690</v>
      </c>
      <c r="F20" s="17">
        <v>308552</v>
      </c>
      <c r="G20" s="17">
        <v>694242</v>
      </c>
    </row>
    <row r="21" spans="1:7" ht="12.75">
      <c r="A21" s="370">
        <v>13</v>
      </c>
      <c r="B21" s="15" t="s">
        <v>125</v>
      </c>
      <c r="C21" s="15">
        <v>4400367</v>
      </c>
      <c r="D21" s="15">
        <v>343973</v>
      </c>
      <c r="E21" s="15">
        <v>126085</v>
      </c>
      <c r="F21" s="15">
        <v>100868</v>
      </c>
      <c r="G21" s="15">
        <v>226953</v>
      </c>
    </row>
    <row r="22" spans="1:7" ht="12.75">
      <c r="A22" s="371">
        <v>14</v>
      </c>
      <c r="B22" s="17" t="s">
        <v>126</v>
      </c>
      <c r="C22" s="17">
        <v>6096507</v>
      </c>
      <c r="D22" s="17">
        <v>530503</v>
      </c>
      <c r="E22" s="17">
        <v>174685</v>
      </c>
      <c r="F22" s="17">
        <v>139748</v>
      </c>
      <c r="G22" s="17">
        <v>314433</v>
      </c>
    </row>
    <row r="23" spans="1:7" ht="12.75">
      <c r="A23" s="370">
        <v>15</v>
      </c>
      <c r="B23" s="15" t="s">
        <v>127</v>
      </c>
      <c r="C23" s="15">
        <v>10505337</v>
      </c>
      <c r="D23" s="15">
        <v>247836</v>
      </c>
      <c r="E23" s="15">
        <v>299085</v>
      </c>
      <c r="F23" s="15">
        <v>239268</v>
      </c>
      <c r="G23" s="15">
        <v>475000</v>
      </c>
    </row>
    <row r="24" spans="1:7" ht="12.75">
      <c r="A24" s="371">
        <v>16</v>
      </c>
      <c r="B24" s="17" t="s">
        <v>128</v>
      </c>
      <c r="C24" s="17">
        <v>1327073</v>
      </c>
      <c r="D24" s="17">
        <v>245433</v>
      </c>
      <c r="E24" s="17">
        <v>38025</v>
      </c>
      <c r="F24" s="17">
        <v>30420</v>
      </c>
      <c r="G24" s="17">
        <v>68445</v>
      </c>
    </row>
    <row r="25" spans="1:7" ht="12.75">
      <c r="A25" s="370">
        <v>17</v>
      </c>
      <c r="B25" s="15" t="s">
        <v>129</v>
      </c>
      <c r="C25" s="15">
        <v>828701</v>
      </c>
      <c r="D25" s="15">
        <v>170791</v>
      </c>
      <c r="E25" s="15">
        <v>23745</v>
      </c>
      <c r="F25" s="15">
        <v>18996</v>
      </c>
      <c r="G25" s="15">
        <v>42741</v>
      </c>
    </row>
    <row r="26" spans="1:7" ht="12.75">
      <c r="A26" s="371">
        <v>18</v>
      </c>
      <c r="B26" s="17" t="s">
        <v>130</v>
      </c>
      <c r="C26" s="17">
        <v>2425725</v>
      </c>
      <c r="D26" s="17">
        <v>124240</v>
      </c>
      <c r="E26" s="17">
        <v>69505</v>
      </c>
      <c r="F26" s="17">
        <v>55604</v>
      </c>
      <c r="G26" s="17">
        <v>125109</v>
      </c>
    </row>
    <row r="27" spans="1:7" ht="12.75">
      <c r="A27" s="370">
        <v>19</v>
      </c>
      <c r="B27" s="15" t="s">
        <v>131</v>
      </c>
      <c r="C27" s="15">
        <v>3198934</v>
      </c>
      <c r="D27" s="15">
        <v>520300</v>
      </c>
      <c r="E27" s="15">
        <v>91660</v>
      </c>
      <c r="F27" s="15">
        <v>73328</v>
      </c>
      <c r="G27" s="15">
        <v>164988</v>
      </c>
    </row>
    <row r="28" spans="1:7" ht="12.75">
      <c r="A28" s="371">
        <v>20</v>
      </c>
      <c r="B28" s="17" t="s">
        <v>132</v>
      </c>
      <c r="C28" s="17">
        <v>1662811</v>
      </c>
      <c r="D28" s="17">
        <v>351369</v>
      </c>
      <c r="E28" s="17">
        <v>47645</v>
      </c>
      <c r="F28" s="17">
        <v>38116</v>
      </c>
      <c r="G28" s="17">
        <v>85761</v>
      </c>
    </row>
    <row r="29" spans="1:7" ht="12.75">
      <c r="A29" s="370">
        <v>21</v>
      </c>
      <c r="B29" s="15" t="s">
        <v>133</v>
      </c>
      <c r="C29" s="15">
        <v>5963014</v>
      </c>
      <c r="D29" s="15">
        <v>459040</v>
      </c>
      <c r="E29" s="15">
        <v>170860</v>
      </c>
      <c r="F29" s="15">
        <v>136688</v>
      </c>
      <c r="G29" s="15">
        <v>307548</v>
      </c>
    </row>
    <row r="30" spans="1:7" ht="12.75">
      <c r="A30" s="371">
        <v>22</v>
      </c>
      <c r="B30" s="17" t="s">
        <v>134</v>
      </c>
      <c r="C30" s="17">
        <v>2852377</v>
      </c>
      <c r="D30" s="17">
        <v>215701</v>
      </c>
      <c r="E30" s="17">
        <v>81730</v>
      </c>
      <c r="F30" s="17">
        <v>65384</v>
      </c>
      <c r="G30" s="17">
        <v>147114</v>
      </c>
    </row>
    <row r="31" spans="1:7" ht="12.75">
      <c r="A31" s="370">
        <v>23</v>
      </c>
      <c r="B31" s="15" t="s">
        <v>135</v>
      </c>
      <c r="C31" s="15">
        <v>2412463</v>
      </c>
      <c r="D31" s="15">
        <v>450348</v>
      </c>
      <c r="E31" s="15">
        <v>69125</v>
      </c>
      <c r="F31" s="15">
        <v>55300</v>
      </c>
      <c r="G31" s="15">
        <v>124425</v>
      </c>
    </row>
    <row r="32" spans="1:7" ht="12.75">
      <c r="A32" s="371">
        <v>24</v>
      </c>
      <c r="B32" s="17" t="s">
        <v>136</v>
      </c>
      <c r="C32" s="17">
        <v>6082372</v>
      </c>
      <c r="D32" s="17">
        <v>229692</v>
      </c>
      <c r="E32" s="17">
        <v>174280</v>
      </c>
      <c r="F32" s="17">
        <v>139424</v>
      </c>
      <c r="G32" s="17">
        <v>313704</v>
      </c>
    </row>
    <row r="33" spans="1:7" ht="12.75">
      <c r="A33" s="370">
        <v>25</v>
      </c>
      <c r="B33" s="15" t="s">
        <v>137</v>
      </c>
      <c r="C33" s="15">
        <v>2540546</v>
      </c>
      <c r="D33" s="15">
        <v>341432</v>
      </c>
      <c r="E33" s="15">
        <v>72795</v>
      </c>
      <c r="F33" s="15">
        <v>58236</v>
      </c>
      <c r="G33" s="15">
        <v>131031</v>
      </c>
    </row>
    <row r="34" spans="1:7" ht="12.75">
      <c r="A34" s="371">
        <v>26</v>
      </c>
      <c r="B34" s="17" t="s">
        <v>138</v>
      </c>
      <c r="C34" s="17">
        <v>4961210</v>
      </c>
      <c r="D34" s="17">
        <v>274775</v>
      </c>
      <c r="E34" s="17">
        <v>142155</v>
      </c>
      <c r="F34" s="17">
        <v>113724</v>
      </c>
      <c r="G34" s="17">
        <v>255879</v>
      </c>
    </row>
    <row r="35" spans="1:7" ht="12.75">
      <c r="A35" s="370">
        <v>28</v>
      </c>
      <c r="B35" s="15" t="s">
        <v>139</v>
      </c>
      <c r="C35" s="15">
        <v>1479062</v>
      </c>
      <c r="D35" s="15">
        <v>337795</v>
      </c>
      <c r="E35" s="15">
        <v>42380</v>
      </c>
      <c r="F35" s="15">
        <v>33904</v>
      </c>
      <c r="G35" s="15">
        <v>76284</v>
      </c>
    </row>
    <row r="36" spans="1:7" ht="12.75">
      <c r="A36" s="371">
        <v>30</v>
      </c>
      <c r="B36" s="17" t="s">
        <v>140</v>
      </c>
      <c r="C36" s="17">
        <v>2271292</v>
      </c>
      <c r="D36" s="17">
        <v>331468</v>
      </c>
      <c r="E36" s="17">
        <v>65080</v>
      </c>
      <c r="F36" s="17">
        <v>52064</v>
      </c>
      <c r="G36" s="17">
        <v>117144</v>
      </c>
    </row>
    <row r="37" spans="1:7" ht="12.75">
      <c r="A37" s="370">
        <v>31</v>
      </c>
      <c r="B37" s="15" t="s">
        <v>141</v>
      </c>
      <c r="C37" s="15">
        <v>2874364</v>
      </c>
      <c r="D37" s="15">
        <v>180694</v>
      </c>
      <c r="E37" s="15">
        <v>82360</v>
      </c>
      <c r="F37" s="15">
        <v>65888</v>
      </c>
      <c r="G37" s="15">
        <v>148248</v>
      </c>
    </row>
    <row r="38" spans="1:7" ht="12.75">
      <c r="A38" s="371">
        <v>32</v>
      </c>
      <c r="B38" s="17" t="s">
        <v>142</v>
      </c>
      <c r="C38" s="17">
        <v>1437880</v>
      </c>
      <c r="D38" s="17">
        <v>325430</v>
      </c>
      <c r="E38" s="17">
        <v>41200</v>
      </c>
      <c r="F38" s="17">
        <v>32960</v>
      </c>
      <c r="G38" s="17">
        <v>74160</v>
      </c>
    </row>
    <row r="39" spans="1:7" ht="12.75">
      <c r="A39" s="370">
        <v>33</v>
      </c>
      <c r="B39" s="15" t="s">
        <v>143</v>
      </c>
      <c r="C39" s="15">
        <v>3263325</v>
      </c>
      <c r="D39" s="15">
        <v>240410</v>
      </c>
      <c r="E39" s="15">
        <v>93505</v>
      </c>
      <c r="F39" s="15">
        <v>74804</v>
      </c>
      <c r="G39" s="15">
        <v>168309</v>
      </c>
    </row>
    <row r="40" spans="1:7" ht="12.75">
      <c r="A40" s="371">
        <v>34</v>
      </c>
      <c r="B40" s="17" t="s">
        <v>144</v>
      </c>
      <c r="C40" s="17">
        <v>1176479</v>
      </c>
      <c r="D40" s="17">
        <v>250006</v>
      </c>
      <c r="E40" s="17">
        <v>33710</v>
      </c>
      <c r="F40" s="17">
        <v>26968</v>
      </c>
      <c r="G40" s="17">
        <v>60678</v>
      </c>
    </row>
    <row r="41" spans="1:7" ht="12.75">
      <c r="A41" s="370">
        <v>35</v>
      </c>
      <c r="B41" s="15" t="s">
        <v>145</v>
      </c>
      <c r="C41" s="15">
        <v>3202948</v>
      </c>
      <c r="D41" s="15">
        <v>353755</v>
      </c>
      <c r="E41" s="15">
        <v>91775</v>
      </c>
      <c r="F41" s="15">
        <v>73420</v>
      </c>
      <c r="G41" s="15">
        <v>165195</v>
      </c>
    </row>
    <row r="42" spans="1:7" ht="12.75">
      <c r="A42" s="371">
        <v>36</v>
      </c>
      <c r="B42" s="17" t="s">
        <v>146</v>
      </c>
      <c r="C42" s="17">
        <v>1708530</v>
      </c>
      <c r="D42" s="17">
        <v>198529</v>
      </c>
      <c r="E42" s="17">
        <v>48955</v>
      </c>
      <c r="F42" s="17">
        <v>39164</v>
      </c>
      <c r="G42" s="17">
        <v>88119</v>
      </c>
    </row>
    <row r="43" spans="1:7" ht="12.75">
      <c r="A43" s="370">
        <v>37</v>
      </c>
      <c r="B43" s="15" t="s">
        <v>147</v>
      </c>
      <c r="C43" s="15">
        <v>1583937</v>
      </c>
      <c r="D43" s="15">
        <v>217833</v>
      </c>
      <c r="E43" s="15">
        <v>45385</v>
      </c>
      <c r="F43" s="15">
        <v>36308</v>
      </c>
      <c r="G43" s="15">
        <v>81693</v>
      </c>
    </row>
    <row r="44" spans="1:7" ht="12.75">
      <c r="A44" s="371">
        <v>38</v>
      </c>
      <c r="B44" s="17" t="s">
        <v>148</v>
      </c>
      <c r="C44" s="17">
        <v>1904842</v>
      </c>
      <c r="D44" s="17">
        <v>386135</v>
      </c>
      <c r="E44" s="17">
        <v>54580</v>
      </c>
      <c r="F44" s="17">
        <v>43664</v>
      </c>
      <c r="G44" s="17">
        <v>98244</v>
      </c>
    </row>
    <row r="45" spans="1:7" ht="12.75">
      <c r="A45" s="370">
        <v>39</v>
      </c>
      <c r="B45" s="15" t="s">
        <v>149</v>
      </c>
      <c r="C45" s="15">
        <v>3552122</v>
      </c>
      <c r="D45" s="15">
        <v>431629</v>
      </c>
      <c r="E45" s="15">
        <v>101780</v>
      </c>
      <c r="F45" s="15">
        <v>81424</v>
      </c>
      <c r="G45" s="15">
        <v>183204</v>
      </c>
    </row>
    <row r="46" spans="1:7" ht="12.75">
      <c r="A46" s="371">
        <v>40</v>
      </c>
      <c r="B46" s="17" t="s">
        <v>150</v>
      </c>
      <c r="C46" s="17">
        <v>12746000</v>
      </c>
      <c r="D46" s="17">
        <v>103500</v>
      </c>
      <c r="E46" s="17">
        <v>365200</v>
      </c>
      <c r="F46" s="17">
        <v>292200</v>
      </c>
      <c r="G46" s="17">
        <v>657400</v>
      </c>
    </row>
    <row r="47" spans="1:7" ht="12.75">
      <c r="A47" s="370">
        <v>41</v>
      </c>
      <c r="B47" s="15" t="s">
        <v>151</v>
      </c>
      <c r="C47" s="15">
        <v>2720455</v>
      </c>
      <c r="D47" s="15">
        <v>318179</v>
      </c>
      <c r="E47" s="15">
        <v>77950</v>
      </c>
      <c r="F47" s="15">
        <v>62360</v>
      </c>
      <c r="G47" s="15">
        <v>140310</v>
      </c>
    </row>
    <row r="48" spans="1:7" ht="12.75">
      <c r="A48" s="371">
        <v>42</v>
      </c>
      <c r="B48" s="17" t="s">
        <v>152</v>
      </c>
      <c r="C48" s="17">
        <v>1844465</v>
      </c>
      <c r="D48" s="17">
        <v>275273</v>
      </c>
      <c r="E48" s="17">
        <v>52850</v>
      </c>
      <c r="F48" s="17">
        <v>42280</v>
      </c>
      <c r="G48" s="17">
        <v>95130</v>
      </c>
    </row>
    <row r="49" spans="1:7" ht="12.75">
      <c r="A49" s="370">
        <v>43</v>
      </c>
      <c r="B49" s="15" t="s">
        <v>153</v>
      </c>
      <c r="C49" s="15">
        <v>1354993</v>
      </c>
      <c r="D49" s="15">
        <v>271938</v>
      </c>
      <c r="E49" s="15">
        <v>38825</v>
      </c>
      <c r="F49" s="15">
        <v>31060</v>
      </c>
      <c r="G49" s="15">
        <v>69885</v>
      </c>
    </row>
    <row r="50" spans="1:7" ht="12.75">
      <c r="A50" s="371">
        <v>44</v>
      </c>
      <c r="B50" s="17" t="s">
        <v>154</v>
      </c>
      <c r="C50" s="17">
        <v>2164847</v>
      </c>
      <c r="D50" s="17">
        <v>168293</v>
      </c>
      <c r="E50" s="17">
        <v>62030</v>
      </c>
      <c r="F50" s="17">
        <v>49624</v>
      </c>
      <c r="G50" s="17">
        <v>111654</v>
      </c>
    </row>
    <row r="51" spans="1:7" ht="12.75">
      <c r="A51" s="370">
        <v>45</v>
      </c>
      <c r="B51" s="15" t="s">
        <v>155</v>
      </c>
      <c r="C51" s="15">
        <v>2935788</v>
      </c>
      <c r="D51" s="15" t="s">
        <v>3</v>
      </c>
      <c r="E51" s="15">
        <v>84120</v>
      </c>
      <c r="F51" s="15">
        <v>67296</v>
      </c>
      <c r="G51" s="15">
        <v>151416</v>
      </c>
    </row>
    <row r="52" spans="1:7" ht="12.75">
      <c r="A52" s="371">
        <v>46</v>
      </c>
      <c r="B52" s="17" t="s">
        <v>156</v>
      </c>
      <c r="C52" s="17">
        <v>2244070</v>
      </c>
      <c r="D52" s="17">
        <v>0</v>
      </c>
      <c r="E52" s="17">
        <v>64300</v>
      </c>
      <c r="F52" s="17">
        <v>51440</v>
      </c>
      <c r="G52" s="17">
        <v>115740</v>
      </c>
    </row>
    <row r="53" spans="1:7" ht="12.75">
      <c r="A53" s="370">
        <v>47</v>
      </c>
      <c r="B53" s="15" t="s">
        <v>157</v>
      </c>
      <c r="C53" s="15">
        <v>2519082</v>
      </c>
      <c r="D53" s="15">
        <v>36498</v>
      </c>
      <c r="E53" s="15">
        <v>72180</v>
      </c>
      <c r="F53" s="15">
        <v>57744</v>
      </c>
      <c r="G53" s="15">
        <v>129924</v>
      </c>
    </row>
    <row r="54" spans="1:7" ht="12.75">
      <c r="A54" s="371">
        <v>48</v>
      </c>
      <c r="B54" s="17" t="s">
        <v>158</v>
      </c>
      <c r="C54" s="17">
        <v>3904699</v>
      </c>
      <c r="D54" s="17">
        <v>926245</v>
      </c>
      <c r="E54" s="17">
        <v>111883</v>
      </c>
      <c r="F54" s="17">
        <v>89506</v>
      </c>
      <c r="G54" s="17">
        <v>201389</v>
      </c>
    </row>
    <row r="55" spans="1:7" ht="12.75">
      <c r="A55" s="370">
        <v>49</v>
      </c>
      <c r="B55" s="15" t="s">
        <v>159</v>
      </c>
      <c r="C55" s="15">
        <v>7424626</v>
      </c>
      <c r="D55" s="15">
        <v>759276</v>
      </c>
      <c r="E55" s="15">
        <v>212740</v>
      </c>
      <c r="F55" s="15">
        <v>170192</v>
      </c>
      <c r="G55" s="15">
        <v>382932</v>
      </c>
    </row>
    <row r="56" spans="1:7" ht="12.75">
      <c r="A56" s="371">
        <v>50</v>
      </c>
      <c r="B56" s="17" t="s">
        <v>340</v>
      </c>
      <c r="C56" s="17">
        <v>3075214</v>
      </c>
      <c r="D56" s="17">
        <v>634414</v>
      </c>
      <c r="E56" s="17">
        <v>88115</v>
      </c>
      <c r="F56" s="17">
        <v>70492</v>
      </c>
      <c r="G56" s="17">
        <v>158607</v>
      </c>
    </row>
    <row r="57" spans="1:7" ht="12.75">
      <c r="A57" s="370">
        <v>2264</v>
      </c>
      <c r="B57" s="15" t="s">
        <v>160</v>
      </c>
      <c r="C57" s="15">
        <v>344638</v>
      </c>
      <c r="D57" s="15">
        <v>75603</v>
      </c>
      <c r="E57" s="15">
        <v>9875</v>
      </c>
      <c r="F57" s="15">
        <v>7900</v>
      </c>
      <c r="G57" s="15">
        <v>17775</v>
      </c>
    </row>
    <row r="58" spans="1:7" ht="12.75">
      <c r="A58" s="371">
        <v>2309</v>
      </c>
      <c r="B58" s="17" t="s">
        <v>161</v>
      </c>
      <c r="C58" s="17">
        <v>456947</v>
      </c>
      <c r="D58" s="17">
        <v>86073</v>
      </c>
      <c r="E58" s="17">
        <v>13075</v>
      </c>
      <c r="F58" s="17">
        <v>10468</v>
      </c>
      <c r="G58" s="17">
        <v>23553</v>
      </c>
    </row>
    <row r="59" spans="1:7" ht="12.75">
      <c r="A59" s="370">
        <v>2312</v>
      </c>
      <c r="B59" s="15" t="s">
        <v>162</v>
      </c>
      <c r="C59" s="15">
        <v>302758</v>
      </c>
      <c r="D59" s="15">
        <v>70042</v>
      </c>
      <c r="E59" s="15">
        <v>8675</v>
      </c>
      <c r="F59" s="15">
        <v>6940</v>
      </c>
      <c r="G59" s="15">
        <v>15615</v>
      </c>
    </row>
    <row r="60" spans="1:7" ht="12.75">
      <c r="A60" s="371">
        <v>2355</v>
      </c>
      <c r="B60" s="17" t="s">
        <v>163</v>
      </c>
      <c r="C60" s="17">
        <v>5680457</v>
      </c>
      <c r="D60" s="17">
        <v>0</v>
      </c>
      <c r="E60" s="17">
        <v>163030</v>
      </c>
      <c r="F60" s="17">
        <v>130424</v>
      </c>
      <c r="G60" s="17">
        <v>293124</v>
      </c>
    </row>
    <row r="61" spans="1:7" ht="12.75">
      <c r="A61" s="370">
        <v>2439</v>
      </c>
      <c r="B61" s="15" t="s">
        <v>164</v>
      </c>
      <c r="C61" s="15">
        <v>246918</v>
      </c>
      <c r="D61" s="15">
        <v>60859</v>
      </c>
      <c r="E61" s="15">
        <v>7075</v>
      </c>
      <c r="F61" s="15">
        <v>5660</v>
      </c>
      <c r="G61" s="15">
        <v>12735</v>
      </c>
    </row>
    <row r="62" spans="1:7" ht="12.75">
      <c r="A62" s="371">
        <v>2460</v>
      </c>
      <c r="B62" s="17" t="s">
        <v>165</v>
      </c>
      <c r="C62" s="17">
        <v>474989</v>
      </c>
      <c r="D62" s="17">
        <v>87131</v>
      </c>
      <c r="E62" s="17">
        <v>13610</v>
      </c>
      <c r="F62" s="17">
        <v>10888</v>
      </c>
      <c r="G62" s="17">
        <v>24498</v>
      </c>
    </row>
    <row r="63" spans="1:7" ht="12.75">
      <c r="A63" s="370">
        <v>3000</v>
      </c>
      <c r="B63" s="15" t="s">
        <v>363</v>
      </c>
      <c r="C63" s="15">
        <v>0</v>
      </c>
      <c r="D63" s="15">
        <v>0</v>
      </c>
      <c r="E63" s="15">
        <v>0</v>
      </c>
      <c r="F63" s="15">
        <v>0</v>
      </c>
      <c r="G63" s="15">
        <v>0</v>
      </c>
    </row>
    <row r="64" ht="4.5" customHeight="1"/>
    <row r="65" spans="1:7" ht="12.75">
      <c r="A65" s="102"/>
      <c r="B65" s="21" t="s">
        <v>166</v>
      </c>
      <c r="C65" s="21">
        <f>SUM(C11:C63)</f>
        <v>306838976</v>
      </c>
      <c r="D65" s="21">
        <f>SUM(D11:D63)</f>
        <v>12144651</v>
      </c>
      <c r="E65" s="21">
        <f>SUM(E11:E63)</f>
        <v>8790253</v>
      </c>
      <c r="F65" s="21">
        <f>SUM(F11:F63)</f>
        <v>7032250</v>
      </c>
      <c r="G65" s="21">
        <f>SUM(G11:G63)</f>
        <v>15758830</v>
      </c>
    </row>
    <row r="66" ht="4.5" customHeight="1"/>
    <row r="67" spans="1:7" ht="12.75">
      <c r="A67" s="99">
        <v>2155</v>
      </c>
      <c r="B67" s="100" t="s">
        <v>167</v>
      </c>
      <c r="C67" s="100">
        <v>60417</v>
      </c>
      <c r="D67" s="100">
        <v>0</v>
      </c>
      <c r="E67" s="100">
        <v>3325</v>
      </c>
      <c r="F67" s="100">
        <v>2660</v>
      </c>
      <c r="G67" s="100">
        <v>5985</v>
      </c>
    </row>
    <row r="68" spans="1:7" ht="12.75">
      <c r="A68" s="97">
        <v>2408</v>
      </c>
      <c r="B68" s="98" t="s">
        <v>169</v>
      </c>
      <c r="C68" s="98">
        <v>168716</v>
      </c>
      <c r="D68" s="98">
        <v>0</v>
      </c>
      <c r="E68" s="98">
        <v>12200</v>
      </c>
      <c r="F68" s="98">
        <v>9760</v>
      </c>
      <c r="G68" s="98">
        <v>21960</v>
      </c>
    </row>
    <row r="69" spans="3:7" ht="6.75" customHeight="1">
      <c r="C69" s="18"/>
      <c r="D69" s="18"/>
      <c r="E69" s="18"/>
      <c r="G69" s="18"/>
    </row>
    <row r="70" spans="1:7" ht="12" customHeight="1">
      <c r="A70" s="396" t="s">
        <v>351</v>
      </c>
      <c r="B70" s="271" t="s">
        <v>491</v>
      </c>
      <c r="D70" s="123"/>
      <c r="E70" s="123"/>
      <c r="F70" s="123"/>
      <c r="G70" s="123"/>
    </row>
    <row r="71" spans="1:7" ht="12" customHeight="1">
      <c r="A71" s="396" t="s">
        <v>352</v>
      </c>
      <c r="B71" s="271" t="s">
        <v>492</v>
      </c>
      <c r="D71" s="123"/>
      <c r="E71" s="123"/>
      <c r="F71" s="123"/>
      <c r="G71" s="123"/>
    </row>
    <row r="72" spans="1:7" ht="12" customHeight="1">
      <c r="A72" s="7"/>
      <c r="B72" s="271"/>
      <c r="D72" s="123"/>
      <c r="E72" s="123"/>
      <c r="F72" s="123"/>
      <c r="G72" s="123"/>
    </row>
    <row r="73" spans="3:7" ht="12" customHeight="1">
      <c r="C73" s="18"/>
      <c r="D73" s="129"/>
      <c r="E73" s="129"/>
      <c r="F73" s="129"/>
      <c r="G73" s="129"/>
    </row>
    <row r="74" spans="1:7" ht="12" customHeight="1">
      <c r="A74" s="7"/>
      <c r="B74" s="7"/>
      <c r="C74" s="18"/>
      <c r="D74" s="18"/>
      <c r="E74" s="18"/>
      <c r="F74" s="18"/>
      <c r="G74" s="18"/>
    </row>
    <row r="75" spans="3:7" ht="12" customHeight="1">
      <c r="C75" s="18"/>
      <c r="D75" s="18"/>
      <c r="E75" s="18"/>
      <c r="F75" s="18"/>
      <c r="G75" s="18"/>
    </row>
    <row r="76" spans="4:7" ht="12.75">
      <c r="D76" s="18"/>
      <c r="E76" s="18"/>
      <c r="F76" s="18"/>
      <c r="G76" s="18"/>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51">
    <pageSetUpPr fitToPage="1"/>
  </sheetPr>
  <dimension ref="A1:G76"/>
  <sheetViews>
    <sheetView showGridLines="0" showZeros="0" workbookViewId="0" topLeftCell="A1">
      <selection activeCell="A1" sqref="A1"/>
    </sheetView>
  </sheetViews>
  <sheetFormatPr defaultColWidth="19.83203125" defaultRowHeight="12"/>
  <cols>
    <col min="1" max="1" width="6.83203125" style="82" customWidth="1"/>
    <col min="2" max="2" width="32.83203125" style="82" customWidth="1"/>
    <col min="3" max="3" width="18.83203125" style="82" customWidth="1"/>
    <col min="4" max="5" width="20.83203125" style="82" customWidth="1"/>
    <col min="6" max="7" width="18.83203125" style="82" customWidth="1"/>
    <col min="8" max="16384" width="19.83203125" style="82" customWidth="1"/>
  </cols>
  <sheetData>
    <row r="1" spans="1:7" ht="6.75" customHeight="1">
      <c r="A1" s="18"/>
      <c r="B1" s="80"/>
      <c r="C1" s="80"/>
      <c r="D1" s="80"/>
      <c r="E1" s="80"/>
      <c r="F1" s="80"/>
      <c r="G1" s="80"/>
    </row>
    <row r="2" spans="1:7" ht="12.75">
      <c r="A2" s="12"/>
      <c r="B2" s="106"/>
      <c r="C2" s="136" t="str">
        <f>REVYEAR</f>
        <v>ANALYSIS OF OPERATING FUND REVENUE: 2002/2003 BUDGET</v>
      </c>
      <c r="D2" s="136"/>
      <c r="E2" s="137"/>
      <c r="F2" s="398"/>
      <c r="G2" s="108" t="s">
        <v>374</v>
      </c>
    </row>
    <row r="3" spans="1:7" ht="12.75">
      <c r="A3" s="13"/>
      <c r="B3" s="109"/>
      <c r="C3" s="109"/>
      <c r="D3" s="80"/>
      <c r="E3" s="80"/>
      <c r="F3" s="80"/>
      <c r="G3" s="80"/>
    </row>
    <row r="4" spans="1:7" ht="12.75">
      <c r="A4" s="11"/>
      <c r="C4" s="111" t="s">
        <v>484</v>
      </c>
      <c r="D4" s="112"/>
      <c r="E4" s="112"/>
      <c r="F4" s="112"/>
      <c r="G4" s="113"/>
    </row>
    <row r="5" spans="1:7" ht="12.75">
      <c r="A5" s="11"/>
      <c r="C5" s="114" t="s">
        <v>485</v>
      </c>
      <c r="D5" s="115"/>
      <c r="E5" s="115"/>
      <c r="F5" s="138"/>
      <c r="G5" s="116"/>
    </row>
    <row r="6" spans="1:7" ht="12.75">
      <c r="A6" s="11"/>
      <c r="C6" s="125" t="s">
        <v>175</v>
      </c>
      <c r="D6" s="107"/>
      <c r="E6" s="107"/>
      <c r="F6" s="107"/>
      <c r="G6" s="132"/>
    </row>
    <row r="7" spans="1:7" ht="12.75">
      <c r="A7" s="18"/>
      <c r="C7" s="117" t="s">
        <v>183</v>
      </c>
      <c r="D7" s="46"/>
      <c r="E7" s="46"/>
      <c r="F7" s="46"/>
      <c r="G7" s="117" t="s">
        <v>69</v>
      </c>
    </row>
    <row r="8" spans="1:7" ht="12.75">
      <c r="A8" s="94"/>
      <c r="B8" s="46"/>
      <c r="C8" s="120" t="s">
        <v>197</v>
      </c>
      <c r="D8" s="120" t="s">
        <v>199</v>
      </c>
      <c r="E8" s="120" t="s">
        <v>201</v>
      </c>
      <c r="F8" s="119"/>
      <c r="G8" s="120" t="s">
        <v>202</v>
      </c>
    </row>
    <row r="9" spans="1:7" ht="16.5">
      <c r="A9" s="52" t="s">
        <v>100</v>
      </c>
      <c r="B9" s="53" t="s">
        <v>101</v>
      </c>
      <c r="C9" s="122" t="s">
        <v>490</v>
      </c>
      <c r="D9" s="122" t="s">
        <v>227</v>
      </c>
      <c r="E9" s="122" t="s">
        <v>229</v>
      </c>
      <c r="F9" s="122" t="s">
        <v>226</v>
      </c>
      <c r="G9" s="122" t="s">
        <v>225</v>
      </c>
    </row>
    <row r="10" spans="1:7" ht="4.5" customHeight="1">
      <c r="A10" s="77"/>
      <c r="B10" s="77"/>
      <c r="C10" s="80"/>
      <c r="F10" s="80"/>
      <c r="G10" s="80"/>
    </row>
    <row r="11" spans="1:7" ht="12.75">
      <c r="A11" s="370">
        <v>1</v>
      </c>
      <c r="B11" s="15" t="s">
        <v>115</v>
      </c>
      <c r="C11" s="15">
        <v>7922694</v>
      </c>
      <c r="D11" s="15">
        <v>1580706</v>
      </c>
      <c r="E11" s="15">
        <v>1036045</v>
      </c>
      <c r="F11" s="15">
        <v>14025000</v>
      </c>
      <c r="G11" s="15">
        <f>SUM('- 55 -'!C11:G11,C11:F11)</f>
        <v>83222875</v>
      </c>
    </row>
    <row r="12" spans="1:7" ht="12.75">
      <c r="A12" s="371">
        <v>2</v>
      </c>
      <c r="B12" s="17" t="s">
        <v>116</v>
      </c>
      <c r="C12" s="17">
        <v>2362750</v>
      </c>
      <c r="D12" s="17">
        <v>477486</v>
      </c>
      <c r="E12" s="17">
        <v>308975</v>
      </c>
      <c r="F12" s="17">
        <v>3795000</v>
      </c>
      <c r="G12" s="17">
        <f>SUM('- 55 -'!C12:G12,C12:F12)</f>
        <v>24437649</v>
      </c>
    </row>
    <row r="13" spans="1:7" ht="12.75">
      <c r="A13" s="370">
        <v>3</v>
      </c>
      <c r="B13" s="15" t="s">
        <v>117</v>
      </c>
      <c r="C13" s="15">
        <v>1645150</v>
      </c>
      <c r="D13" s="15">
        <v>361333</v>
      </c>
      <c r="E13" s="15">
        <v>215135</v>
      </c>
      <c r="F13" s="15">
        <v>2227500</v>
      </c>
      <c r="G13" s="15">
        <f>SUM('- 55 -'!C13:G13,C13:F13)</f>
        <v>16629556</v>
      </c>
    </row>
    <row r="14" spans="1:7" ht="12.75">
      <c r="A14" s="371">
        <v>4</v>
      </c>
      <c r="B14" s="17" t="s">
        <v>118</v>
      </c>
      <c r="C14" s="17">
        <v>1537068</v>
      </c>
      <c r="D14" s="17">
        <v>306032</v>
      </c>
      <c r="E14" s="17">
        <v>201001</v>
      </c>
      <c r="F14" s="17">
        <v>2805000</v>
      </c>
      <c r="G14" s="17">
        <f>SUM('- 55 -'!C14:G14,C14:F14)</f>
        <v>16229316</v>
      </c>
    </row>
    <row r="15" spans="1:7" ht="12.75">
      <c r="A15" s="370">
        <v>5</v>
      </c>
      <c r="B15" s="15" t="s">
        <v>119</v>
      </c>
      <c r="C15" s="15">
        <v>1862302</v>
      </c>
      <c r="D15" s="15">
        <v>380701</v>
      </c>
      <c r="E15" s="15">
        <v>243532</v>
      </c>
      <c r="F15" s="15">
        <v>2475000</v>
      </c>
      <c r="G15" s="15">
        <f>SUM('- 55 -'!C15:G15,C15:F15)</f>
        <v>18749733</v>
      </c>
    </row>
    <row r="16" spans="1:7" ht="12.75">
      <c r="A16" s="371">
        <v>6</v>
      </c>
      <c r="B16" s="17" t="s">
        <v>120</v>
      </c>
      <c r="C16" s="17">
        <v>2324608</v>
      </c>
      <c r="D16" s="17">
        <v>487228</v>
      </c>
      <c r="E16" s="17">
        <v>303987</v>
      </c>
      <c r="F16" s="17">
        <v>3300000</v>
      </c>
      <c r="G16" s="17">
        <f>SUM('- 55 -'!C16:G16,C16:F16)</f>
        <v>23626863</v>
      </c>
    </row>
    <row r="17" spans="1:7" ht="12.75">
      <c r="A17" s="370">
        <v>9</v>
      </c>
      <c r="B17" s="15" t="s">
        <v>121</v>
      </c>
      <c r="C17" s="15">
        <v>3239132</v>
      </c>
      <c r="D17" s="15">
        <v>681814</v>
      </c>
      <c r="E17" s="15">
        <v>423579</v>
      </c>
      <c r="F17" s="15">
        <v>4785000</v>
      </c>
      <c r="G17" s="15">
        <f>SUM('- 55 -'!C17:G17,C17:F17)</f>
        <v>33111560</v>
      </c>
    </row>
    <row r="18" spans="1:7" ht="12.75">
      <c r="A18" s="371">
        <v>10</v>
      </c>
      <c r="B18" s="17" t="s">
        <v>122</v>
      </c>
      <c r="C18" s="17">
        <v>2213354</v>
      </c>
      <c r="D18" s="17">
        <v>460627</v>
      </c>
      <c r="E18" s="17">
        <v>289439</v>
      </c>
      <c r="F18" s="17">
        <v>2970000</v>
      </c>
      <c r="G18" s="17">
        <f>SUM('- 55 -'!C18:G18,C18:F18)</f>
        <v>22320753</v>
      </c>
    </row>
    <row r="19" spans="1:7" ht="12.75">
      <c r="A19" s="370">
        <v>11</v>
      </c>
      <c r="B19" s="15" t="s">
        <v>123</v>
      </c>
      <c r="C19" s="15">
        <v>1213030</v>
      </c>
      <c r="D19" s="15">
        <v>251535</v>
      </c>
      <c r="E19" s="15">
        <v>158627</v>
      </c>
      <c r="F19" s="15">
        <v>1650000</v>
      </c>
      <c r="G19" s="15">
        <f>SUM('- 55 -'!C19:G19,C19:F19)</f>
        <v>12639450</v>
      </c>
    </row>
    <row r="20" spans="1:7" ht="12.75">
      <c r="A20" s="371">
        <v>12</v>
      </c>
      <c r="B20" s="17" t="s">
        <v>124</v>
      </c>
      <c r="C20" s="17">
        <v>2005588</v>
      </c>
      <c r="D20" s="17">
        <v>419168</v>
      </c>
      <c r="E20" s="17">
        <v>262269</v>
      </c>
      <c r="F20" s="17">
        <v>2805000</v>
      </c>
      <c r="G20" s="17">
        <f>SUM('- 55 -'!C20:G20,C20:F20)</f>
        <v>20468130</v>
      </c>
    </row>
    <row r="21" spans="1:7" ht="12.75">
      <c r="A21" s="370">
        <v>13</v>
      </c>
      <c r="B21" s="15" t="s">
        <v>125</v>
      </c>
      <c r="C21" s="15">
        <v>655642</v>
      </c>
      <c r="D21" s="15">
        <v>134250</v>
      </c>
      <c r="E21" s="15">
        <v>85738</v>
      </c>
      <c r="F21" s="15">
        <v>1237500</v>
      </c>
      <c r="G21" s="15">
        <f>SUM('- 55 -'!C21:G21,C21:F21)</f>
        <v>7311376</v>
      </c>
    </row>
    <row r="22" spans="1:7" ht="12.75">
      <c r="A22" s="371">
        <v>14</v>
      </c>
      <c r="B22" s="17" t="s">
        <v>126</v>
      </c>
      <c r="C22" s="17">
        <v>908362</v>
      </c>
      <c r="D22" s="17">
        <v>185386</v>
      </c>
      <c r="E22" s="17">
        <v>118786</v>
      </c>
      <c r="F22" s="17">
        <v>1485000</v>
      </c>
      <c r="G22" s="17">
        <f>SUM('- 55 -'!C22:G22,C22:F22)</f>
        <v>9953410</v>
      </c>
    </row>
    <row r="23" spans="1:7" ht="12.75">
      <c r="A23" s="370">
        <v>15</v>
      </c>
      <c r="B23" s="15" t="s">
        <v>127</v>
      </c>
      <c r="C23" s="15">
        <v>1515000</v>
      </c>
      <c r="D23" s="15">
        <v>307147</v>
      </c>
      <c r="E23" s="15">
        <v>152000</v>
      </c>
      <c r="F23" s="15">
        <v>1980000</v>
      </c>
      <c r="G23" s="15">
        <f>SUM('- 55 -'!C23:G23,C23:F23)</f>
        <v>15720673</v>
      </c>
    </row>
    <row r="24" spans="1:7" ht="12.75">
      <c r="A24" s="371">
        <v>16</v>
      </c>
      <c r="B24" s="17" t="s">
        <v>128</v>
      </c>
      <c r="C24" s="17">
        <v>197730</v>
      </c>
      <c r="D24" s="17">
        <v>41410</v>
      </c>
      <c r="E24" s="17">
        <v>25857</v>
      </c>
      <c r="F24" s="17">
        <v>330000</v>
      </c>
      <c r="G24" s="17">
        <f>SUM('- 55 -'!C24:G24,C24:F24)</f>
        <v>2304393</v>
      </c>
    </row>
    <row r="25" spans="1:7" ht="12.75">
      <c r="A25" s="370">
        <v>17</v>
      </c>
      <c r="B25" s="15" t="s">
        <v>129</v>
      </c>
      <c r="C25" s="15">
        <v>123474</v>
      </c>
      <c r="D25" s="15">
        <v>25576</v>
      </c>
      <c r="E25" s="15">
        <v>16147</v>
      </c>
      <c r="F25" s="15">
        <v>286907</v>
      </c>
      <c r="G25" s="15">
        <f>SUM('- 55 -'!C25:G25,C25:F25)</f>
        <v>1537078</v>
      </c>
    </row>
    <row r="26" spans="1:7" ht="12.75">
      <c r="A26" s="371">
        <v>18</v>
      </c>
      <c r="B26" s="17" t="s">
        <v>130</v>
      </c>
      <c r="C26" s="17">
        <v>361426</v>
      </c>
      <c r="D26" s="17">
        <v>70036</v>
      </c>
      <c r="E26" s="17">
        <v>47263</v>
      </c>
      <c r="F26" s="17">
        <v>660000</v>
      </c>
      <c r="G26" s="17">
        <f>SUM('- 55 -'!C26:G26,C26:F26)</f>
        <v>3938908</v>
      </c>
    </row>
    <row r="27" spans="1:7" ht="12.75">
      <c r="A27" s="370">
        <v>19</v>
      </c>
      <c r="B27" s="15" t="s">
        <v>131</v>
      </c>
      <c r="C27" s="15">
        <v>476632</v>
      </c>
      <c r="D27" s="15">
        <v>100319</v>
      </c>
      <c r="E27" s="15">
        <v>62329</v>
      </c>
      <c r="F27" s="15">
        <v>990000</v>
      </c>
      <c r="G27" s="15">
        <f>SUM('- 55 -'!C27:G27,C27:F27)</f>
        <v>5678490</v>
      </c>
    </row>
    <row r="28" spans="1:7" ht="12.75">
      <c r="A28" s="371">
        <v>20</v>
      </c>
      <c r="B28" s="17" t="s">
        <v>132</v>
      </c>
      <c r="C28" s="17">
        <v>247754</v>
      </c>
      <c r="D28" s="17">
        <v>47921</v>
      </c>
      <c r="E28" s="17">
        <v>32399</v>
      </c>
      <c r="F28" s="17">
        <v>467681</v>
      </c>
      <c r="G28" s="17">
        <f>SUM('- 55 -'!C28:G28,C28:F28)</f>
        <v>2981457</v>
      </c>
    </row>
    <row r="29" spans="1:7" ht="12.75">
      <c r="A29" s="370">
        <v>21</v>
      </c>
      <c r="B29" s="15" t="s">
        <v>133</v>
      </c>
      <c r="C29" s="15">
        <v>888472</v>
      </c>
      <c r="D29" s="15">
        <v>187919</v>
      </c>
      <c r="E29" s="15">
        <v>116185</v>
      </c>
      <c r="F29" s="15">
        <v>1605683</v>
      </c>
      <c r="G29" s="15">
        <f>SUM('- 55 -'!C29:G29,C29:F29)</f>
        <v>9835409</v>
      </c>
    </row>
    <row r="30" spans="1:7" ht="12.75">
      <c r="A30" s="371">
        <v>22</v>
      </c>
      <c r="B30" s="17" t="s">
        <v>134</v>
      </c>
      <c r="C30" s="17">
        <v>424996</v>
      </c>
      <c r="D30" s="17">
        <v>89798</v>
      </c>
      <c r="E30" s="17">
        <v>55576</v>
      </c>
      <c r="F30" s="17">
        <v>825000</v>
      </c>
      <c r="G30" s="17">
        <f>SUM('- 55 -'!C30:G30,C30:F30)</f>
        <v>4757676</v>
      </c>
    </row>
    <row r="31" spans="1:7" ht="12.75">
      <c r="A31" s="370">
        <v>23</v>
      </c>
      <c r="B31" s="15" t="s">
        <v>135</v>
      </c>
      <c r="C31" s="15">
        <v>359450</v>
      </c>
      <c r="D31" s="15">
        <v>74661</v>
      </c>
      <c r="E31" s="15">
        <v>47005</v>
      </c>
      <c r="F31" s="15">
        <v>668196</v>
      </c>
      <c r="G31" s="15">
        <f>SUM('- 55 -'!C31:G31,C31:F31)</f>
        <v>4260973</v>
      </c>
    </row>
    <row r="32" spans="1:7" ht="12.75">
      <c r="A32" s="371">
        <v>24</v>
      </c>
      <c r="B32" s="17" t="s">
        <v>136</v>
      </c>
      <c r="C32" s="17">
        <v>906256</v>
      </c>
      <c r="D32" s="17">
        <v>188280</v>
      </c>
      <c r="E32" s="17">
        <v>118510</v>
      </c>
      <c r="F32" s="17">
        <v>1847176</v>
      </c>
      <c r="G32" s="17">
        <f>SUM('- 55 -'!C32:G32,C32:F32)</f>
        <v>9999694</v>
      </c>
    </row>
    <row r="33" spans="1:7" ht="12.75">
      <c r="A33" s="370">
        <v>25</v>
      </c>
      <c r="B33" s="15" t="s">
        <v>137</v>
      </c>
      <c r="C33" s="15">
        <v>378534</v>
      </c>
      <c r="D33" s="15">
        <v>80147</v>
      </c>
      <c r="E33" s="15">
        <v>49501</v>
      </c>
      <c r="F33" s="15">
        <v>751927</v>
      </c>
      <c r="G33" s="15">
        <f>SUM('- 55 -'!C33:G33,C33:F33)</f>
        <v>4404149</v>
      </c>
    </row>
    <row r="34" spans="1:7" ht="12.75">
      <c r="A34" s="371">
        <v>26</v>
      </c>
      <c r="B34" s="17" t="s">
        <v>138</v>
      </c>
      <c r="C34" s="17">
        <v>739206</v>
      </c>
      <c r="D34" s="17">
        <v>146091</v>
      </c>
      <c r="E34" s="17">
        <v>96665</v>
      </c>
      <c r="F34" s="17">
        <v>907500</v>
      </c>
      <c r="G34" s="17">
        <f>SUM('- 55 -'!C34:G34,C34:F34)</f>
        <v>7637205</v>
      </c>
    </row>
    <row r="35" spans="1:7" ht="12.75">
      <c r="A35" s="370">
        <v>28</v>
      </c>
      <c r="B35" s="15" t="s">
        <v>139</v>
      </c>
      <c r="C35" s="15">
        <v>220376</v>
      </c>
      <c r="D35" s="15">
        <v>47019</v>
      </c>
      <c r="E35" s="15">
        <v>28818</v>
      </c>
      <c r="F35" s="15">
        <v>410394</v>
      </c>
      <c r="G35" s="15">
        <f>SUM('- 55 -'!C35:G35,C35:F35)</f>
        <v>2676032</v>
      </c>
    </row>
    <row r="36" spans="1:7" ht="12.75">
      <c r="A36" s="371">
        <v>30</v>
      </c>
      <c r="B36" s="17" t="s">
        <v>140</v>
      </c>
      <c r="C36" s="17">
        <v>338416</v>
      </c>
      <c r="D36" s="17">
        <v>69790</v>
      </c>
      <c r="E36" s="17">
        <v>44254</v>
      </c>
      <c r="F36" s="17">
        <v>639197</v>
      </c>
      <c r="G36" s="17">
        <f>SUM('- 55 -'!C36:G36,C36:F36)</f>
        <v>3928705</v>
      </c>
    </row>
    <row r="37" spans="1:7" ht="12.75">
      <c r="A37" s="370">
        <v>31</v>
      </c>
      <c r="B37" s="15" t="s">
        <v>141</v>
      </c>
      <c r="C37" s="15">
        <v>428272</v>
      </c>
      <c r="D37" s="15">
        <v>89806</v>
      </c>
      <c r="E37" s="15">
        <v>56005</v>
      </c>
      <c r="F37" s="15">
        <v>765000</v>
      </c>
      <c r="G37" s="15">
        <f>SUM('- 55 -'!C37:G37,C37:F37)</f>
        <v>4690637</v>
      </c>
    </row>
    <row r="38" spans="1:7" ht="12.75">
      <c r="A38" s="371">
        <v>32</v>
      </c>
      <c r="B38" s="17" t="s">
        <v>142</v>
      </c>
      <c r="C38" s="17">
        <v>214240</v>
      </c>
      <c r="D38" s="17">
        <v>41984</v>
      </c>
      <c r="E38" s="17">
        <v>28016</v>
      </c>
      <c r="F38" s="17">
        <v>488618</v>
      </c>
      <c r="G38" s="17">
        <f>SUM('- 55 -'!C38:G38,C38:F38)</f>
        <v>2684488</v>
      </c>
    </row>
    <row r="39" spans="1:7" ht="12.75">
      <c r="A39" s="370">
        <v>33</v>
      </c>
      <c r="B39" s="15" t="s">
        <v>143</v>
      </c>
      <c r="C39" s="15">
        <v>486226</v>
      </c>
      <c r="D39" s="15">
        <v>103902</v>
      </c>
      <c r="E39" s="15">
        <v>63583</v>
      </c>
      <c r="F39" s="15">
        <v>951509</v>
      </c>
      <c r="G39" s="15">
        <f>SUM('- 55 -'!C39:G39,C39:F39)</f>
        <v>5445573</v>
      </c>
    </row>
    <row r="40" spans="1:7" ht="12.75">
      <c r="A40" s="371">
        <v>34</v>
      </c>
      <c r="B40" s="17" t="s">
        <v>144</v>
      </c>
      <c r="C40" s="17">
        <v>175292</v>
      </c>
      <c r="D40" s="17">
        <v>38064</v>
      </c>
      <c r="E40" s="17">
        <v>22923</v>
      </c>
      <c r="F40" s="17">
        <v>514628</v>
      </c>
      <c r="G40" s="17">
        <f>SUM('- 55 -'!C40:G40,C40:F40)</f>
        <v>2298748</v>
      </c>
    </row>
    <row r="41" spans="1:7" ht="12.75">
      <c r="A41" s="370">
        <v>35</v>
      </c>
      <c r="B41" s="15" t="s">
        <v>145</v>
      </c>
      <c r="C41" s="15">
        <v>477230</v>
      </c>
      <c r="D41" s="15">
        <v>99302</v>
      </c>
      <c r="E41" s="15">
        <v>62407</v>
      </c>
      <c r="F41" s="15">
        <v>990000</v>
      </c>
      <c r="G41" s="15">
        <f>SUM('- 55 -'!C41:G41,C41:F41)</f>
        <v>5516032</v>
      </c>
    </row>
    <row r="42" spans="1:7" ht="12.75">
      <c r="A42" s="371">
        <v>36</v>
      </c>
      <c r="B42" s="17" t="s">
        <v>146</v>
      </c>
      <c r="C42" s="17">
        <v>254566</v>
      </c>
      <c r="D42" s="17">
        <v>54538</v>
      </c>
      <c r="E42" s="17">
        <v>33289</v>
      </c>
      <c r="F42" s="17">
        <v>577500</v>
      </c>
      <c r="G42" s="17">
        <f>SUM('- 55 -'!C42:G42,C42:F42)</f>
        <v>3003190</v>
      </c>
    </row>
    <row r="43" spans="1:7" ht="12.75">
      <c r="A43" s="370">
        <v>37</v>
      </c>
      <c r="B43" s="15" t="s">
        <v>147</v>
      </c>
      <c r="C43" s="15">
        <v>236002</v>
      </c>
      <c r="D43" s="15">
        <v>48150</v>
      </c>
      <c r="E43" s="15">
        <v>30862</v>
      </c>
      <c r="F43" s="15">
        <v>522183</v>
      </c>
      <c r="G43" s="15">
        <f>SUM('- 55 -'!C43:G43,C43:F43)</f>
        <v>2802353</v>
      </c>
    </row>
    <row r="44" spans="1:7" ht="12.75">
      <c r="A44" s="371">
        <v>38</v>
      </c>
      <c r="B44" s="17" t="s">
        <v>148</v>
      </c>
      <c r="C44" s="17">
        <v>283816</v>
      </c>
      <c r="D44" s="17">
        <v>61180</v>
      </c>
      <c r="E44" s="17">
        <v>37114</v>
      </c>
      <c r="F44" s="17">
        <v>668973</v>
      </c>
      <c r="G44" s="17">
        <f>SUM('- 55 -'!C44:G44,C44:F44)</f>
        <v>3538548</v>
      </c>
    </row>
    <row r="45" spans="1:7" ht="12.75">
      <c r="A45" s="370">
        <v>39</v>
      </c>
      <c r="B45" s="15" t="s">
        <v>149</v>
      </c>
      <c r="C45" s="15">
        <v>529256</v>
      </c>
      <c r="D45" s="15">
        <v>111159</v>
      </c>
      <c r="E45" s="15">
        <v>69210</v>
      </c>
      <c r="F45" s="15">
        <v>1038376</v>
      </c>
      <c r="G45" s="15">
        <f>SUM('- 55 -'!C45:G45,C45:F45)</f>
        <v>6098160</v>
      </c>
    </row>
    <row r="46" spans="1:7" ht="12.75">
      <c r="A46" s="371">
        <v>40</v>
      </c>
      <c r="B46" s="17" t="s">
        <v>150</v>
      </c>
      <c r="C46" s="17">
        <v>1899100</v>
      </c>
      <c r="D46" s="17">
        <v>394200</v>
      </c>
      <c r="E46" s="17">
        <v>248300</v>
      </c>
      <c r="F46" s="17">
        <v>2805000</v>
      </c>
      <c r="G46" s="17">
        <f>SUM('- 55 -'!C46:G46,C46:F46)</f>
        <v>19510900</v>
      </c>
    </row>
    <row r="47" spans="1:7" ht="12.75">
      <c r="A47" s="370">
        <v>41</v>
      </c>
      <c r="B47" s="15" t="s">
        <v>151</v>
      </c>
      <c r="C47" s="15">
        <v>405340</v>
      </c>
      <c r="D47" s="15">
        <v>85690</v>
      </c>
      <c r="E47" s="15">
        <v>53006</v>
      </c>
      <c r="F47" s="15">
        <v>907500</v>
      </c>
      <c r="G47" s="15">
        <f>SUM('- 55 -'!C47:G47,C47:F47)</f>
        <v>4770790</v>
      </c>
    </row>
    <row r="48" spans="1:7" ht="12.75">
      <c r="A48" s="371">
        <v>42</v>
      </c>
      <c r="B48" s="17" t="s">
        <v>152</v>
      </c>
      <c r="C48" s="17">
        <v>274820</v>
      </c>
      <c r="D48" s="17">
        <v>58343</v>
      </c>
      <c r="E48" s="17">
        <v>35938</v>
      </c>
      <c r="F48" s="17">
        <v>571200</v>
      </c>
      <c r="G48" s="17">
        <f>SUM('- 55 -'!C48:G48,C48:F48)</f>
        <v>3250299</v>
      </c>
    </row>
    <row r="49" spans="1:7" ht="12.75">
      <c r="A49" s="370">
        <v>43</v>
      </c>
      <c r="B49" s="15" t="s">
        <v>153</v>
      </c>
      <c r="C49" s="15">
        <v>201890</v>
      </c>
      <c r="D49" s="15">
        <v>42148</v>
      </c>
      <c r="E49" s="15">
        <v>26401</v>
      </c>
      <c r="F49" s="15">
        <v>435184</v>
      </c>
      <c r="G49" s="15">
        <f>SUM('- 55 -'!C49:G49,C49:F49)</f>
        <v>2472324</v>
      </c>
    </row>
    <row r="50" spans="1:7" ht="12.75">
      <c r="A50" s="371">
        <v>44</v>
      </c>
      <c r="B50" s="17" t="s">
        <v>154</v>
      </c>
      <c r="C50" s="17">
        <v>322556</v>
      </c>
      <c r="D50" s="17">
        <v>69216</v>
      </c>
      <c r="E50" s="17">
        <v>42180</v>
      </c>
      <c r="F50" s="17">
        <v>577500</v>
      </c>
      <c r="G50" s="17">
        <f>SUM('- 55 -'!C50:G50,C50:F50)</f>
        <v>3567900</v>
      </c>
    </row>
    <row r="51" spans="1:7" ht="12.75">
      <c r="A51" s="370">
        <v>45</v>
      </c>
      <c r="B51" s="15" t="s">
        <v>155</v>
      </c>
      <c r="C51" s="15">
        <v>437424</v>
      </c>
      <c r="D51" s="15">
        <v>85214</v>
      </c>
      <c r="E51" s="15">
        <v>57202</v>
      </c>
      <c r="F51" s="15">
        <v>825000</v>
      </c>
      <c r="G51" s="15">
        <f>SUM('- 55 -'!C51:G51,C51:F51)</f>
        <v>4643460</v>
      </c>
    </row>
    <row r="52" spans="1:7" ht="12.75">
      <c r="A52" s="371">
        <v>46</v>
      </c>
      <c r="B52" s="17" t="s">
        <v>156</v>
      </c>
      <c r="C52" s="17">
        <v>334360</v>
      </c>
      <c r="D52" s="17">
        <v>70807</v>
      </c>
      <c r="E52" s="17">
        <v>43724</v>
      </c>
      <c r="F52" s="17">
        <v>660000</v>
      </c>
      <c r="G52" s="17">
        <f>SUM('- 55 -'!C52:G52,C52:F52)</f>
        <v>3584441</v>
      </c>
    </row>
    <row r="53" spans="1:7" ht="12.75">
      <c r="A53" s="370">
        <v>47</v>
      </c>
      <c r="B53" s="15" t="s">
        <v>157</v>
      </c>
      <c r="C53" s="15">
        <v>375336</v>
      </c>
      <c r="D53" s="15">
        <v>77744</v>
      </c>
      <c r="E53" s="15">
        <v>49082</v>
      </c>
      <c r="F53" s="15">
        <v>577500</v>
      </c>
      <c r="G53" s="15">
        <f>SUM('- 55 -'!C53:G53,C53:F53)</f>
        <v>3895090</v>
      </c>
    </row>
    <row r="54" spans="1:7" ht="12.75">
      <c r="A54" s="371">
        <v>48</v>
      </c>
      <c r="B54" s="17" t="s">
        <v>158</v>
      </c>
      <c r="C54" s="17">
        <v>581789</v>
      </c>
      <c r="D54" s="17">
        <v>102594</v>
      </c>
      <c r="E54" s="17">
        <v>76080</v>
      </c>
      <c r="F54" s="17">
        <v>3161149</v>
      </c>
      <c r="G54" s="17">
        <f>SUM('- 55 -'!C54:G54,C54:F54)</f>
        <v>9155334</v>
      </c>
    </row>
    <row r="55" spans="1:7" ht="12.75">
      <c r="A55" s="370">
        <v>49</v>
      </c>
      <c r="B55" s="15" t="s">
        <v>159</v>
      </c>
      <c r="C55" s="15">
        <v>1106248</v>
      </c>
      <c r="D55" s="15">
        <v>221056</v>
      </c>
      <c r="E55" s="15">
        <v>144663</v>
      </c>
      <c r="F55" s="15">
        <v>2145000</v>
      </c>
      <c r="G55" s="15">
        <f>SUM('- 55 -'!C55:G55,C55:F55)</f>
        <v>12566733</v>
      </c>
    </row>
    <row r="56" spans="1:7" ht="12.75">
      <c r="A56" s="371">
        <v>50</v>
      </c>
      <c r="B56" s="17" t="s">
        <v>340</v>
      </c>
      <c r="C56" s="17">
        <v>458198</v>
      </c>
      <c r="D56" s="17">
        <v>97072</v>
      </c>
      <c r="E56" s="17">
        <v>59918</v>
      </c>
      <c r="F56" s="17">
        <v>1180785</v>
      </c>
      <c r="G56" s="17">
        <f>SUM('- 55 -'!C56:G56,C56:F56)</f>
        <v>5822815</v>
      </c>
    </row>
    <row r="57" spans="1:7" ht="12.75">
      <c r="A57" s="370">
        <v>2264</v>
      </c>
      <c r="B57" s="15" t="s">
        <v>160</v>
      </c>
      <c r="C57" s="15">
        <v>51350</v>
      </c>
      <c r="D57" s="15">
        <v>8774</v>
      </c>
      <c r="E57" s="15">
        <v>6715</v>
      </c>
      <c r="F57" s="15">
        <v>138749</v>
      </c>
      <c r="G57" s="15">
        <f>SUM('- 55 -'!C57:G57,C57:F57)</f>
        <v>661379</v>
      </c>
    </row>
    <row r="58" spans="1:7" ht="12.75">
      <c r="A58" s="371">
        <v>2309</v>
      </c>
      <c r="B58" s="17" t="s">
        <v>161</v>
      </c>
      <c r="C58" s="17">
        <v>68042</v>
      </c>
      <c r="D58" s="17">
        <v>13956</v>
      </c>
      <c r="E58" s="17">
        <v>8898</v>
      </c>
      <c r="F58" s="17">
        <v>82500</v>
      </c>
      <c r="G58" s="17">
        <f>SUM('- 55 -'!C58:G58,C58:F58)</f>
        <v>763512</v>
      </c>
    </row>
    <row r="59" spans="1:7" ht="12.75">
      <c r="A59" s="370">
        <v>2312</v>
      </c>
      <c r="B59" s="15" t="s">
        <v>162</v>
      </c>
      <c r="C59" s="15">
        <v>45110</v>
      </c>
      <c r="D59" s="15">
        <v>8569</v>
      </c>
      <c r="E59" s="15">
        <v>5899</v>
      </c>
      <c r="F59" s="15">
        <v>170334</v>
      </c>
      <c r="G59" s="15">
        <f>SUM('- 55 -'!C59:G59,C59:F59)</f>
        <v>633942</v>
      </c>
    </row>
    <row r="60" spans="1:7" ht="12.75">
      <c r="A60" s="371">
        <v>2355</v>
      </c>
      <c r="B60" s="17" t="s">
        <v>163</v>
      </c>
      <c r="C60" s="17">
        <v>847932</v>
      </c>
      <c r="D60" s="17">
        <v>170695</v>
      </c>
      <c r="E60" s="17">
        <v>111224</v>
      </c>
      <c r="F60" s="17">
        <v>1072500</v>
      </c>
      <c r="G60" s="17">
        <f>SUM('- 55 -'!C60:G60,C60:F60)</f>
        <v>8469386</v>
      </c>
    </row>
    <row r="61" spans="1:7" ht="12.75">
      <c r="A61" s="370">
        <v>2439</v>
      </c>
      <c r="B61" s="15" t="s">
        <v>164</v>
      </c>
      <c r="C61" s="15">
        <v>36790</v>
      </c>
      <c r="D61" s="15">
        <v>7134</v>
      </c>
      <c r="E61" s="15">
        <v>4811</v>
      </c>
      <c r="F61" s="15">
        <v>93674</v>
      </c>
      <c r="G61" s="15">
        <f>SUM('- 55 -'!C61:G61,C61:F61)</f>
        <v>475656</v>
      </c>
    </row>
    <row r="62" spans="1:7" ht="12.75">
      <c r="A62" s="371">
        <v>2460</v>
      </c>
      <c r="B62" s="17" t="s">
        <v>165</v>
      </c>
      <c r="C62" s="17">
        <v>70772</v>
      </c>
      <c r="D62" s="17">
        <v>13751</v>
      </c>
      <c r="E62" s="17">
        <v>9255</v>
      </c>
      <c r="F62" s="17">
        <v>165000</v>
      </c>
      <c r="G62" s="17">
        <f>SUM('- 55 -'!C62:G62,C62:F62)</f>
        <v>869894</v>
      </c>
    </row>
    <row r="63" spans="1:7" ht="12.75">
      <c r="A63" s="370">
        <v>3000</v>
      </c>
      <c r="B63" s="15" t="s">
        <v>363</v>
      </c>
      <c r="C63" s="15">
        <v>0</v>
      </c>
      <c r="D63" s="15">
        <v>0</v>
      </c>
      <c r="E63" s="15">
        <v>0</v>
      </c>
      <c r="F63" s="15">
        <v>0</v>
      </c>
      <c r="G63" s="15">
        <f>SUM('- 55 -'!C63:G63,C63:F63)</f>
        <v>0</v>
      </c>
    </row>
    <row r="64" ht="4.5" customHeight="1"/>
    <row r="65" spans="1:7" ht="12.75">
      <c r="A65" s="102"/>
      <c r="B65" s="21" t="s">
        <v>166</v>
      </c>
      <c r="C65" s="21">
        <f>SUM(C11:C63)</f>
        <v>45669359</v>
      </c>
      <c r="D65" s="21">
        <f>SUM(D11:D63)</f>
        <v>9377428</v>
      </c>
      <c r="E65" s="21">
        <f>SUM(E11:E63)</f>
        <v>5926327</v>
      </c>
      <c r="F65" s="21">
        <f>SUM(F11:F63)</f>
        <v>78015023</v>
      </c>
      <c r="G65" s="21">
        <f>SUM(G11:G63)</f>
        <v>489553097</v>
      </c>
    </row>
    <row r="66" ht="4.5" customHeight="1"/>
    <row r="67" spans="1:7" ht="12.75">
      <c r="A67" s="99">
        <v>2155</v>
      </c>
      <c r="B67" s="100" t="s">
        <v>167</v>
      </c>
      <c r="C67" s="100">
        <v>17290</v>
      </c>
      <c r="D67" s="100">
        <v>3854</v>
      </c>
      <c r="E67" s="100">
        <v>2261</v>
      </c>
      <c r="F67" s="100">
        <v>0</v>
      </c>
      <c r="G67" s="100">
        <f>SUM('- 55 -'!C67:G67,C67:F67)</f>
        <v>95792</v>
      </c>
    </row>
    <row r="68" spans="1:7" ht="12.75">
      <c r="A68" s="97">
        <v>2408</v>
      </c>
      <c r="B68" s="98" t="s">
        <v>169</v>
      </c>
      <c r="C68" s="98">
        <v>63440</v>
      </c>
      <c r="D68" s="98">
        <v>14432</v>
      </c>
      <c r="E68" s="98">
        <v>8296</v>
      </c>
      <c r="F68" s="98">
        <v>0</v>
      </c>
      <c r="G68" s="98">
        <f>SUM('- 55 -'!C68:G68,C68:F68)</f>
        <v>298804</v>
      </c>
    </row>
    <row r="69" spans="4:6" ht="6.75" customHeight="1">
      <c r="D69" s="18"/>
      <c r="E69" s="18"/>
      <c r="F69" s="18"/>
    </row>
    <row r="70" spans="1:7" ht="12" customHeight="1">
      <c r="A70" s="396" t="s">
        <v>351</v>
      </c>
      <c r="B70" s="271" t="s">
        <v>378</v>
      </c>
      <c r="C70" s="271"/>
      <c r="E70" s="123"/>
      <c r="F70" s="123"/>
      <c r="G70" s="123"/>
    </row>
    <row r="71" spans="1:7" ht="12" customHeight="1">
      <c r="A71" s="7"/>
      <c r="B71" s="271"/>
      <c r="C71" s="271"/>
      <c r="E71" s="123"/>
      <c r="F71" s="123"/>
      <c r="G71" s="123"/>
    </row>
    <row r="72" spans="1:7" ht="12" customHeight="1">
      <c r="A72" s="7"/>
      <c r="B72" s="271"/>
      <c r="C72" s="271"/>
      <c r="E72" s="123"/>
      <c r="F72" s="123"/>
      <c r="G72" s="123"/>
    </row>
    <row r="73" spans="1:7" ht="12" customHeight="1">
      <c r="A73" s="7"/>
      <c r="B73" s="7"/>
      <c r="C73" s="7"/>
      <c r="D73" s="18"/>
      <c r="E73" s="129"/>
      <c r="F73" s="129"/>
      <c r="G73" s="129"/>
    </row>
    <row r="74" spans="1:7" ht="12" customHeight="1">
      <c r="A74" s="7"/>
      <c r="B74" s="7"/>
      <c r="C74" s="7"/>
      <c r="D74" s="18"/>
      <c r="E74" s="18"/>
      <c r="F74" s="18"/>
      <c r="G74" s="18"/>
    </row>
    <row r="75" spans="4:7" ht="12" customHeight="1">
      <c r="D75" s="18"/>
      <c r="E75" s="18"/>
      <c r="F75" s="18"/>
      <c r="G75" s="18"/>
    </row>
    <row r="76" spans="5:7" ht="12.75">
      <c r="E76" s="18"/>
      <c r="F76" s="18"/>
      <c r="G76" s="18"/>
    </row>
  </sheetData>
  <printOptions horizontalCentered="1"/>
  <pageMargins left="0.5118110236220472" right="0.5118110236220472" top="0.5905511811023623" bottom="0" header="0.31496062992125984" footer="0"/>
  <pageSetup fitToHeight="1" fitToWidth="1" horizontalDpi="300" verticalDpi="300" orientation="portrait" scale="82"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7">
    <pageSetUpPr fitToPage="1"/>
  </sheetPr>
  <dimension ref="A1:G75"/>
  <sheetViews>
    <sheetView showGridLines="0" showZeros="0" workbookViewId="0" topLeftCell="A1">
      <selection activeCell="A1" sqref="A1"/>
    </sheetView>
  </sheetViews>
  <sheetFormatPr defaultColWidth="19.83203125" defaultRowHeight="12"/>
  <cols>
    <col min="1" max="1" width="6.83203125" style="82" customWidth="1"/>
    <col min="2" max="2" width="30.83203125" style="82" customWidth="1"/>
    <col min="3" max="3" width="22.83203125" style="82" customWidth="1"/>
    <col min="4" max="5" width="17.83203125" style="82" customWidth="1"/>
    <col min="6" max="6" width="19.83203125" style="82" customWidth="1"/>
    <col min="7" max="7" width="22.83203125" style="82" customWidth="1"/>
    <col min="8" max="8" width="14.83203125" style="82" customWidth="1"/>
    <col min="9" max="16384" width="19.83203125" style="82" customWidth="1"/>
  </cols>
  <sheetData>
    <row r="1" spans="1:7" ht="6.75" customHeight="1">
      <c r="A1" s="18"/>
      <c r="B1" s="80"/>
      <c r="C1" s="80"/>
      <c r="D1" s="80"/>
      <c r="E1" s="80"/>
      <c r="F1" s="80"/>
      <c r="G1" s="80"/>
    </row>
    <row r="2" spans="1:7" ht="12.75">
      <c r="A2" s="12"/>
      <c r="B2" s="106"/>
      <c r="C2" s="107" t="str">
        <f>REVYEAR</f>
        <v>ANALYSIS OF OPERATING FUND REVENUE: 2002/2003 BUDGET</v>
      </c>
      <c r="D2" s="107"/>
      <c r="E2" s="4"/>
      <c r="F2" s="4"/>
      <c r="G2" s="108" t="s">
        <v>375</v>
      </c>
    </row>
    <row r="3" spans="1:7" ht="12.75">
      <c r="A3" s="13"/>
      <c r="B3" s="109"/>
      <c r="C3" s="109"/>
      <c r="D3" s="80"/>
      <c r="E3" s="80"/>
      <c r="F3" s="80"/>
      <c r="G3" s="80"/>
    </row>
    <row r="4" spans="1:7" ht="12.75">
      <c r="A4" s="11"/>
      <c r="C4" s="111" t="s">
        <v>484</v>
      </c>
      <c r="D4" s="112"/>
      <c r="E4" s="113"/>
      <c r="F4" s="113"/>
      <c r="G4" s="113"/>
    </row>
    <row r="5" spans="1:7" ht="12.75">
      <c r="A5" s="11"/>
      <c r="C5" s="114" t="s">
        <v>485</v>
      </c>
      <c r="D5" s="115"/>
      <c r="E5" s="116"/>
      <c r="F5" s="116"/>
      <c r="G5" s="116"/>
    </row>
    <row r="6" spans="1:7" ht="12.75">
      <c r="A6" s="11"/>
      <c r="C6" s="125" t="s">
        <v>176</v>
      </c>
      <c r="D6" s="107"/>
      <c r="E6" s="107"/>
      <c r="F6" s="126"/>
      <c r="G6" s="133"/>
    </row>
    <row r="7" spans="1:7" ht="12.75">
      <c r="A7" s="18"/>
      <c r="C7" s="117"/>
      <c r="D7" s="117"/>
      <c r="E7" s="46"/>
      <c r="F7" s="117" t="s">
        <v>29</v>
      </c>
      <c r="G7" s="117" t="s">
        <v>380</v>
      </c>
    </row>
    <row r="8" spans="1:7" ht="12.75">
      <c r="A8" s="94"/>
      <c r="B8" s="46"/>
      <c r="C8" s="120" t="s">
        <v>31</v>
      </c>
      <c r="D8" s="120" t="s">
        <v>197</v>
      </c>
      <c r="E8" s="120" t="s">
        <v>80</v>
      </c>
      <c r="F8" s="120" t="s">
        <v>64</v>
      </c>
      <c r="G8" s="120" t="s">
        <v>381</v>
      </c>
    </row>
    <row r="9" spans="1:7" ht="16.5">
      <c r="A9" s="52" t="s">
        <v>100</v>
      </c>
      <c r="B9" s="53" t="s">
        <v>101</v>
      </c>
      <c r="C9" s="427" t="s">
        <v>351</v>
      </c>
      <c r="D9" s="122" t="s">
        <v>409</v>
      </c>
      <c r="E9" s="122" t="s">
        <v>410</v>
      </c>
      <c r="F9" s="122" t="s">
        <v>97</v>
      </c>
      <c r="G9" s="122" t="s">
        <v>451</v>
      </c>
    </row>
    <row r="10" spans="1:6" ht="4.5" customHeight="1">
      <c r="A10" s="77"/>
      <c r="B10" s="77"/>
      <c r="C10" s="80"/>
      <c r="D10" s="80"/>
      <c r="E10" s="80"/>
      <c r="F10" s="80"/>
    </row>
    <row r="11" spans="1:7" ht="12.75">
      <c r="A11" s="370">
        <v>1</v>
      </c>
      <c r="B11" s="15" t="s">
        <v>115</v>
      </c>
      <c r="C11" s="15">
        <v>877412</v>
      </c>
      <c r="D11" s="15">
        <v>10810916</v>
      </c>
      <c r="E11" s="15">
        <v>6566833</v>
      </c>
      <c r="F11" s="15">
        <v>1299125</v>
      </c>
      <c r="G11" s="15">
        <v>1691629</v>
      </c>
    </row>
    <row r="12" spans="1:7" ht="12.75">
      <c r="A12" s="371">
        <v>2</v>
      </c>
      <c r="B12" s="17" t="s">
        <v>116</v>
      </c>
      <c r="C12" s="17">
        <v>571140</v>
      </c>
      <c r="D12" s="17">
        <v>3403716</v>
      </c>
      <c r="E12" s="17">
        <v>261338</v>
      </c>
      <c r="F12" s="17">
        <v>504375</v>
      </c>
      <c r="G12" s="17">
        <v>152544</v>
      </c>
    </row>
    <row r="13" spans="1:7" ht="12.75">
      <c r="A13" s="370">
        <v>3</v>
      </c>
      <c r="B13" s="15" t="s">
        <v>117</v>
      </c>
      <c r="C13" s="15">
        <v>253036</v>
      </c>
      <c r="D13" s="15">
        <v>1685573</v>
      </c>
      <c r="E13" s="15">
        <v>131000</v>
      </c>
      <c r="F13" s="15">
        <v>125725</v>
      </c>
      <c r="G13" s="15">
        <v>34512</v>
      </c>
    </row>
    <row r="14" spans="1:7" ht="12.75">
      <c r="A14" s="371">
        <v>4</v>
      </c>
      <c r="B14" s="17" t="s">
        <v>118</v>
      </c>
      <c r="C14" s="17">
        <v>362720</v>
      </c>
      <c r="D14" s="17">
        <v>1983886</v>
      </c>
      <c r="E14" s="17">
        <v>153138</v>
      </c>
      <c r="F14" s="17">
        <v>222025</v>
      </c>
      <c r="G14" s="17">
        <v>119521</v>
      </c>
    </row>
    <row r="15" spans="1:7" ht="12.75">
      <c r="A15" s="370">
        <v>5</v>
      </c>
      <c r="B15" s="15" t="s">
        <v>119</v>
      </c>
      <c r="C15" s="15">
        <v>292259</v>
      </c>
      <c r="D15" s="15">
        <v>2162550</v>
      </c>
      <c r="E15" s="15">
        <v>182763</v>
      </c>
      <c r="F15" s="15">
        <v>61300</v>
      </c>
      <c r="G15" s="15">
        <v>62724</v>
      </c>
    </row>
    <row r="16" spans="1:7" ht="12.75">
      <c r="A16" s="371">
        <v>6</v>
      </c>
      <c r="B16" s="17" t="s">
        <v>120</v>
      </c>
      <c r="C16" s="17">
        <v>525672</v>
      </c>
      <c r="D16" s="17">
        <v>2971789</v>
      </c>
      <c r="E16" s="17">
        <v>403415</v>
      </c>
      <c r="F16" s="17">
        <v>227900</v>
      </c>
      <c r="G16" s="17">
        <v>179808</v>
      </c>
    </row>
    <row r="17" spans="1:7" ht="12.75">
      <c r="A17" s="370">
        <v>9</v>
      </c>
      <c r="B17" s="15" t="s">
        <v>121</v>
      </c>
      <c r="C17" s="15">
        <v>1272026</v>
      </c>
      <c r="D17" s="15">
        <v>4266003</v>
      </c>
      <c r="E17" s="15">
        <v>511663</v>
      </c>
      <c r="F17" s="15">
        <v>560150</v>
      </c>
      <c r="G17" s="15">
        <v>169473</v>
      </c>
    </row>
    <row r="18" spans="1:7" ht="12.75">
      <c r="A18" s="371">
        <v>10</v>
      </c>
      <c r="B18" s="17" t="s">
        <v>122</v>
      </c>
      <c r="C18" s="17">
        <v>788422</v>
      </c>
      <c r="D18" s="17">
        <v>3038878</v>
      </c>
      <c r="E18" s="17">
        <v>363275</v>
      </c>
      <c r="F18" s="17">
        <v>341325</v>
      </c>
      <c r="G18" s="17">
        <v>206976</v>
      </c>
    </row>
    <row r="19" spans="1:7" ht="12.75">
      <c r="A19" s="370">
        <v>11</v>
      </c>
      <c r="B19" s="15" t="s">
        <v>123</v>
      </c>
      <c r="C19" s="15">
        <v>1654406</v>
      </c>
      <c r="D19" s="15">
        <v>1761406</v>
      </c>
      <c r="E19" s="15">
        <v>115535</v>
      </c>
      <c r="F19" s="15">
        <v>322100</v>
      </c>
      <c r="G19" s="15">
        <v>251784</v>
      </c>
    </row>
    <row r="20" spans="1:7" ht="12.75">
      <c r="A20" s="371">
        <v>12</v>
      </c>
      <c r="B20" s="17" t="s">
        <v>124</v>
      </c>
      <c r="C20" s="17">
        <v>1510360</v>
      </c>
      <c r="D20" s="17">
        <v>2044610</v>
      </c>
      <c r="E20" s="17">
        <v>158469</v>
      </c>
      <c r="F20" s="17">
        <v>281550</v>
      </c>
      <c r="G20" s="17">
        <v>113286</v>
      </c>
    </row>
    <row r="21" spans="1:7" ht="12.75">
      <c r="A21" s="370">
        <v>13</v>
      </c>
      <c r="B21" s="15" t="s">
        <v>125</v>
      </c>
      <c r="C21" s="15">
        <v>1394612</v>
      </c>
      <c r="D21" s="15">
        <v>1025078</v>
      </c>
      <c r="E21" s="15">
        <v>50034</v>
      </c>
      <c r="F21" s="15">
        <v>41000</v>
      </c>
      <c r="G21" s="15">
        <v>70362</v>
      </c>
    </row>
    <row r="22" spans="1:7" ht="12.75">
      <c r="A22" s="371">
        <v>14</v>
      </c>
      <c r="B22" s="17" t="s">
        <v>126</v>
      </c>
      <c r="C22" s="17">
        <v>1302616</v>
      </c>
      <c r="D22" s="17">
        <v>1511288</v>
      </c>
      <c r="E22" s="17">
        <v>69874</v>
      </c>
      <c r="F22" s="17">
        <v>89975</v>
      </c>
      <c r="G22" s="17">
        <v>156918</v>
      </c>
    </row>
    <row r="23" spans="1:7" ht="12.75">
      <c r="A23" s="370">
        <v>15</v>
      </c>
      <c r="B23" s="15" t="s">
        <v>127</v>
      </c>
      <c r="C23" s="15">
        <v>1862299</v>
      </c>
      <c r="D23" s="15">
        <v>1511541</v>
      </c>
      <c r="E23" s="15">
        <v>126344</v>
      </c>
      <c r="F23" s="15">
        <v>325750</v>
      </c>
      <c r="G23" s="15">
        <v>57963</v>
      </c>
    </row>
    <row r="24" spans="1:7" ht="12.75">
      <c r="A24" s="371">
        <v>16</v>
      </c>
      <c r="B24" s="17" t="s">
        <v>128</v>
      </c>
      <c r="C24" s="17">
        <v>580520</v>
      </c>
      <c r="D24" s="17">
        <v>291885</v>
      </c>
      <c r="E24" s="17">
        <v>18492</v>
      </c>
      <c r="F24" s="17">
        <v>76500</v>
      </c>
      <c r="G24" s="17">
        <v>10212</v>
      </c>
    </row>
    <row r="25" spans="1:7" ht="12.75">
      <c r="A25" s="370">
        <v>17</v>
      </c>
      <c r="B25" s="15" t="s">
        <v>129</v>
      </c>
      <c r="C25" s="15">
        <v>392608</v>
      </c>
      <c r="D25" s="15">
        <v>179087</v>
      </c>
      <c r="E25" s="15">
        <v>15000</v>
      </c>
      <c r="F25" s="15">
        <v>26300</v>
      </c>
      <c r="G25" s="15">
        <v>30794</v>
      </c>
    </row>
    <row r="26" spans="1:7" ht="12.75">
      <c r="A26" s="371">
        <v>18</v>
      </c>
      <c r="B26" s="17" t="s">
        <v>130</v>
      </c>
      <c r="C26" s="17">
        <v>631126</v>
      </c>
      <c r="D26" s="17">
        <v>347715</v>
      </c>
      <c r="E26" s="17">
        <v>27802</v>
      </c>
      <c r="F26" s="17">
        <v>93200</v>
      </c>
      <c r="G26" s="17">
        <v>3120</v>
      </c>
    </row>
    <row r="27" spans="1:7" ht="12.75">
      <c r="A27" s="370">
        <v>19</v>
      </c>
      <c r="B27" s="15" t="s">
        <v>131</v>
      </c>
      <c r="C27" s="15">
        <v>826513</v>
      </c>
      <c r="D27" s="15">
        <v>652074</v>
      </c>
      <c r="E27" s="15">
        <v>36664</v>
      </c>
      <c r="F27" s="15">
        <v>72425</v>
      </c>
      <c r="G27" s="15">
        <v>54243</v>
      </c>
    </row>
    <row r="28" spans="1:7" ht="12.75">
      <c r="A28" s="371">
        <v>20</v>
      </c>
      <c r="B28" s="17" t="s">
        <v>132</v>
      </c>
      <c r="C28" s="17">
        <v>432928</v>
      </c>
      <c r="D28" s="17">
        <v>374522</v>
      </c>
      <c r="E28" s="17">
        <v>28940</v>
      </c>
      <c r="F28" s="17">
        <v>22150</v>
      </c>
      <c r="G28" s="17">
        <v>69684</v>
      </c>
    </row>
    <row r="29" spans="1:7" ht="12.75">
      <c r="A29" s="370">
        <v>21</v>
      </c>
      <c r="B29" s="15" t="s">
        <v>133</v>
      </c>
      <c r="C29" s="15">
        <v>1350654</v>
      </c>
      <c r="D29" s="15">
        <v>1038370</v>
      </c>
      <c r="E29" s="15">
        <v>68344</v>
      </c>
      <c r="F29" s="15">
        <v>90950</v>
      </c>
      <c r="G29" s="15">
        <v>46074</v>
      </c>
    </row>
    <row r="30" spans="1:7" ht="12.75">
      <c r="A30" s="371">
        <v>22</v>
      </c>
      <c r="B30" s="17" t="s">
        <v>134</v>
      </c>
      <c r="C30" s="17">
        <v>814757</v>
      </c>
      <c r="D30" s="17">
        <v>558498</v>
      </c>
      <c r="E30" s="17">
        <v>36905</v>
      </c>
      <c r="F30" s="17">
        <v>50150</v>
      </c>
      <c r="G30" s="17">
        <v>48078</v>
      </c>
    </row>
    <row r="31" spans="1:7" ht="12.75">
      <c r="A31" s="370">
        <v>23</v>
      </c>
      <c r="B31" s="15" t="s">
        <v>135</v>
      </c>
      <c r="C31" s="15">
        <v>1005364</v>
      </c>
      <c r="D31" s="15">
        <v>554555</v>
      </c>
      <c r="E31" s="15">
        <v>54970</v>
      </c>
      <c r="F31" s="15">
        <v>57175</v>
      </c>
      <c r="G31" s="15">
        <v>99720</v>
      </c>
    </row>
    <row r="32" spans="1:7" ht="12.75">
      <c r="A32" s="371">
        <v>24</v>
      </c>
      <c r="B32" s="17" t="s">
        <v>136</v>
      </c>
      <c r="C32" s="17">
        <v>755706</v>
      </c>
      <c r="D32" s="17">
        <v>1052019</v>
      </c>
      <c r="E32" s="17">
        <v>312338</v>
      </c>
      <c r="F32" s="17">
        <v>138300</v>
      </c>
      <c r="G32" s="17">
        <v>208122</v>
      </c>
    </row>
    <row r="33" spans="1:7" ht="12.75">
      <c r="A33" s="370">
        <v>25</v>
      </c>
      <c r="B33" s="15" t="s">
        <v>137</v>
      </c>
      <c r="C33" s="15">
        <v>784849</v>
      </c>
      <c r="D33" s="15">
        <v>313315</v>
      </c>
      <c r="E33" s="15">
        <v>29118</v>
      </c>
      <c r="F33" s="15">
        <v>77075</v>
      </c>
      <c r="G33" s="15">
        <v>14190</v>
      </c>
    </row>
    <row r="34" spans="1:7" ht="12.75">
      <c r="A34" s="371">
        <v>26</v>
      </c>
      <c r="B34" s="17" t="s">
        <v>138</v>
      </c>
      <c r="C34" s="17">
        <v>745061</v>
      </c>
      <c r="D34" s="17">
        <v>818820</v>
      </c>
      <c r="E34" s="17">
        <v>68183</v>
      </c>
      <c r="F34" s="17">
        <v>168500</v>
      </c>
      <c r="G34" s="17">
        <v>0</v>
      </c>
    </row>
    <row r="35" spans="1:7" ht="12.75">
      <c r="A35" s="370">
        <v>28</v>
      </c>
      <c r="B35" s="15" t="s">
        <v>139</v>
      </c>
      <c r="C35" s="15">
        <v>443565</v>
      </c>
      <c r="D35" s="15">
        <v>234630</v>
      </c>
      <c r="E35" s="15">
        <v>17272</v>
      </c>
      <c r="F35" s="15">
        <v>16775</v>
      </c>
      <c r="G35" s="15">
        <v>3912</v>
      </c>
    </row>
    <row r="36" spans="1:7" ht="12.75">
      <c r="A36" s="371">
        <v>30</v>
      </c>
      <c r="B36" s="17" t="s">
        <v>140</v>
      </c>
      <c r="C36" s="17">
        <v>819216</v>
      </c>
      <c r="D36" s="17">
        <v>578590</v>
      </c>
      <c r="E36" s="17">
        <v>27782</v>
      </c>
      <c r="F36" s="17">
        <v>24500</v>
      </c>
      <c r="G36" s="17">
        <v>43560</v>
      </c>
    </row>
    <row r="37" spans="1:7" ht="12.75">
      <c r="A37" s="370">
        <v>31</v>
      </c>
      <c r="B37" s="15" t="s">
        <v>141</v>
      </c>
      <c r="C37" s="15">
        <v>719628</v>
      </c>
      <c r="D37" s="15">
        <v>489120</v>
      </c>
      <c r="E37" s="15">
        <v>32944</v>
      </c>
      <c r="F37" s="15">
        <v>26475</v>
      </c>
      <c r="G37" s="15">
        <v>12210</v>
      </c>
    </row>
    <row r="38" spans="1:7" ht="12.75">
      <c r="A38" s="371">
        <v>32</v>
      </c>
      <c r="B38" s="17" t="s">
        <v>142</v>
      </c>
      <c r="C38" s="17">
        <v>727079</v>
      </c>
      <c r="D38" s="17">
        <v>360515</v>
      </c>
      <c r="E38" s="17">
        <v>59831</v>
      </c>
      <c r="F38" s="17">
        <v>30450</v>
      </c>
      <c r="G38" s="17">
        <v>64283</v>
      </c>
    </row>
    <row r="39" spans="1:7" ht="12.75">
      <c r="A39" s="370">
        <v>33</v>
      </c>
      <c r="B39" s="15" t="s">
        <v>143</v>
      </c>
      <c r="C39" s="15">
        <v>636584</v>
      </c>
      <c r="D39" s="15">
        <v>647930</v>
      </c>
      <c r="E39" s="15">
        <v>47436</v>
      </c>
      <c r="F39" s="15">
        <v>191750</v>
      </c>
      <c r="G39" s="15">
        <v>88289</v>
      </c>
    </row>
    <row r="40" spans="1:7" ht="12.75">
      <c r="A40" s="371">
        <v>34</v>
      </c>
      <c r="B40" s="17" t="s">
        <v>144</v>
      </c>
      <c r="C40" s="17">
        <v>538362</v>
      </c>
      <c r="D40" s="17">
        <v>229770</v>
      </c>
      <c r="E40" s="17">
        <v>109992</v>
      </c>
      <c r="F40" s="17">
        <v>23800</v>
      </c>
      <c r="G40" s="17">
        <v>60582</v>
      </c>
    </row>
    <row r="41" spans="1:7" ht="12.75">
      <c r="A41" s="370">
        <v>35</v>
      </c>
      <c r="B41" s="15" t="s">
        <v>145</v>
      </c>
      <c r="C41" s="15">
        <v>1017953</v>
      </c>
      <c r="D41" s="15">
        <v>573905</v>
      </c>
      <c r="E41" s="15">
        <v>64421</v>
      </c>
      <c r="F41" s="15">
        <v>166650</v>
      </c>
      <c r="G41" s="15">
        <v>118872</v>
      </c>
    </row>
    <row r="42" spans="1:7" ht="12.75">
      <c r="A42" s="371">
        <v>36</v>
      </c>
      <c r="B42" s="17" t="s">
        <v>146</v>
      </c>
      <c r="C42" s="17">
        <v>639977</v>
      </c>
      <c r="D42" s="17">
        <v>182960</v>
      </c>
      <c r="E42" s="17">
        <v>28354</v>
      </c>
      <c r="F42" s="17">
        <v>21275</v>
      </c>
      <c r="G42" s="17">
        <v>16176</v>
      </c>
    </row>
    <row r="43" spans="1:7" ht="12.75">
      <c r="A43" s="370">
        <v>37</v>
      </c>
      <c r="B43" s="15" t="s">
        <v>147</v>
      </c>
      <c r="C43" s="15">
        <v>590186</v>
      </c>
      <c r="D43" s="15">
        <v>207770</v>
      </c>
      <c r="E43" s="15">
        <v>18664</v>
      </c>
      <c r="F43" s="15">
        <v>30850</v>
      </c>
      <c r="G43" s="15">
        <v>61984</v>
      </c>
    </row>
    <row r="44" spans="1:7" ht="12.75">
      <c r="A44" s="371">
        <v>38</v>
      </c>
      <c r="B44" s="17" t="s">
        <v>148</v>
      </c>
      <c r="C44" s="17">
        <v>825106</v>
      </c>
      <c r="D44" s="17">
        <v>303255</v>
      </c>
      <c r="E44" s="17">
        <v>21832</v>
      </c>
      <c r="F44" s="17">
        <v>16050</v>
      </c>
      <c r="G44" s="17">
        <v>13668</v>
      </c>
    </row>
    <row r="45" spans="1:7" ht="12.75">
      <c r="A45" s="370">
        <v>39</v>
      </c>
      <c r="B45" s="15" t="s">
        <v>149</v>
      </c>
      <c r="C45" s="15">
        <v>1062583</v>
      </c>
      <c r="D45" s="15">
        <v>586145</v>
      </c>
      <c r="E45" s="15">
        <v>65728</v>
      </c>
      <c r="F45" s="15">
        <v>37325</v>
      </c>
      <c r="G45" s="15">
        <v>33567</v>
      </c>
    </row>
    <row r="46" spans="1:7" ht="12.75">
      <c r="A46" s="371">
        <v>40</v>
      </c>
      <c r="B46" s="17" t="s">
        <v>150</v>
      </c>
      <c r="C46" s="17">
        <v>749400</v>
      </c>
      <c r="D46" s="17">
        <v>2328300</v>
      </c>
      <c r="E46" s="17">
        <v>389000</v>
      </c>
      <c r="F46" s="17">
        <v>421100</v>
      </c>
      <c r="G46" s="17">
        <v>274500</v>
      </c>
    </row>
    <row r="47" spans="1:7" ht="12.75">
      <c r="A47" s="370">
        <v>41</v>
      </c>
      <c r="B47" s="15" t="s">
        <v>151</v>
      </c>
      <c r="C47" s="15">
        <v>934327</v>
      </c>
      <c r="D47" s="15">
        <v>422790</v>
      </c>
      <c r="E47" s="15">
        <v>32205</v>
      </c>
      <c r="F47" s="15">
        <v>78500</v>
      </c>
      <c r="G47" s="15">
        <v>7560</v>
      </c>
    </row>
    <row r="48" spans="1:7" ht="12.75">
      <c r="A48" s="371">
        <v>42</v>
      </c>
      <c r="B48" s="17" t="s">
        <v>152</v>
      </c>
      <c r="C48" s="17">
        <v>590678</v>
      </c>
      <c r="D48" s="17">
        <v>296680</v>
      </c>
      <c r="E48" s="17">
        <v>21140</v>
      </c>
      <c r="F48" s="17">
        <v>21900</v>
      </c>
      <c r="G48" s="17">
        <v>3384</v>
      </c>
    </row>
    <row r="49" spans="1:7" ht="12.75">
      <c r="A49" s="370">
        <v>43</v>
      </c>
      <c r="B49" s="15" t="s">
        <v>153</v>
      </c>
      <c r="C49" s="15">
        <v>533344</v>
      </c>
      <c r="D49" s="15">
        <v>150870</v>
      </c>
      <c r="E49" s="15">
        <v>16845</v>
      </c>
      <c r="F49" s="15">
        <v>0</v>
      </c>
      <c r="G49" s="15">
        <v>7164</v>
      </c>
    </row>
    <row r="50" spans="1:7" ht="12.75">
      <c r="A50" s="371">
        <v>44</v>
      </c>
      <c r="B50" s="17" t="s">
        <v>154</v>
      </c>
      <c r="C50" s="17">
        <v>670989</v>
      </c>
      <c r="D50" s="17">
        <v>276155</v>
      </c>
      <c r="E50" s="17">
        <v>24812</v>
      </c>
      <c r="F50" s="17">
        <v>37450</v>
      </c>
      <c r="G50" s="17">
        <v>9672</v>
      </c>
    </row>
    <row r="51" spans="1:7" ht="12.75">
      <c r="A51" s="370">
        <v>45</v>
      </c>
      <c r="B51" s="15" t="s">
        <v>155</v>
      </c>
      <c r="C51" s="15">
        <v>298776</v>
      </c>
      <c r="D51" s="15">
        <v>673955</v>
      </c>
      <c r="E51" s="15">
        <v>91507</v>
      </c>
      <c r="F51" s="15">
        <v>43450</v>
      </c>
      <c r="G51" s="15">
        <v>126600</v>
      </c>
    </row>
    <row r="52" spans="1:7" ht="12.75">
      <c r="A52" s="371">
        <v>46</v>
      </c>
      <c r="B52" s="17" t="s">
        <v>156</v>
      </c>
      <c r="C52" s="17">
        <v>25519</v>
      </c>
      <c r="D52" s="17">
        <v>365562</v>
      </c>
      <c r="E52" s="17">
        <v>32617</v>
      </c>
      <c r="F52" s="17">
        <v>52250</v>
      </c>
      <c r="G52" s="17">
        <v>44399</v>
      </c>
    </row>
    <row r="53" spans="1:7" ht="12.75">
      <c r="A53" s="370">
        <v>47</v>
      </c>
      <c r="B53" s="15" t="s">
        <v>157</v>
      </c>
      <c r="C53" s="15">
        <v>376513</v>
      </c>
      <c r="D53" s="15">
        <v>418378</v>
      </c>
      <c r="E53" s="15">
        <v>36429</v>
      </c>
      <c r="F53" s="15">
        <v>26900</v>
      </c>
      <c r="G53" s="15">
        <v>14190</v>
      </c>
    </row>
    <row r="54" spans="1:7" ht="12.75">
      <c r="A54" s="371">
        <v>48</v>
      </c>
      <c r="B54" s="17" t="s">
        <v>158</v>
      </c>
      <c r="C54" s="17">
        <v>1226361</v>
      </c>
      <c r="D54" s="17">
        <v>768479</v>
      </c>
      <c r="E54" s="17">
        <v>383093</v>
      </c>
      <c r="F54" s="17">
        <v>55550</v>
      </c>
      <c r="G54" s="17">
        <v>357000</v>
      </c>
    </row>
    <row r="55" spans="1:7" ht="12.75">
      <c r="A55" s="370">
        <v>49</v>
      </c>
      <c r="B55" s="15" t="s">
        <v>159</v>
      </c>
      <c r="C55" s="15">
        <v>2134154</v>
      </c>
      <c r="D55" s="15">
        <v>853825</v>
      </c>
      <c r="E55" s="15">
        <v>121841</v>
      </c>
      <c r="F55" s="15">
        <v>10000</v>
      </c>
      <c r="G55" s="15">
        <v>74880</v>
      </c>
    </row>
    <row r="56" spans="1:7" ht="12.75">
      <c r="A56" s="371">
        <v>50</v>
      </c>
      <c r="B56" s="17" t="s">
        <v>340</v>
      </c>
      <c r="C56" s="17">
        <v>1152572</v>
      </c>
      <c r="D56" s="17">
        <v>620130</v>
      </c>
      <c r="E56" s="17">
        <v>41719</v>
      </c>
      <c r="F56" s="17">
        <v>32750</v>
      </c>
      <c r="G56" s="17">
        <v>10560</v>
      </c>
    </row>
    <row r="57" spans="1:7" ht="12.75">
      <c r="A57" s="370">
        <v>2264</v>
      </c>
      <c r="B57" s="15" t="s">
        <v>160</v>
      </c>
      <c r="C57" s="15">
        <v>54554</v>
      </c>
      <c r="D57" s="15">
        <v>155750</v>
      </c>
      <c r="E57" s="15">
        <v>15000</v>
      </c>
      <c r="F57" s="15">
        <v>4000</v>
      </c>
      <c r="G57" s="15">
        <v>33765</v>
      </c>
    </row>
    <row r="58" spans="1:7" ht="12.75">
      <c r="A58" s="371">
        <v>2309</v>
      </c>
      <c r="B58" s="17" t="s">
        <v>161</v>
      </c>
      <c r="C58" s="17">
        <v>18259</v>
      </c>
      <c r="D58" s="17">
        <v>86585</v>
      </c>
      <c r="E58" s="17">
        <v>15000</v>
      </c>
      <c r="F58" s="17">
        <v>4800</v>
      </c>
      <c r="G58" s="17">
        <v>0</v>
      </c>
    </row>
    <row r="59" spans="1:7" ht="12.75">
      <c r="A59" s="370">
        <v>2312</v>
      </c>
      <c r="B59" s="15" t="s">
        <v>162</v>
      </c>
      <c r="C59" s="15">
        <v>868</v>
      </c>
      <c r="D59" s="15">
        <v>116091</v>
      </c>
      <c r="E59" s="15">
        <v>15000</v>
      </c>
      <c r="F59" s="15">
        <v>6900</v>
      </c>
      <c r="G59" s="15">
        <v>34676</v>
      </c>
    </row>
    <row r="60" spans="1:7" ht="12.75">
      <c r="A60" s="371">
        <v>2355</v>
      </c>
      <c r="B60" s="17" t="s">
        <v>163</v>
      </c>
      <c r="C60" s="17">
        <v>48403</v>
      </c>
      <c r="D60" s="17">
        <v>939044</v>
      </c>
      <c r="E60" s="17">
        <v>145430</v>
      </c>
      <c r="F60" s="17">
        <v>223600</v>
      </c>
      <c r="G60" s="17">
        <v>255514</v>
      </c>
    </row>
    <row r="61" spans="1:7" ht="12.75">
      <c r="A61" s="370">
        <v>2439</v>
      </c>
      <c r="B61" s="15" t="s">
        <v>164</v>
      </c>
      <c r="C61" s="15">
        <v>123089</v>
      </c>
      <c r="D61" s="15">
        <v>174333</v>
      </c>
      <c r="E61" s="15">
        <v>15000</v>
      </c>
      <c r="F61" s="15">
        <v>8225</v>
      </c>
      <c r="G61" s="15">
        <v>10289</v>
      </c>
    </row>
    <row r="62" spans="1:7" ht="12.75">
      <c r="A62" s="371">
        <v>2460</v>
      </c>
      <c r="B62" s="17" t="s">
        <v>165</v>
      </c>
      <c r="C62" s="17">
        <v>1361</v>
      </c>
      <c r="D62" s="17">
        <v>102792</v>
      </c>
      <c r="E62" s="17">
        <v>15000</v>
      </c>
      <c r="F62" s="17">
        <v>6200</v>
      </c>
      <c r="G62" s="17">
        <v>14938</v>
      </c>
    </row>
    <row r="63" spans="1:7" ht="12.75">
      <c r="A63" s="370">
        <v>3000</v>
      </c>
      <c r="B63" s="15" t="s">
        <v>363</v>
      </c>
      <c r="C63" s="15">
        <v>0</v>
      </c>
      <c r="D63" s="15">
        <v>0</v>
      </c>
      <c r="E63" s="15">
        <v>0</v>
      </c>
      <c r="F63" s="15">
        <v>540500</v>
      </c>
      <c r="G63" s="15">
        <v>0</v>
      </c>
    </row>
    <row r="64" ht="4.5" customHeight="1"/>
    <row r="65" spans="1:7" ht="12.75">
      <c r="A65" s="102"/>
      <c r="B65" s="21" t="s">
        <v>166</v>
      </c>
      <c r="C65" s="21">
        <f>SUM(C11:C63)</f>
        <v>37946472</v>
      </c>
      <c r="D65" s="21">
        <f>SUM(D11:D63)</f>
        <v>57502403</v>
      </c>
      <c r="E65" s="21">
        <f>SUM(E11:E63)</f>
        <v>11696331</v>
      </c>
      <c r="F65" s="21">
        <f>SUM(F11:F63)</f>
        <v>7435000</v>
      </c>
      <c r="G65" s="21">
        <f>SUM(G11:G63)</f>
        <v>5647931</v>
      </c>
    </row>
    <row r="66" ht="4.5" customHeight="1"/>
    <row r="67" spans="1:7" ht="12.75">
      <c r="A67" s="99">
        <v>2155</v>
      </c>
      <c r="B67" s="100" t="s">
        <v>167</v>
      </c>
      <c r="C67" s="100">
        <v>38201</v>
      </c>
      <c r="D67" s="100">
        <v>62130</v>
      </c>
      <c r="E67" s="100">
        <v>15000</v>
      </c>
      <c r="F67" s="100">
        <v>0</v>
      </c>
      <c r="G67" s="100">
        <v>3605</v>
      </c>
    </row>
    <row r="68" spans="1:7" ht="12.75">
      <c r="A68" s="97">
        <v>2408</v>
      </c>
      <c r="B68" s="98" t="s">
        <v>169</v>
      </c>
      <c r="C68" s="98">
        <v>1220</v>
      </c>
      <c r="D68" s="98">
        <v>66413</v>
      </c>
      <c r="E68" s="98">
        <v>15000</v>
      </c>
      <c r="F68" s="98">
        <v>6500</v>
      </c>
      <c r="G68" s="98">
        <v>3120</v>
      </c>
    </row>
    <row r="69" spans="4:6" ht="6.75" customHeight="1">
      <c r="D69" s="18"/>
      <c r="E69" s="18"/>
      <c r="F69" s="18"/>
    </row>
    <row r="70" spans="1:7" ht="12" customHeight="1">
      <c r="A70" s="396" t="s">
        <v>351</v>
      </c>
      <c r="B70" s="271" t="s">
        <v>387</v>
      </c>
      <c r="C70" s="317"/>
      <c r="D70" s="123"/>
      <c r="E70" s="123"/>
      <c r="F70" s="123"/>
      <c r="G70" s="124"/>
    </row>
    <row r="71" spans="1:7" ht="12" customHeight="1">
      <c r="A71" s="396" t="s">
        <v>352</v>
      </c>
      <c r="B71" s="317" t="str">
        <f>"INCLUDES SUPPORT FOR COORDINATORS, CLINICIANS AND LEVEL II AND III PUPILS.  NOTE: TOTAL SPECIAL NEEDS SUPPORT IS $"&amp;REPLACE(REPLACE('- 56 -'!C65+D65,4,0,","),8,0,",")&amp;"."</f>
        <v>INCLUDES SUPPORT FOR COORDINATORS, CLINICIANS AND LEVEL II AND III PUPILS.  NOTE: TOTAL SPECIAL NEEDS SUPPORT IS $103,171,762.</v>
      </c>
      <c r="C71" s="271"/>
      <c r="D71" s="123"/>
      <c r="E71" s="123"/>
      <c r="F71" s="123"/>
      <c r="G71" s="134"/>
    </row>
    <row r="72" spans="1:7" ht="12" customHeight="1">
      <c r="A72" s="396" t="s">
        <v>353</v>
      </c>
      <c r="B72" s="271" t="s">
        <v>305</v>
      </c>
      <c r="D72" s="123"/>
      <c r="E72" s="123"/>
      <c r="F72" s="123"/>
      <c r="G72" s="124"/>
    </row>
    <row r="73" spans="1:7" ht="12" customHeight="1">
      <c r="A73" s="396"/>
      <c r="B73" s="271"/>
      <c r="C73" s="271"/>
      <c r="D73" s="123"/>
      <c r="E73" s="123"/>
      <c r="F73" s="123"/>
      <c r="G73" s="124"/>
    </row>
    <row r="74" spans="2:7" ht="12" customHeight="1">
      <c r="B74" s="271"/>
      <c r="C74" s="271"/>
      <c r="D74" s="135"/>
      <c r="E74" s="123"/>
      <c r="F74" s="123"/>
      <c r="G74" s="124"/>
    </row>
    <row r="75" spans="4:6" ht="12" customHeight="1">
      <c r="D75" s="18"/>
      <c r="E75" s="18"/>
      <c r="F75" s="18"/>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6">
    <pageSetUpPr fitToPage="1"/>
  </sheetPr>
  <dimension ref="A1:G75"/>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5" width="18.83203125" style="82" customWidth="1"/>
    <col min="6" max="6" width="20.83203125" style="82" customWidth="1"/>
    <col min="7" max="7" width="18.83203125" style="82" customWidth="1"/>
    <col min="8" max="16384" width="19.83203125" style="82" customWidth="1"/>
  </cols>
  <sheetData>
    <row r="1" spans="1:7" ht="6.75" customHeight="1">
      <c r="A1" s="18"/>
      <c r="B1" s="80"/>
      <c r="C1" s="80"/>
      <c r="D1" s="80"/>
      <c r="E1" s="80"/>
      <c r="F1" s="80"/>
      <c r="G1" s="80"/>
    </row>
    <row r="2" spans="1:7" ht="12.75">
      <c r="A2" s="12"/>
      <c r="B2" s="106"/>
      <c r="C2" s="107" t="str">
        <f>REVYEAR</f>
        <v>ANALYSIS OF OPERATING FUND REVENUE: 2002/2003 BUDGET</v>
      </c>
      <c r="D2" s="107"/>
      <c r="E2" s="107"/>
      <c r="F2" s="107"/>
      <c r="G2" s="108" t="s">
        <v>376</v>
      </c>
    </row>
    <row r="3" spans="1:7" ht="12.75">
      <c r="A3" s="13"/>
      <c r="B3" s="109"/>
      <c r="C3" s="80"/>
      <c r="D3" s="80"/>
      <c r="E3" s="80"/>
      <c r="F3" s="80"/>
      <c r="G3" s="80"/>
    </row>
    <row r="4" spans="1:7" ht="12.75">
      <c r="A4" s="11"/>
      <c r="C4" s="111" t="s">
        <v>484</v>
      </c>
      <c r="D4" s="399"/>
      <c r="E4" s="399"/>
      <c r="F4" s="112"/>
      <c r="G4" s="113"/>
    </row>
    <row r="5" spans="1:7" ht="12.75">
      <c r="A5" s="11"/>
      <c r="C5" s="114" t="s">
        <v>485</v>
      </c>
      <c r="D5" s="400"/>
      <c r="E5" s="400"/>
      <c r="F5" s="115"/>
      <c r="G5" s="116"/>
    </row>
    <row r="6" spans="1:7" ht="12.75">
      <c r="A6" s="11"/>
      <c r="C6" s="125" t="s">
        <v>176</v>
      </c>
      <c r="D6" s="126"/>
      <c r="E6" s="126"/>
      <c r="F6" s="133"/>
      <c r="G6" s="133"/>
    </row>
    <row r="7" spans="1:7" ht="12.75">
      <c r="A7" s="18"/>
      <c r="C7" s="117" t="s">
        <v>86</v>
      </c>
      <c r="D7" s="117" t="s">
        <v>370</v>
      </c>
      <c r="E7" s="117" t="s">
        <v>370</v>
      </c>
      <c r="F7" s="46"/>
      <c r="G7" s="117" t="s">
        <v>69</v>
      </c>
    </row>
    <row r="8" spans="1:7" ht="12.75">
      <c r="A8" s="94"/>
      <c r="B8" s="46"/>
      <c r="C8" s="120" t="s">
        <v>105</v>
      </c>
      <c r="D8" s="120" t="s">
        <v>371</v>
      </c>
      <c r="E8" s="120" t="s">
        <v>383</v>
      </c>
      <c r="F8" s="120" t="s">
        <v>57</v>
      </c>
      <c r="G8" s="120" t="s">
        <v>203</v>
      </c>
    </row>
    <row r="9" spans="1:7" ht="16.5">
      <c r="A9" s="52" t="s">
        <v>100</v>
      </c>
      <c r="B9" s="53" t="s">
        <v>101</v>
      </c>
      <c r="C9" s="122" t="s">
        <v>382</v>
      </c>
      <c r="D9" s="122" t="s">
        <v>372</v>
      </c>
      <c r="E9" s="122" t="s">
        <v>372</v>
      </c>
      <c r="F9" s="122" t="s">
        <v>411</v>
      </c>
      <c r="G9" s="122" t="s">
        <v>225</v>
      </c>
    </row>
    <row r="10" spans="1:7" ht="4.5" customHeight="1">
      <c r="A10" s="77"/>
      <c r="B10" s="77"/>
      <c r="C10" s="80"/>
      <c r="D10" s="80"/>
      <c r="E10" s="80"/>
      <c r="F10" s="80"/>
      <c r="G10" s="80"/>
    </row>
    <row r="11" spans="1:7" ht="12.75">
      <c r="A11" s="370">
        <v>1</v>
      </c>
      <c r="B11" s="15" t="s">
        <v>115</v>
      </c>
      <c r="C11" s="15">
        <v>635400</v>
      </c>
      <c r="D11" s="15">
        <v>346720</v>
      </c>
      <c r="E11" s="15">
        <v>664600</v>
      </c>
      <c r="F11" s="15">
        <v>864941</v>
      </c>
      <c r="G11" s="15">
        <f>SUM('- 57 -'!C11:G11,C11:F11)</f>
        <v>23757576</v>
      </c>
    </row>
    <row r="12" spans="1:7" ht="12.75">
      <c r="A12" s="371">
        <v>2</v>
      </c>
      <c r="B12" s="17" t="s">
        <v>116</v>
      </c>
      <c r="C12" s="17">
        <v>309700</v>
      </c>
      <c r="D12" s="17">
        <v>102377</v>
      </c>
      <c r="E12" s="17">
        <v>379885</v>
      </c>
      <c r="F12" s="17">
        <v>96133</v>
      </c>
      <c r="G12" s="17">
        <f>SUM('- 57 -'!C12:G12,C12:F12)</f>
        <v>5781208</v>
      </c>
    </row>
    <row r="13" spans="1:7" ht="12.75">
      <c r="A13" s="370">
        <v>3</v>
      </c>
      <c r="B13" s="15" t="s">
        <v>117</v>
      </c>
      <c r="C13" s="15">
        <v>283800</v>
      </c>
      <c r="D13" s="15">
        <v>63690</v>
      </c>
      <c r="E13" s="15">
        <v>153900</v>
      </c>
      <c r="F13" s="15">
        <v>67533</v>
      </c>
      <c r="G13" s="15">
        <f>SUM('- 57 -'!C13:G13,C13:F13)</f>
        <v>2798769</v>
      </c>
    </row>
    <row r="14" spans="1:7" ht="12.75">
      <c r="A14" s="371">
        <v>4</v>
      </c>
      <c r="B14" s="17" t="s">
        <v>118</v>
      </c>
      <c r="C14" s="17">
        <v>485500</v>
      </c>
      <c r="D14" s="17">
        <v>69423</v>
      </c>
      <c r="E14" s="17">
        <v>191565</v>
      </c>
      <c r="F14" s="17">
        <v>49446</v>
      </c>
      <c r="G14" s="17">
        <f>SUM('- 57 -'!C14:G14,C14:F14)</f>
        <v>3637224</v>
      </c>
    </row>
    <row r="15" spans="1:7" ht="12.75">
      <c r="A15" s="370">
        <v>5</v>
      </c>
      <c r="B15" s="15" t="s">
        <v>119</v>
      </c>
      <c r="C15" s="15">
        <v>220800</v>
      </c>
      <c r="D15" s="15">
        <v>80916</v>
      </c>
      <c r="E15" s="15">
        <v>223965</v>
      </c>
      <c r="F15" s="15">
        <v>370555</v>
      </c>
      <c r="G15" s="15">
        <f>SUM('- 57 -'!C15:G15,C15:F15)</f>
        <v>3657832</v>
      </c>
    </row>
    <row r="16" spans="1:7" ht="12.75">
      <c r="A16" s="371">
        <v>6</v>
      </c>
      <c r="B16" s="17" t="s">
        <v>120</v>
      </c>
      <c r="C16" s="17">
        <v>511280</v>
      </c>
      <c r="D16" s="17">
        <v>98142</v>
      </c>
      <c r="E16" s="17">
        <v>339605</v>
      </c>
      <c r="F16" s="17">
        <v>168789</v>
      </c>
      <c r="G16" s="17">
        <f>SUM('- 57 -'!C16:G16,C16:F16)</f>
        <v>5426400</v>
      </c>
    </row>
    <row r="17" spans="1:7" ht="12.75">
      <c r="A17" s="370">
        <v>9</v>
      </c>
      <c r="B17" s="15" t="s">
        <v>121</v>
      </c>
      <c r="C17" s="15">
        <v>308700</v>
      </c>
      <c r="D17" s="15">
        <v>135586</v>
      </c>
      <c r="E17" s="15">
        <v>384560</v>
      </c>
      <c r="F17" s="15">
        <v>284207</v>
      </c>
      <c r="G17" s="15">
        <f>SUM('- 57 -'!C17:G17,C17:F17)</f>
        <v>7892368</v>
      </c>
    </row>
    <row r="18" spans="1:7" ht="12.75">
      <c r="A18" s="371">
        <v>10</v>
      </c>
      <c r="B18" s="17" t="s">
        <v>122</v>
      </c>
      <c r="C18" s="17">
        <v>224100</v>
      </c>
      <c r="D18" s="17">
        <v>94435</v>
      </c>
      <c r="E18" s="17">
        <v>249075</v>
      </c>
      <c r="F18" s="17">
        <v>198527</v>
      </c>
      <c r="G18" s="17">
        <f>SUM('- 57 -'!C18:G18,C18:F18)</f>
        <v>5505013</v>
      </c>
    </row>
    <row r="19" spans="1:7" ht="12.75">
      <c r="A19" s="370">
        <v>11</v>
      </c>
      <c r="B19" s="15" t="s">
        <v>123</v>
      </c>
      <c r="C19" s="15">
        <v>86500</v>
      </c>
      <c r="D19" s="15">
        <v>52118</v>
      </c>
      <c r="E19" s="15">
        <v>225395</v>
      </c>
      <c r="F19" s="15">
        <v>60135</v>
      </c>
      <c r="G19" s="15">
        <f>SUM('- 57 -'!C19:G19,C19:F19)</f>
        <v>4529379</v>
      </c>
    </row>
    <row r="20" spans="1:7" ht="12.75">
      <c r="A20" s="371">
        <v>12</v>
      </c>
      <c r="B20" s="17" t="s">
        <v>124</v>
      </c>
      <c r="C20" s="17">
        <v>343050</v>
      </c>
      <c r="D20" s="17">
        <v>85756</v>
      </c>
      <c r="E20" s="17">
        <v>347080</v>
      </c>
      <c r="F20" s="17">
        <v>92723</v>
      </c>
      <c r="G20" s="17">
        <f>SUM('- 57 -'!C20:G20,C20:F20)</f>
        <v>4976884</v>
      </c>
    </row>
    <row r="21" spans="1:7" ht="12.75">
      <c r="A21" s="370">
        <v>13</v>
      </c>
      <c r="B21" s="15" t="s">
        <v>125</v>
      </c>
      <c r="C21" s="15">
        <v>77680</v>
      </c>
      <c r="D21" s="15">
        <v>29656</v>
      </c>
      <c r="E21" s="15">
        <v>67635</v>
      </c>
      <c r="F21" s="15">
        <v>98813</v>
      </c>
      <c r="G21" s="15">
        <f>SUM('- 57 -'!C21:G21,C21:F21)</f>
        <v>2854870</v>
      </c>
    </row>
    <row r="22" spans="1:7" ht="12.75">
      <c r="A22" s="371">
        <v>14</v>
      </c>
      <c r="B22" s="17" t="s">
        <v>126</v>
      </c>
      <c r="C22" s="17">
        <v>248300</v>
      </c>
      <c r="D22" s="17">
        <v>40770</v>
      </c>
      <c r="E22" s="17">
        <v>94770</v>
      </c>
      <c r="F22" s="17">
        <v>52435</v>
      </c>
      <c r="G22" s="17">
        <f>SUM('- 57 -'!C22:G22,C22:F22)</f>
        <v>3566946</v>
      </c>
    </row>
    <row r="23" spans="1:7" ht="12.75">
      <c r="A23" s="370">
        <v>15</v>
      </c>
      <c r="B23" s="15" t="s">
        <v>127</v>
      </c>
      <c r="C23" s="15">
        <v>24100</v>
      </c>
      <c r="D23" s="15">
        <v>72006</v>
      </c>
      <c r="E23" s="15">
        <v>196020</v>
      </c>
      <c r="F23" s="15">
        <v>520340</v>
      </c>
      <c r="G23" s="15">
        <f>SUM('- 57 -'!C23:G23,C23:F23)</f>
        <v>4696363</v>
      </c>
    </row>
    <row r="24" spans="1:7" ht="12.75">
      <c r="A24" s="371">
        <v>16</v>
      </c>
      <c r="B24" s="17" t="s">
        <v>128</v>
      </c>
      <c r="C24" s="17">
        <v>3600</v>
      </c>
      <c r="D24" s="17">
        <v>8569</v>
      </c>
      <c r="E24" s="17">
        <v>22275</v>
      </c>
      <c r="F24" s="17">
        <v>87367</v>
      </c>
      <c r="G24" s="17">
        <f>SUM('- 57 -'!C24:G24,C24:F24)</f>
        <v>1099420</v>
      </c>
    </row>
    <row r="25" spans="1:7" ht="12.75">
      <c r="A25" s="370">
        <v>17</v>
      </c>
      <c r="B25" s="15" t="s">
        <v>129</v>
      </c>
      <c r="C25" s="15">
        <v>87500</v>
      </c>
      <c r="D25" s="15">
        <v>10434</v>
      </c>
      <c r="E25" s="15">
        <v>13770</v>
      </c>
      <c r="F25" s="15">
        <v>43689</v>
      </c>
      <c r="G25" s="15">
        <f>SUM('- 57 -'!C25:G25,C25:F25)</f>
        <v>799182</v>
      </c>
    </row>
    <row r="26" spans="1:7" ht="12.75">
      <c r="A26" s="371">
        <v>18</v>
      </c>
      <c r="B26" s="17" t="s">
        <v>130</v>
      </c>
      <c r="C26" s="17">
        <v>3400</v>
      </c>
      <c r="D26" s="17">
        <v>16680</v>
      </c>
      <c r="E26" s="17">
        <v>46980</v>
      </c>
      <c r="F26" s="17">
        <v>72838</v>
      </c>
      <c r="G26" s="17">
        <f>SUM('- 57 -'!C26:G26,C26:F26)</f>
        <v>1242861</v>
      </c>
    </row>
    <row r="27" spans="1:7" ht="12.75">
      <c r="A27" s="370">
        <v>19</v>
      </c>
      <c r="B27" s="15" t="s">
        <v>131</v>
      </c>
      <c r="C27" s="15">
        <v>8250</v>
      </c>
      <c r="D27" s="15">
        <v>20566</v>
      </c>
      <c r="E27" s="15">
        <v>179771</v>
      </c>
      <c r="F27" s="15">
        <v>90556</v>
      </c>
      <c r="G27" s="15">
        <f>SUM('- 57 -'!C27:G27,C27:F27)</f>
        <v>1941062</v>
      </c>
    </row>
    <row r="28" spans="1:7" ht="12.75">
      <c r="A28" s="371">
        <v>20</v>
      </c>
      <c r="B28" s="17" t="s">
        <v>132</v>
      </c>
      <c r="C28" s="17">
        <v>51700</v>
      </c>
      <c r="D28" s="17">
        <v>11519</v>
      </c>
      <c r="E28" s="17">
        <v>30375</v>
      </c>
      <c r="F28" s="17">
        <v>119304</v>
      </c>
      <c r="G28" s="17">
        <f>SUM('- 57 -'!C28:G28,C28:F28)</f>
        <v>1141122</v>
      </c>
    </row>
    <row r="29" spans="1:7" ht="12.75">
      <c r="A29" s="370">
        <v>21</v>
      </c>
      <c r="B29" s="15" t="s">
        <v>133</v>
      </c>
      <c r="C29" s="15">
        <v>19800</v>
      </c>
      <c r="D29" s="15">
        <v>37235</v>
      </c>
      <c r="E29" s="15">
        <v>95175</v>
      </c>
      <c r="F29" s="15">
        <v>125143</v>
      </c>
      <c r="G29" s="15">
        <f>SUM('- 57 -'!C29:G29,C29:F29)</f>
        <v>2871745</v>
      </c>
    </row>
    <row r="30" spans="1:7" ht="12.75">
      <c r="A30" s="371">
        <v>22</v>
      </c>
      <c r="B30" s="17" t="s">
        <v>134</v>
      </c>
      <c r="C30" s="17">
        <v>5000</v>
      </c>
      <c r="D30" s="17">
        <v>17875</v>
      </c>
      <c r="E30" s="17">
        <v>36045</v>
      </c>
      <c r="F30" s="17">
        <v>44589</v>
      </c>
      <c r="G30" s="17">
        <f>SUM('- 57 -'!C30:G30,C30:F30)</f>
        <v>1611897</v>
      </c>
    </row>
    <row r="31" spans="1:7" ht="12.75">
      <c r="A31" s="370">
        <v>23</v>
      </c>
      <c r="B31" s="15" t="s">
        <v>135</v>
      </c>
      <c r="C31" s="15">
        <v>7350</v>
      </c>
      <c r="D31" s="15">
        <v>15202</v>
      </c>
      <c r="E31" s="15">
        <v>34830</v>
      </c>
      <c r="F31" s="15">
        <v>76697</v>
      </c>
      <c r="G31" s="15">
        <f>SUM('- 57 -'!C31:G31,C31:F31)</f>
        <v>1905863</v>
      </c>
    </row>
    <row r="32" spans="1:7" ht="12.75">
      <c r="A32" s="371">
        <v>24</v>
      </c>
      <c r="B32" s="17" t="s">
        <v>136</v>
      </c>
      <c r="C32" s="17">
        <v>69320</v>
      </c>
      <c r="D32" s="17">
        <v>39105</v>
      </c>
      <c r="E32" s="17">
        <v>99225</v>
      </c>
      <c r="F32" s="17">
        <v>113830</v>
      </c>
      <c r="G32" s="17">
        <f>SUM('- 57 -'!C32:G32,C32:F32)</f>
        <v>2787965</v>
      </c>
    </row>
    <row r="33" spans="1:7" ht="12.75">
      <c r="A33" s="370">
        <v>25</v>
      </c>
      <c r="B33" s="15" t="s">
        <v>137</v>
      </c>
      <c r="C33" s="15">
        <v>5120</v>
      </c>
      <c r="D33" s="15">
        <v>15697</v>
      </c>
      <c r="E33" s="15">
        <v>28350</v>
      </c>
      <c r="F33" s="15">
        <v>100622</v>
      </c>
      <c r="G33" s="15">
        <f>SUM('- 57 -'!C33:G33,C33:F33)</f>
        <v>1368336</v>
      </c>
    </row>
    <row r="34" spans="1:7" ht="12.75">
      <c r="A34" s="371">
        <v>26</v>
      </c>
      <c r="B34" s="17" t="s">
        <v>138</v>
      </c>
      <c r="C34" s="17">
        <v>4100</v>
      </c>
      <c r="D34" s="17">
        <v>33253</v>
      </c>
      <c r="E34" s="17">
        <v>87885</v>
      </c>
      <c r="F34" s="17">
        <v>514139</v>
      </c>
      <c r="G34" s="17">
        <f>SUM('- 57 -'!C34:G34,C34:F34)</f>
        <v>2439941</v>
      </c>
    </row>
    <row r="35" spans="1:7" ht="12.75">
      <c r="A35" s="370">
        <v>28</v>
      </c>
      <c r="B35" s="15" t="s">
        <v>139</v>
      </c>
      <c r="C35" s="15">
        <v>37870</v>
      </c>
      <c r="D35" s="15">
        <v>9152</v>
      </c>
      <c r="E35" s="15">
        <v>19440</v>
      </c>
      <c r="F35" s="15">
        <v>96094</v>
      </c>
      <c r="G35" s="15">
        <f>SUM('- 57 -'!C35:G35,C35:F35)</f>
        <v>878710</v>
      </c>
    </row>
    <row r="36" spans="1:7" ht="12.75">
      <c r="A36" s="371">
        <v>30</v>
      </c>
      <c r="B36" s="17" t="s">
        <v>140</v>
      </c>
      <c r="C36" s="17">
        <v>4925</v>
      </c>
      <c r="D36" s="17">
        <v>14817</v>
      </c>
      <c r="E36" s="17">
        <v>43740</v>
      </c>
      <c r="F36" s="17">
        <v>89847</v>
      </c>
      <c r="G36" s="17">
        <f>SUM('- 57 -'!C36:G36,C36:F36)</f>
        <v>1646977</v>
      </c>
    </row>
    <row r="37" spans="1:7" ht="12.75">
      <c r="A37" s="370">
        <v>31</v>
      </c>
      <c r="B37" s="15" t="s">
        <v>141</v>
      </c>
      <c r="C37" s="15">
        <v>5550</v>
      </c>
      <c r="D37" s="15">
        <v>17534</v>
      </c>
      <c r="E37" s="15">
        <v>38880</v>
      </c>
      <c r="F37" s="15">
        <v>72740</v>
      </c>
      <c r="G37" s="15">
        <f>SUM('- 57 -'!C37:G37,C37:F37)</f>
        <v>1415081</v>
      </c>
    </row>
    <row r="38" spans="1:7" ht="12.75">
      <c r="A38" s="371">
        <v>32</v>
      </c>
      <c r="B38" s="17" t="s">
        <v>142</v>
      </c>
      <c r="C38" s="17">
        <v>17800</v>
      </c>
      <c r="D38" s="17">
        <v>9680</v>
      </c>
      <c r="E38" s="17">
        <v>27540</v>
      </c>
      <c r="F38" s="17">
        <v>112041</v>
      </c>
      <c r="G38" s="17">
        <f>SUM('- 57 -'!C38:G38,C38:F38)</f>
        <v>1409219</v>
      </c>
    </row>
    <row r="39" spans="1:7" ht="12.75">
      <c r="A39" s="370">
        <v>33</v>
      </c>
      <c r="B39" s="15" t="s">
        <v>143</v>
      </c>
      <c r="C39" s="15">
        <v>37550</v>
      </c>
      <c r="D39" s="15">
        <v>19426</v>
      </c>
      <c r="E39" s="15">
        <v>55890</v>
      </c>
      <c r="F39" s="15">
        <v>60293</v>
      </c>
      <c r="G39" s="15">
        <f>SUM('- 57 -'!C39:G39,C39:F39)</f>
        <v>1785148</v>
      </c>
    </row>
    <row r="40" spans="1:7" ht="12.75">
      <c r="A40" s="371">
        <v>34</v>
      </c>
      <c r="B40" s="17" t="s">
        <v>144</v>
      </c>
      <c r="C40" s="17">
        <v>354</v>
      </c>
      <c r="D40" s="17">
        <v>7062</v>
      </c>
      <c r="E40" s="17">
        <v>14580</v>
      </c>
      <c r="F40" s="17">
        <v>56532</v>
      </c>
      <c r="G40" s="17">
        <f>SUM('- 57 -'!C40:G40,C40:F40)</f>
        <v>1041034</v>
      </c>
    </row>
    <row r="41" spans="1:7" ht="12.75">
      <c r="A41" s="370">
        <v>35</v>
      </c>
      <c r="B41" s="15" t="s">
        <v>145</v>
      </c>
      <c r="C41" s="15">
        <v>28500</v>
      </c>
      <c r="D41" s="15">
        <v>20273</v>
      </c>
      <c r="E41" s="15">
        <v>52525</v>
      </c>
      <c r="F41" s="15">
        <v>44741</v>
      </c>
      <c r="G41" s="15">
        <f>SUM('- 57 -'!C41:G41,C41:F41)</f>
        <v>2087840</v>
      </c>
    </row>
    <row r="42" spans="1:7" ht="12.75">
      <c r="A42" s="371">
        <v>36</v>
      </c>
      <c r="B42" s="17" t="s">
        <v>146</v>
      </c>
      <c r="C42" s="17">
        <v>3000</v>
      </c>
      <c r="D42" s="17">
        <v>10274</v>
      </c>
      <c r="E42" s="17">
        <v>29160</v>
      </c>
      <c r="F42" s="17">
        <v>58202</v>
      </c>
      <c r="G42" s="17">
        <f>SUM('- 57 -'!C42:G42,C42:F42)</f>
        <v>989378</v>
      </c>
    </row>
    <row r="43" spans="1:7" ht="12.75">
      <c r="A43" s="370">
        <v>37</v>
      </c>
      <c r="B43" s="15" t="s">
        <v>147</v>
      </c>
      <c r="C43" s="15">
        <v>2900</v>
      </c>
      <c r="D43" s="15">
        <v>10549</v>
      </c>
      <c r="E43" s="15">
        <v>27135</v>
      </c>
      <c r="F43" s="15">
        <v>40270</v>
      </c>
      <c r="G43" s="15">
        <f>SUM('- 57 -'!C43:G43,C43:F43)</f>
        <v>990308</v>
      </c>
    </row>
    <row r="44" spans="1:7" ht="12.75">
      <c r="A44" s="371">
        <v>38</v>
      </c>
      <c r="B44" s="17" t="s">
        <v>148</v>
      </c>
      <c r="C44" s="17">
        <v>6300</v>
      </c>
      <c r="D44" s="17">
        <v>11341</v>
      </c>
      <c r="E44" s="17">
        <v>22275</v>
      </c>
      <c r="F44" s="17">
        <v>82777</v>
      </c>
      <c r="G44" s="17">
        <f>SUM('- 57 -'!C44:G44,C44:F44)</f>
        <v>1302604</v>
      </c>
    </row>
    <row r="45" spans="1:7" ht="12.75">
      <c r="A45" s="370">
        <v>39</v>
      </c>
      <c r="B45" s="15" t="s">
        <v>149</v>
      </c>
      <c r="C45" s="15">
        <v>9000</v>
      </c>
      <c r="D45" s="15">
        <v>22528</v>
      </c>
      <c r="E45" s="15">
        <v>52650</v>
      </c>
      <c r="F45" s="15">
        <v>115640</v>
      </c>
      <c r="G45" s="15">
        <f>SUM('- 57 -'!C45:G45,C45:F45)</f>
        <v>1985166</v>
      </c>
    </row>
    <row r="46" spans="1:7" ht="12.75">
      <c r="A46" s="371">
        <v>40</v>
      </c>
      <c r="B46" s="17" t="s">
        <v>150</v>
      </c>
      <c r="C46" s="17">
        <v>132100</v>
      </c>
      <c r="D46" s="17">
        <v>79600</v>
      </c>
      <c r="E46" s="17">
        <v>280900</v>
      </c>
      <c r="F46" s="17">
        <v>65500</v>
      </c>
      <c r="G46" s="17">
        <f>SUM('- 57 -'!C46:G46,C46:F46)</f>
        <v>4720400</v>
      </c>
    </row>
    <row r="47" spans="1:7" ht="12.75">
      <c r="A47" s="370">
        <v>41</v>
      </c>
      <c r="B47" s="15" t="s">
        <v>151</v>
      </c>
      <c r="C47" s="15">
        <v>2600</v>
      </c>
      <c r="D47" s="15">
        <v>16137</v>
      </c>
      <c r="E47" s="15">
        <v>39285</v>
      </c>
      <c r="F47" s="15">
        <v>61686</v>
      </c>
      <c r="G47" s="15">
        <f>SUM('- 57 -'!C47:G47,C47:F47)</f>
        <v>1595090</v>
      </c>
    </row>
    <row r="48" spans="1:7" ht="12.75">
      <c r="A48" s="371">
        <v>42</v>
      </c>
      <c r="B48" s="17" t="s">
        <v>152</v>
      </c>
      <c r="C48" s="17">
        <v>6100</v>
      </c>
      <c r="D48" s="17">
        <v>11407</v>
      </c>
      <c r="E48" s="17">
        <v>27945</v>
      </c>
      <c r="F48" s="17">
        <v>81993</v>
      </c>
      <c r="G48" s="17">
        <f>SUM('- 57 -'!C48:G48,C48:F48)</f>
        <v>1061227</v>
      </c>
    </row>
    <row r="49" spans="1:7" ht="12.75">
      <c r="A49" s="370">
        <v>43</v>
      </c>
      <c r="B49" s="15" t="s">
        <v>153</v>
      </c>
      <c r="C49" s="15">
        <v>4850</v>
      </c>
      <c r="D49" s="15">
        <v>8415</v>
      </c>
      <c r="E49" s="15">
        <v>19845</v>
      </c>
      <c r="F49" s="15">
        <v>46456</v>
      </c>
      <c r="G49" s="15">
        <f>SUM('- 57 -'!C49:G49,C49:F49)</f>
        <v>787789</v>
      </c>
    </row>
    <row r="50" spans="1:7" ht="12.75">
      <c r="A50" s="371">
        <v>44</v>
      </c>
      <c r="B50" s="17" t="s">
        <v>154</v>
      </c>
      <c r="C50" s="17">
        <v>4400</v>
      </c>
      <c r="D50" s="17">
        <v>13431</v>
      </c>
      <c r="E50" s="17">
        <v>34425</v>
      </c>
      <c r="F50" s="17">
        <v>57763</v>
      </c>
      <c r="G50" s="17">
        <f>SUM('- 57 -'!C50:G50,C50:F50)</f>
        <v>1129097</v>
      </c>
    </row>
    <row r="51" spans="1:7" ht="12.75">
      <c r="A51" s="370">
        <v>45</v>
      </c>
      <c r="B51" s="15" t="s">
        <v>155</v>
      </c>
      <c r="C51" s="15">
        <v>37200</v>
      </c>
      <c r="D51" s="15">
        <v>20112</v>
      </c>
      <c r="E51" s="15">
        <v>65485</v>
      </c>
      <c r="F51" s="15">
        <v>1238757</v>
      </c>
      <c r="G51" s="15">
        <f>SUM('- 57 -'!C51:G51,C51:F51)</f>
        <v>2595842</v>
      </c>
    </row>
    <row r="52" spans="1:7" ht="12.75">
      <c r="A52" s="371">
        <v>46</v>
      </c>
      <c r="B52" s="17" t="s">
        <v>156</v>
      </c>
      <c r="C52" s="17">
        <v>30450</v>
      </c>
      <c r="D52" s="17">
        <v>13453</v>
      </c>
      <c r="E52" s="17">
        <v>36045</v>
      </c>
      <c r="F52" s="17">
        <v>734197</v>
      </c>
      <c r="G52" s="17">
        <f>SUM('- 57 -'!C52:G52,C52:F52)</f>
        <v>1334492</v>
      </c>
    </row>
    <row r="53" spans="1:7" ht="12.75">
      <c r="A53" s="370">
        <v>47</v>
      </c>
      <c r="B53" s="15" t="s">
        <v>157</v>
      </c>
      <c r="C53" s="15">
        <v>30300</v>
      </c>
      <c r="D53" s="15">
        <v>16511</v>
      </c>
      <c r="E53" s="15">
        <v>38475</v>
      </c>
      <c r="F53" s="15">
        <v>31473</v>
      </c>
      <c r="G53" s="15">
        <f>SUM('- 57 -'!C53:G53,C53:F53)</f>
        <v>989169</v>
      </c>
    </row>
    <row r="54" spans="1:7" ht="12.75">
      <c r="A54" s="371">
        <v>48</v>
      </c>
      <c r="B54" s="17" t="s">
        <v>158</v>
      </c>
      <c r="C54" s="17">
        <v>2250</v>
      </c>
      <c r="D54" s="17">
        <v>30965</v>
      </c>
      <c r="E54" s="17">
        <v>197435</v>
      </c>
      <c r="F54" s="17">
        <v>2449462</v>
      </c>
      <c r="G54" s="17">
        <f>SUM('- 57 -'!C54:G54,C54:F54)</f>
        <v>5470595</v>
      </c>
    </row>
    <row r="55" spans="1:7" ht="12.75">
      <c r="A55" s="370">
        <v>49</v>
      </c>
      <c r="B55" s="15" t="s">
        <v>159</v>
      </c>
      <c r="C55" s="15">
        <v>1188000</v>
      </c>
      <c r="D55" s="15">
        <v>50380</v>
      </c>
      <c r="E55" s="15">
        <v>136890</v>
      </c>
      <c r="F55" s="15">
        <v>561100</v>
      </c>
      <c r="G55" s="15">
        <f>SUM('- 57 -'!C55:G55,C55:F55)</f>
        <v>5131070</v>
      </c>
    </row>
    <row r="56" spans="1:7" ht="12.75">
      <c r="A56" s="371">
        <v>50</v>
      </c>
      <c r="B56" s="17" t="s">
        <v>340</v>
      </c>
      <c r="C56" s="17">
        <v>11200</v>
      </c>
      <c r="D56" s="17">
        <v>19349</v>
      </c>
      <c r="E56" s="17">
        <v>42120</v>
      </c>
      <c r="F56" s="17">
        <v>167337</v>
      </c>
      <c r="G56" s="17">
        <f>SUM('- 57 -'!C56:G56,C56:F56)</f>
        <v>2097737</v>
      </c>
    </row>
    <row r="57" spans="1:7" ht="12.75">
      <c r="A57" s="370">
        <v>2264</v>
      </c>
      <c r="B57" s="15" t="s">
        <v>160</v>
      </c>
      <c r="C57" s="15">
        <v>0</v>
      </c>
      <c r="D57" s="15">
        <v>2717</v>
      </c>
      <c r="E57" s="15">
        <v>8100</v>
      </c>
      <c r="F57" s="15">
        <v>145791</v>
      </c>
      <c r="G57" s="15">
        <f>SUM('- 57 -'!C57:G57,C57:F57)</f>
        <v>419677</v>
      </c>
    </row>
    <row r="58" spans="1:7" ht="12.75">
      <c r="A58" s="371">
        <v>2309</v>
      </c>
      <c r="B58" s="17" t="s">
        <v>161</v>
      </c>
      <c r="C58" s="17">
        <v>1130</v>
      </c>
      <c r="D58" s="17">
        <v>3025</v>
      </c>
      <c r="E58" s="17">
        <v>0</v>
      </c>
      <c r="F58" s="17">
        <v>165357</v>
      </c>
      <c r="G58" s="17">
        <f>SUM('- 57 -'!C58:G58,C58:F58)</f>
        <v>294156</v>
      </c>
    </row>
    <row r="59" spans="1:7" ht="12.75">
      <c r="A59" s="370">
        <v>2312</v>
      </c>
      <c r="B59" s="15" t="s">
        <v>162</v>
      </c>
      <c r="C59" s="15">
        <v>0</v>
      </c>
      <c r="D59" s="15">
        <v>2200</v>
      </c>
      <c r="E59" s="15">
        <v>8100</v>
      </c>
      <c r="F59" s="15">
        <v>111560</v>
      </c>
      <c r="G59" s="15">
        <f>SUM('- 57 -'!C59:G59,C59:F59)</f>
        <v>295395</v>
      </c>
    </row>
    <row r="60" spans="1:7" ht="12.75">
      <c r="A60" s="371">
        <v>2355</v>
      </c>
      <c r="B60" s="17" t="s">
        <v>163</v>
      </c>
      <c r="C60" s="17">
        <v>61900</v>
      </c>
      <c r="D60" s="17">
        <v>37719</v>
      </c>
      <c r="E60" s="17">
        <v>111655</v>
      </c>
      <c r="F60" s="17">
        <v>1858802</v>
      </c>
      <c r="G60" s="17">
        <f>SUM('- 57 -'!C60:G60,C60:F60)</f>
        <v>3682067</v>
      </c>
    </row>
    <row r="61" spans="1:7" ht="12.75">
      <c r="A61" s="370">
        <v>2439</v>
      </c>
      <c r="B61" s="15" t="s">
        <v>164</v>
      </c>
      <c r="C61" s="15">
        <v>550</v>
      </c>
      <c r="D61" s="15">
        <v>1683</v>
      </c>
      <c r="E61" s="15">
        <v>5265</v>
      </c>
      <c r="F61" s="15">
        <v>38728</v>
      </c>
      <c r="G61" s="15">
        <f>SUM('- 57 -'!C61:G61,C61:F61)</f>
        <v>377162</v>
      </c>
    </row>
    <row r="62" spans="1:7" ht="12.75">
      <c r="A62" s="371">
        <v>2460</v>
      </c>
      <c r="B62" s="17" t="s">
        <v>165</v>
      </c>
      <c r="C62" s="17">
        <v>0</v>
      </c>
      <c r="D62" s="17">
        <v>3069</v>
      </c>
      <c r="E62" s="17">
        <v>8910</v>
      </c>
      <c r="F62" s="17">
        <v>165169</v>
      </c>
      <c r="G62" s="17">
        <f>SUM('- 57 -'!C62:G62,C62:F62)</f>
        <v>317439</v>
      </c>
    </row>
    <row r="63" spans="1:7" ht="12.75">
      <c r="A63" s="370">
        <v>3000</v>
      </c>
      <c r="B63" s="15" t="s">
        <v>363</v>
      </c>
      <c r="C63" s="15">
        <v>0</v>
      </c>
      <c r="D63" s="15">
        <v>0</v>
      </c>
      <c r="E63" s="15">
        <v>0</v>
      </c>
      <c r="F63" s="15">
        <v>0</v>
      </c>
      <c r="G63" s="15">
        <f>SUM('- 57 -'!C63:G63,C63:F63)</f>
        <v>540500</v>
      </c>
    </row>
    <row r="64" ht="4.5" customHeight="1"/>
    <row r="65" spans="1:7" ht="12.75">
      <c r="A65" s="102"/>
      <c r="B65" s="21" t="s">
        <v>166</v>
      </c>
      <c r="C65" s="21">
        <f>SUM(C11:C63)</f>
        <v>5690829</v>
      </c>
      <c r="D65" s="21">
        <f>SUM(D11:D63)</f>
        <v>1980539</v>
      </c>
      <c r="E65" s="21">
        <f>SUM(E11:E63)</f>
        <v>5637431</v>
      </c>
      <c r="F65" s="21">
        <f>SUM(F11:F63)</f>
        <v>13123659</v>
      </c>
      <c r="G65" s="21">
        <f>SUM(G11:G63)</f>
        <v>146660595</v>
      </c>
    </row>
    <row r="66" ht="4.5" customHeight="1"/>
    <row r="67" spans="1:7" ht="12.75">
      <c r="A67" s="99">
        <v>2155</v>
      </c>
      <c r="B67" s="100" t="s">
        <v>167</v>
      </c>
      <c r="C67" s="100">
        <v>800</v>
      </c>
      <c r="D67" s="100">
        <v>627</v>
      </c>
      <c r="E67" s="100">
        <v>1215</v>
      </c>
      <c r="F67" s="100">
        <v>12780</v>
      </c>
      <c r="G67" s="100">
        <f>SUM('- 57 -'!C67:G67,C67:F67)</f>
        <v>134358</v>
      </c>
    </row>
    <row r="68" spans="1:7" ht="12.75">
      <c r="A68" s="97">
        <v>2408</v>
      </c>
      <c r="B68" s="98" t="s">
        <v>169</v>
      </c>
      <c r="C68" s="98">
        <v>1680</v>
      </c>
      <c r="D68" s="98">
        <v>2310</v>
      </c>
      <c r="E68" s="98">
        <v>3240</v>
      </c>
      <c r="F68" s="98">
        <v>22508</v>
      </c>
      <c r="G68" s="98">
        <f>SUM('- 57 -'!C68:G68,C68:F68)</f>
        <v>121991</v>
      </c>
    </row>
    <row r="69" spans="3:7" ht="6.75" customHeight="1">
      <c r="C69" s="18"/>
      <c r="D69" s="18"/>
      <c r="E69" s="18"/>
      <c r="F69" s="18"/>
      <c r="G69" s="18"/>
    </row>
    <row r="70" spans="1:7" ht="12" customHeight="1">
      <c r="A70" s="396" t="s">
        <v>351</v>
      </c>
      <c r="B70" s="271" t="s">
        <v>468</v>
      </c>
      <c r="F70" s="123"/>
      <c r="G70" s="123"/>
    </row>
    <row r="71" spans="1:7" ht="12" customHeight="1">
      <c r="A71" s="55"/>
      <c r="B71" s="271" t="s">
        <v>481</v>
      </c>
      <c r="F71" s="123"/>
      <c r="G71" s="123"/>
    </row>
    <row r="72" spans="1:7" ht="12" customHeight="1">
      <c r="A72" s="55"/>
      <c r="C72" s="124"/>
      <c r="D72" s="124"/>
      <c r="E72" s="124"/>
      <c r="F72" s="123"/>
      <c r="G72" s="123"/>
    </row>
    <row r="73" spans="6:7" ht="12" customHeight="1">
      <c r="F73" s="129"/>
      <c r="G73" s="129"/>
    </row>
    <row r="74" spans="1:7" ht="12" customHeight="1">
      <c r="A74" s="7"/>
      <c r="B74" s="7"/>
      <c r="C74" s="129"/>
      <c r="D74" s="129"/>
      <c r="E74" s="129"/>
      <c r="F74" s="129"/>
      <c r="G74" s="129"/>
    </row>
    <row r="75" spans="3:7" ht="12" customHeight="1">
      <c r="C75" s="129"/>
      <c r="D75" s="129"/>
      <c r="E75" s="129"/>
      <c r="F75" s="129"/>
      <c r="G75" s="129"/>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I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5" width="18.83203125" style="82" customWidth="1"/>
    <col min="6" max="6" width="1.83203125" style="82" customWidth="1"/>
    <col min="7" max="7" width="18.83203125" style="82" customWidth="1"/>
    <col min="8" max="8" width="1.83203125" style="82" customWidth="1"/>
    <col min="9" max="9" width="18.83203125" style="82" customWidth="1"/>
    <col min="10" max="16384" width="15.83203125" style="82" customWidth="1"/>
  </cols>
  <sheetData>
    <row r="1" spans="2:8" ht="6.75" customHeight="1">
      <c r="B1" s="80"/>
      <c r="C1" s="80"/>
      <c r="D1" s="80"/>
      <c r="E1" s="80"/>
      <c r="F1" s="142"/>
      <c r="G1" s="142"/>
      <c r="H1" s="142"/>
    </row>
    <row r="2" spans="1:9" ht="12.75">
      <c r="A2" s="9"/>
      <c r="B2" s="83"/>
      <c r="C2" s="200" t="s">
        <v>6</v>
      </c>
      <c r="D2" s="200"/>
      <c r="E2" s="200"/>
      <c r="F2" s="200"/>
      <c r="G2" s="200"/>
      <c r="H2" s="200"/>
      <c r="I2" s="219" t="s">
        <v>8</v>
      </c>
    </row>
    <row r="3" spans="1:9" ht="12.75">
      <c r="A3" s="10"/>
      <c r="B3" s="86"/>
      <c r="C3" s="203" t="str">
        <f>STATDATE</f>
        <v>ESTIMATE SEPTEMBER 30, 2002</v>
      </c>
      <c r="D3" s="203"/>
      <c r="E3" s="203"/>
      <c r="F3" s="203"/>
      <c r="G3" s="203"/>
      <c r="H3" s="203"/>
      <c r="I3" s="216"/>
    </row>
    <row r="4" spans="1:8" ht="10.5" customHeight="1">
      <c r="A4" s="11"/>
      <c r="F4" s="142"/>
      <c r="G4" s="142"/>
      <c r="H4" s="142"/>
    </row>
    <row r="5" spans="1:8" ht="10.5" customHeight="1">
      <c r="A5" s="11"/>
      <c r="C5"/>
      <c r="D5"/>
      <c r="E5"/>
      <c r="F5"/>
      <c r="G5"/>
      <c r="H5"/>
    </row>
    <row r="6" spans="1:8" ht="10.5" customHeight="1">
      <c r="A6" s="11"/>
      <c r="C6"/>
      <c r="D6"/>
      <c r="E6"/>
      <c r="F6"/>
      <c r="G6"/>
      <c r="H6"/>
    </row>
    <row r="7" spans="3:9" ht="12.75">
      <c r="C7" s="275" t="s">
        <v>62</v>
      </c>
      <c r="D7" s="276"/>
      <c r="E7" s="386" t="s">
        <v>63</v>
      </c>
      <c r="F7"/>
      <c r="G7" s="386" t="s">
        <v>69</v>
      </c>
      <c r="H7"/>
      <c r="I7" s="307" t="s">
        <v>417</v>
      </c>
    </row>
    <row r="8" spans="1:9" ht="12.75">
      <c r="A8" s="94"/>
      <c r="B8" s="46"/>
      <c r="C8" s="307" t="s">
        <v>349</v>
      </c>
      <c r="D8" s="208"/>
      <c r="E8" s="307" t="s">
        <v>17</v>
      </c>
      <c r="F8" s="383"/>
      <c r="G8" s="208" t="s">
        <v>87</v>
      </c>
      <c r="H8"/>
      <c r="I8" s="72" t="s">
        <v>418</v>
      </c>
    </row>
    <row r="9" spans="1:9" ht="16.5">
      <c r="A9" s="52" t="s">
        <v>100</v>
      </c>
      <c r="B9" s="53" t="s">
        <v>101</v>
      </c>
      <c r="C9" s="75" t="s">
        <v>29</v>
      </c>
      <c r="D9" s="75" t="s">
        <v>69</v>
      </c>
      <c r="E9" s="122" t="s">
        <v>44</v>
      </c>
      <c r="F9" s="384"/>
      <c r="G9" s="75" t="s">
        <v>309</v>
      </c>
      <c r="H9"/>
      <c r="I9" s="122" t="s">
        <v>460</v>
      </c>
    </row>
    <row r="10" spans="1:8" ht="4.5" customHeight="1">
      <c r="A10" s="77"/>
      <c r="B10" s="77"/>
      <c r="C10" s="105"/>
      <c r="D10" s="77"/>
      <c r="F10" s="149"/>
      <c r="H10"/>
    </row>
    <row r="11" spans="1:9" ht="12.75">
      <c r="A11" s="14">
        <v>1</v>
      </c>
      <c r="B11" s="15" t="s">
        <v>115</v>
      </c>
      <c r="C11" s="348">
        <v>534.5</v>
      </c>
      <c r="D11" s="348">
        <f>SUM('- 6 -'!C11:I11,C11)</f>
        <v>29896</v>
      </c>
      <c r="E11" s="348">
        <v>1022</v>
      </c>
      <c r="F11" s="313"/>
      <c r="G11" s="348">
        <f>D11+E11</f>
        <v>30918</v>
      </c>
      <c r="H11"/>
      <c r="I11" s="348">
        <v>0</v>
      </c>
    </row>
    <row r="12" spans="1:9" ht="12.75">
      <c r="A12" s="16">
        <v>2</v>
      </c>
      <c r="B12" s="17" t="s">
        <v>116</v>
      </c>
      <c r="C12" s="349">
        <v>843.48</v>
      </c>
      <c r="D12" s="349">
        <f>SUM('- 6 -'!C12:I12,C12)</f>
        <v>9026.92</v>
      </c>
      <c r="E12" s="349">
        <v>118.88</v>
      </c>
      <c r="F12" s="313"/>
      <c r="G12" s="349">
        <f aca="true" t="shared" si="0" ref="G12:G63">D12+E12</f>
        <v>9145.8</v>
      </c>
      <c r="H12"/>
      <c r="I12" s="349">
        <v>0</v>
      </c>
    </row>
    <row r="13" spans="1:9" ht="12.75">
      <c r="A13" s="14">
        <v>3</v>
      </c>
      <c r="B13" s="15" t="s">
        <v>117</v>
      </c>
      <c r="C13" s="348">
        <v>0</v>
      </c>
      <c r="D13" s="348">
        <f>SUM('- 6 -'!C13:I13,C13)</f>
        <v>5745.5</v>
      </c>
      <c r="E13" s="348">
        <v>0</v>
      </c>
      <c r="F13" s="313"/>
      <c r="G13" s="348">
        <f t="shared" si="0"/>
        <v>5745.5</v>
      </c>
      <c r="H13"/>
      <c r="I13" s="348">
        <v>0</v>
      </c>
    </row>
    <row r="14" spans="1:9" ht="12.75">
      <c r="A14" s="16">
        <v>4</v>
      </c>
      <c r="B14" s="17" t="s">
        <v>118</v>
      </c>
      <c r="C14" s="349">
        <v>140</v>
      </c>
      <c r="D14" s="349">
        <f>SUM('- 6 -'!C14:I14,C14)</f>
        <v>6117</v>
      </c>
      <c r="E14" s="349">
        <v>112</v>
      </c>
      <c r="F14" s="313"/>
      <c r="G14" s="349">
        <f t="shared" si="0"/>
        <v>6229</v>
      </c>
      <c r="H14"/>
      <c r="I14" s="349">
        <v>0</v>
      </c>
    </row>
    <row r="15" spans="1:9" ht="12.75">
      <c r="A15" s="14">
        <v>5</v>
      </c>
      <c r="B15" s="15" t="s">
        <v>119</v>
      </c>
      <c r="C15" s="348">
        <v>0</v>
      </c>
      <c r="D15" s="348">
        <f>SUM('- 6 -'!C15:I15,C15)</f>
        <v>7184.5</v>
      </c>
      <c r="E15" s="348">
        <v>44</v>
      </c>
      <c r="F15" s="313"/>
      <c r="G15" s="348">
        <f t="shared" si="0"/>
        <v>7228.5</v>
      </c>
      <c r="H15"/>
      <c r="I15" s="348">
        <v>0</v>
      </c>
    </row>
    <row r="16" spans="1:9" ht="12.75">
      <c r="A16" s="16">
        <v>6</v>
      </c>
      <c r="B16" s="17" t="s">
        <v>120</v>
      </c>
      <c r="C16" s="349">
        <v>0</v>
      </c>
      <c r="D16" s="349">
        <f>SUM('- 6 -'!C16:I16,C16)</f>
        <v>8812.5</v>
      </c>
      <c r="E16" s="349">
        <v>75</v>
      </c>
      <c r="F16" s="313"/>
      <c r="G16" s="349">
        <f t="shared" si="0"/>
        <v>8887.5</v>
      </c>
      <c r="H16"/>
      <c r="I16" s="349">
        <v>0</v>
      </c>
    </row>
    <row r="17" spans="1:9" ht="12.75">
      <c r="A17" s="14">
        <v>9</v>
      </c>
      <c r="B17" s="15" t="s">
        <v>121</v>
      </c>
      <c r="C17" s="348">
        <v>237.5</v>
      </c>
      <c r="D17" s="348">
        <f>SUM('- 6 -'!C17:I17,C17)</f>
        <v>12221</v>
      </c>
      <c r="E17" s="348">
        <v>184</v>
      </c>
      <c r="F17" s="313"/>
      <c r="G17" s="348">
        <f t="shared" si="0"/>
        <v>12405</v>
      </c>
      <c r="H17"/>
      <c r="I17" s="348">
        <v>0</v>
      </c>
    </row>
    <row r="18" spans="1:9" ht="12.75">
      <c r="A18" s="16">
        <v>10</v>
      </c>
      <c r="B18" s="17" t="s">
        <v>122</v>
      </c>
      <c r="C18" s="349">
        <v>121</v>
      </c>
      <c r="D18" s="349">
        <f>SUM('- 6 -'!C18:I18,C18)</f>
        <v>8586.5</v>
      </c>
      <c r="E18" s="349">
        <v>38</v>
      </c>
      <c r="F18" s="313"/>
      <c r="G18" s="349">
        <f t="shared" si="0"/>
        <v>8624.5</v>
      </c>
      <c r="H18"/>
      <c r="I18" s="349">
        <v>0</v>
      </c>
    </row>
    <row r="19" spans="1:9" ht="12.75">
      <c r="A19" s="14">
        <v>11</v>
      </c>
      <c r="B19" s="15" t="s">
        <v>123</v>
      </c>
      <c r="C19" s="348">
        <v>223</v>
      </c>
      <c r="D19" s="348">
        <f>SUM('- 6 -'!C19:I19,C19)</f>
        <v>4684</v>
      </c>
      <c r="E19" s="348">
        <v>13</v>
      </c>
      <c r="F19" s="313"/>
      <c r="G19" s="348">
        <f t="shared" si="0"/>
        <v>4697</v>
      </c>
      <c r="H19"/>
      <c r="I19" s="348">
        <v>116</v>
      </c>
    </row>
    <row r="20" spans="1:9" ht="12.75">
      <c r="A20" s="16">
        <v>12</v>
      </c>
      <c r="B20" s="17" t="s">
        <v>124</v>
      </c>
      <c r="C20" s="349">
        <v>113.8</v>
      </c>
      <c r="D20" s="349">
        <f>SUM('- 6 -'!C20:I20,C20)</f>
        <v>7602</v>
      </c>
      <c r="E20" s="349">
        <v>32</v>
      </c>
      <c r="F20" s="313"/>
      <c r="G20" s="349">
        <f t="shared" si="0"/>
        <v>7634</v>
      </c>
      <c r="H20"/>
      <c r="I20" s="349">
        <v>0</v>
      </c>
    </row>
    <row r="21" spans="1:9" ht="12.75">
      <c r="A21" s="14">
        <v>13</v>
      </c>
      <c r="B21" s="15" t="s">
        <v>125</v>
      </c>
      <c r="C21" s="348">
        <v>0</v>
      </c>
      <c r="D21" s="348">
        <f>SUM('- 6 -'!C21:I21,C21)</f>
        <v>2601</v>
      </c>
      <c r="E21" s="348">
        <v>19</v>
      </c>
      <c r="F21" s="313"/>
      <c r="G21" s="348">
        <f t="shared" si="0"/>
        <v>2620</v>
      </c>
      <c r="H21"/>
      <c r="I21" s="348">
        <v>155</v>
      </c>
    </row>
    <row r="22" spans="1:9" ht="12.75">
      <c r="A22" s="16">
        <v>14</v>
      </c>
      <c r="B22" s="17" t="s">
        <v>126</v>
      </c>
      <c r="C22" s="349">
        <v>0</v>
      </c>
      <c r="D22" s="349">
        <f>SUM('- 6 -'!C22:I22,C22)</f>
        <v>3424</v>
      </c>
      <c r="E22" s="349">
        <v>0</v>
      </c>
      <c r="F22" s="313"/>
      <c r="G22" s="349">
        <f t="shared" si="0"/>
        <v>3424</v>
      </c>
      <c r="H22"/>
      <c r="I22" s="349">
        <v>0</v>
      </c>
    </row>
    <row r="23" spans="1:9" ht="12.75">
      <c r="A23" s="14">
        <v>15</v>
      </c>
      <c r="B23" s="15" t="s">
        <v>127</v>
      </c>
      <c r="C23" s="348">
        <v>225</v>
      </c>
      <c r="D23" s="348">
        <f>SUM('- 6 -'!C23:I23,C23)</f>
        <v>6072</v>
      </c>
      <c r="E23" s="348">
        <v>0</v>
      </c>
      <c r="F23" s="313"/>
      <c r="G23" s="348">
        <f t="shared" si="0"/>
        <v>6072</v>
      </c>
      <c r="H23"/>
      <c r="I23" s="348">
        <v>0</v>
      </c>
    </row>
    <row r="24" spans="1:9" ht="12.75">
      <c r="A24" s="16">
        <v>16</v>
      </c>
      <c r="B24" s="17" t="s">
        <v>128</v>
      </c>
      <c r="C24" s="349">
        <v>38</v>
      </c>
      <c r="D24" s="349">
        <f>SUM('- 6 -'!C24:I24,C24)</f>
        <v>832</v>
      </c>
      <c r="E24" s="349">
        <v>0</v>
      </c>
      <c r="F24" s="313"/>
      <c r="G24" s="349">
        <f t="shared" si="0"/>
        <v>832</v>
      </c>
      <c r="H24"/>
      <c r="I24" s="349">
        <v>0</v>
      </c>
    </row>
    <row r="25" spans="1:9" ht="12.75">
      <c r="A25" s="14">
        <v>17</v>
      </c>
      <c r="B25" s="15" t="s">
        <v>129</v>
      </c>
      <c r="C25" s="348">
        <v>15</v>
      </c>
      <c r="D25" s="348">
        <f>SUM('- 6 -'!C25:I25,C25)</f>
        <v>483.9</v>
      </c>
      <c r="E25" s="348">
        <v>6</v>
      </c>
      <c r="F25" s="313"/>
      <c r="G25" s="348">
        <f t="shared" si="0"/>
        <v>489.9</v>
      </c>
      <c r="H25"/>
      <c r="I25" s="348">
        <v>0</v>
      </c>
    </row>
    <row r="26" spans="1:9" ht="12.75">
      <c r="A26" s="16">
        <v>18</v>
      </c>
      <c r="B26" s="17" t="s">
        <v>130</v>
      </c>
      <c r="C26" s="349">
        <v>85</v>
      </c>
      <c r="D26" s="349">
        <f>SUM('- 6 -'!C26:I26,C26)</f>
        <v>1400</v>
      </c>
      <c r="E26" s="349">
        <v>0</v>
      </c>
      <c r="F26" s="313"/>
      <c r="G26" s="349">
        <f t="shared" si="0"/>
        <v>1400</v>
      </c>
      <c r="H26"/>
      <c r="I26" s="349">
        <v>125</v>
      </c>
    </row>
    <row r="27" spans="1:9" ht="12.75">
      <c r="A27" s="14">
        <v>19</v>
      </c>
      <c r="B27" s="15" t="s">
        <v>131</v>
      </c>
      <c r="C27" s="348">
        <v>16</v>
      </c>
      <c r="D27" s="348">
        <f>SUM('- 6 -'!C27:I27,C27)</f>
        <v>1813.5</v>
      </c>
      <c r="E27" s="348">
        <v>0</v>
      </c>
      <c r="F27" s="313"/>
      <c r="G27" s="348">
        <f t="shared" si="0"/>
        <v>1813.5</v>
      </c>
      <c r="H27"/>
      <c r="I27" s="348">
        <v>0</v>
      </c>
    </row>
    <row r="28" spans="1:9" ht="12.75">
      <c r="A28" s="16">
        <v>20</v>
      </c>
      <c r="B28" s="17" t="s">
        <v>132</v>
      </c>
      <c r="C28" s="349">
        <v>0</v>
      </c>
      <c r="D28" s="349">
        <f>SUM('- 6 -'!C28:I28,C28)</f>
        <v>934.9000000000001</v>
      </c>
      <c r="E28" s="349">
        <v>18</v>
      </c>
      <c r="F28" s="313"/>
      <c r="G28" s="349">
        <f t="shared" si="0"/>
        <v>952.9000000000001</v>
      </c>
      <c r="H28"/>
      <c r="I28" s="349">
        <v>0</v>
      </c>
    </row>
    <row r="29" spans="1:9" ht="12.75">
      <c r="A29" s="14">
        <v>21</v>
      </c>
      <c r="B29" s="15" t="s">
        <v>133</v>
      </c>
      <c r="C29" s="348">
        <v>0</v>
      </c>
      <c r="D29" s="348">
        <f>SUM('- 6 -'!C29:I29,C29)</f>
        <v>3331</v>
      </c>
      <c r="E29" s="348">
        <v>20</v>
      </c>
      <c r="F29" s="313"/>
      <c r="G29" s="348">
        <f t="shared" si="0"/>
        <v>3351</v>
      </c>
      <c r="H29"/>
      <c r="I29" s="348">
        <v>85</v>
      </c>
    </row>
    <row r="30" spans="1:9" ht="12.75">
      <c r="A30" s="16">
        <v>22</v>
      </c>
      <c r="B30" s="17" t="s">
        <v>134</v>
      </c>
      <c r="C30" s="349">
        <v>20</v>
      </c>
      <c r="D30" s="349">
        <f>SUM('- 6 -'!C30:I30,C30)</f>
        <v>1649.5</v>
      </c>
      <c r="E30" s="349">
        <v>0</v>
      </c>
      <c r="F30" s="313"/>
      <c r="G30" s="349">
        <f t="shared" si="0"/>
        <v>1649.5</v>
      </c>
      <c r="H30"/>
      <c r="I30" s="349">
        <v>0</v>
      </c>
    </row>
    <row r="31" spans="1:9" ht="12.75">
      <c r="A31" s="14">
        <v>23</v>
      </c>
      <c r="B31" s="15" t="s">
        <v>135</v>
      </c>
      <c r="C31" s="348">
        <v>44.5</v>
      </c>
      <c r="D31" s="348">
        <f>SUM('- 6 -'!C31:I31,C31)</f>
        <v>1414</v>
      </c>
      <c r="E31" s="348">
        <v>0</v>
      </c>
      <c r="F31" s="313"/>
      <c r="G31" s="348">
        <f t="shared" si="0"/>
        <v>1414</v>
      </c>
      <c r="H31"/>
      <c r="I31" s="348">
        <v>0</v>
      </c>
    </row>
    <row r="32" spans="1:9" ht="12.75">
      <c r="A32" s="16">
        <v>24</v>
      </c>
      <c r="B32" s="17" t="s">
        <v>136</v>
      </c>
      <c r="C32" s="349">
        <v>48.4</v>
      </c>
      <c r="D32" s="349">
        <f>SUM('- 6 -'!C32:I32,C32)</f>
        <v>3388.3</v>
      </c>
      <c r="E32" s="349">
        <v>109</v>
      </c>
      <c r="F32" s="313"/>
      <c r="G32" s="349">
        <f t="shared" si="0"/>
        <v>3497.3</v>
      </c>
      <c r="H32"/>
      <c r="I32" s="349">
        <v>71.9</v>
      </c>
    </row>
    <row r="33" spans="1:9" ht="12.75">
      <c r="A33" s="14">
        <v>25</v>
      </c>
      <c r="B33" s="15" t="s">
        <v>137</v>
      </c>
      <c r="C33" s="348">
        <v>0</v>
      </c>
      <c r="D33" s="348">
        <f>SUM('- 6 -'!C33:I33,C33)</f>
        <v>1398</v>
      </c>
      <c r="E33" s="348">
        <v>0</v>
      </c>
      <c r="F33" s="313"/>
      <c r="G33" s="348">
        <f t="shared" si="0"/>
        <v>1398</v>
      </c>
      <c r="H33"/>
      <c r="I33" s="348">
        <v>100</v>
      </c>
    </row>
    <row r="34" spans="1:9" ht="12.75">
      <c r="A34" s="16">
        <v>26</v>
      </c>
      <c r="B34" s="17" t="s">
        <v>138</v>
      </c>
      <c r="C34" s="349">
        <v>63</v>
      </c>
      <c r="D34" s="349">
        <f>SUM('- 6 -'!C34:I34,C34)</f>
        <v>2904</v>
      </c>
      <c r="E34" s="349">
        <v>56</v>
      </c>
      <c r="F34" s="313"/>
      <c r="G34" s="349">
        <f t="shared" si="0"/>
        <v>2960</v>
      </c>
      <c r="H34"/>
      <c r="I34" s="349">
        <v>0</v>
      </c>
    </row>
    <row r="35" spans="1:9" ht="12.75">
      <c r="A35" s="14">
        <v>28</v>
      </c>
      <c r="B35" s="15" t="s">
        <v>139</v>
      </c>
      <c r="C35" s="348">
        <v>0</v>
      </c>
      <c r="D35" s="348">
        <f>SUM('- 6 -'!C35:I35,C35)</f>
        <v>819.5</v>
      </c>
      <c r="E35" s="348">
        <v>0</v>
      </c>
      <c r="F35" s="313"/>
      <c r="G35" s="348">
        <f t="shared" si="0"/>
        <v>819.5</v>
      </c>
      <c r="H35"/>
      <c r="I35" s="348">
        <v>0</v>
      </c>
    </row>
    <row r="36" spans="1:9" ht="12.75">
      <c r="A36" s="16">
        <v>30</v>
      </c>
      <c r="B36" s="17" t="s">
        <v>140</v>
      </c>
      <c r="C36" s="349">
        <v>0</v>
      </c>
      <c r="D36" s="349">
        <f>SUM('- 6 -'!C36:I36,C36)</f>
        <v>1301.6</v>
      </c>
      <c r="E36" s="349">
        <v>0</v>
      </c>
      <c r="F36" s="313"/>
      <c r="G36" s="349">
        <f t="shared" si="0"/>
        <v>1301.6</v>
      </c>
      <c r="H36"/>
      <c r="I36" s="349">
        <v>0</v>
      </c>
    </row>
    <row r="37" spans="1:9" ht="12.75">
      <c r="A37" s="14">
        <v>31</v>
      </c>
      <c r="B37" s="15" t="s">
        <v>141</v>
      </c>
      <c r="C37" s="348">
        <v>0</v>
      </c>
      <c r="D37" s="348">
        <f>SUM('- 6 -'!C37:I37,C37)</f>
        <v>1578</v>
      </c>
      <c r="E37" s="348">
        <v>42</v>
      </c>
      <c r="F37" s="313"/>
      <c r="G37" s="348">
        <f t="shared" si="0"/>
        <v>1620</v>
      </c>
      <c r="H37"/>
      <c r="I37" s="348">
        <v>0</v>
      </c>
    </row>
    <row r="38" spans="1:9" ht="12.75">
      <c r="A38" s="16">
        <v>32</v>
      </c>
      <c r="B38" s="17" t="s">
        <v>142</v>
      </c>
      <c r="C38" s="349">
        <v>0</v>
      </c>
      <c r="D38" s="349">
        <f>SUM('- 6 -'!C38:I38,C38)</f>
        <v>839.5</v>
      </c>
      <c r="E38" s="349">
        <v>0</v>
      </c>
      <c r="F38" s="313"/>
      <c r="G38" s="349">
        <f t="shared" si="0"/>
        <v>839.5</v>
      </c>
      <c r="H38"/>
      <c r="I38" s="349">
        <v>0</v>
      </c>
    </row>
    <row r="39" spans="1:9" ht="12.75">
      <c r="A39" s="14">
        <v>33</v>
      </c>
      <c r="B39" s="15" t="s">
        <v>143</v>
      </c>
      <c r="C39" s="348">
        <v>153.6</v>
      </c>
      <c r="D39" s="348">
        <f>SUM('- 6 -'!C39:I39,C39)</f>
        <v>1854.1</v>
      </c>
      <c r="E39" s="348">
        <v>16</v>
      </c>
      <c r="F39" s="313"/>
      <c r="G39" s="348">
        <f t="shared" si="0"/>
        <v>1870.1</v>
      </c>
      <c r="H39"/>
      <c r="I39" s="348">
        <v>0</v>
      </c>
    </row>
    <row r="40" spans="1:9" ht="12.75">
      <c r="A40" s="16">
        <v>34</v>
      </c>
      <c r="B40" s="17" t="s">
        <v>144</v>
      </c>
      <c r="C40" s="349">
        <v>0</v>
      </c>
      <c r="D40" s="349">
        <f>SUM('- 6 -'!C40:I40,C40)</f>
        <v>730.5</v>
      </c>
      <c r="E40" s="349">
        <v>0</v>
      </c>
      <c r="F40" s="313"/>
      <c r="G40" s="349">
        <f t="shared" si="0"/>
        <v>730.5</v>
      </c>
      <c r="H40"/>
      <c r="I40" s="349">
        <v>0</v>
      </c>
    </row>
    <row r="41" spans="1:9" ht="12.75">
      <c r="A41" s="14">
        <v>35</v>
      </c>
      <c r="B41" s="15" t="s">
        <v>145</v>
      </c>
      <c r="C41" s="348">
        <v>133.3</v>
      </c>
      <c r="D41" s="348">
        <f>SUM('- 6 -'!C41:I41,C41)</f>
        <v>1914.8</v>
      </c>
      <c r="E41" s="348">
        <v>0</v>
      </c>
      <c r="F41" s="313"/>
      <c r="G41" s="348">
        <f t="shared" si="0"/>
        <v>1914.8</v>
      </c>
      <c r="H41"/>
      <c r="I41" s="348">
        <v>0</v>
      </c>
    </row>
    <row r="42" spans="1:9" ht="12.75">
      <c r="A42" s="16">
        <v>36</v>
      </c>
      <c r="B42" s="17" t="s">
        <v>146</v>
      </c>
      <c r="C42" s="349">
        <v>0</v>
      </c>
      <c r="D42" s="349">
        <f>SUM('- 6 -'!C42:I42,C42)</f>
        <v>935</v>
      </c>
      <c r="E42" s="349">
        <v>0</v>
      </c>
      <c r="F42" s="313"/>
      <c r="G42" s="349">
        <f t="shared" si="0"/>
        <v>935</v>
      </c>
      <c r="H42"/>
      <c r="I42" s="349">
        <v>0</v>
      </c>
    </row>
    <row r="43" spans="1:9" ht="12.75">
      <c r="A43" s="14">
        <v>37</v>
      </c>
      <c r="B43" s="15" t="s">
        <v>147</v>
      </c>
      <c r="C43" s="348">
        <v>37.13</v>
      </c>
      <c r="D43" s="348">
        <f>SUM('- 6 -'!C43:I43,C43)</f>
        <v>922.03</v>
      </c>
      <c r="E43" s="348">
        <v>0</v>
      </c>
      <c r="F43" s="313"/>
      <c r="G43" s="348">
        <f t="shared" si="0"/>
        <v>922.03</v>
      </c>
      <c r="H43"/>
      <c r="I43" s="348">
        <v>0</v>
      </c>
    </row>
    <row r="44" spans="1:9" ht="12.75">
      <c r="A44" s="16">
        <v>38</v>
      </c>
      <c r="B44" s="17" t="s">
        <v>148</v>
      </c>
      <c r="C44" s="349">
        <v>0</v>
      </c>
      <c r="D44" s="349">
        <f>SUM('- 6 -'!C44:I44,C44)</f>
        <v>1168</v>
      </c>
      <c r="E44" s="349">
        <v>0</v>
      </c>
      <c r="F44" s="313"/>
      <c r="G44" s="349">
        <f t="shared" si="0"/>
        <v>1168</v>
      </c>
      <c r="H44"/>
      <c r="I44" s="349">
        <v>0</v>
      </c>
    </row>
    <row r="45" spans="1:9" ht="12.75">
      <c r="A45" s="14">
        <v>39</v>
      </c>
      <c r="B45" s="15" t="s">
        <v>149</v>
      </c>
      <c r="C45" s="348">
        <v>20.5</v>
      </c>
      <c r="D45" s="348">
        <f>SUM('- 6 -'!C45:I45,C45)</f>
        <v>2100</v>
      </c>
      <c r="E45" s="348">
        <v>0</v>
      </c>
      <c r="F45" s="313"/>
      <c r="G45" s="348">
        <f t="shared" si="0"/>
        <v>2100</v>
      </c>
      <c r="H45"/>
      <c r="I45" s="348">
        <v>0</v>
      </c>
    </row>
    <row r="46" spans="1:9" ht="12.75">
      <c r="A46" s="16">
        <v>40</v>
      </c>
      <c r="B46" s="17" t="s">
        <v>150</v>
      </c>
      <c r="C46" s="349">
        <v>382.5</v>
      </c>
      <c r="D46" s="349">
        <f>SUM('- 6 -'!C46:I46,C46)</f>
        <v>7193.5</v>
      </c>
      <c r="E46" s="349">
        <v>208</v>
      </c>
      <c r="F46" s="313"/>
      <c r="G46" s="349">
        <f t="shared" si="0"/>
        <v>7401.5</v>
      </c>
      <c r="H46"/>
      <c r="I46" s="349">
        <v>0</v>
      </c>
    </row>
    <row r="47" spans="1:9" ht="12.75">
      <c r="A47" s="14">
        <v>41</v>
      </c>
      <c r="B47" s="15" t="s">
        <v>151</v>
      </c>
      <c r="C47" s="348">
        <v>31.5</v>
      </c>
      <c r="D47" s="348">
        <f>SUM('- 6 -'!C47:I47,C47)</f>
        <v>1578.5</v>
      </c>
      <c r="E47" s="348">
        <v>0</v>
      </c>
      <c r="F47" s="313"/>
      <c r="G47" s="348">
        <f t="shared" si="0"/>
        <v>1578.5</v>
      </c>
      <c r="H47"/>
      <c r="I47" s="348">
        <v>6</v>
      </c>
    </row>
    <row r="48" spans="1:9" ht="12.75">
      <c r="A48" s="16">
        <v>42</v>
      </c>
      <c r="B48" s="17" t="s">
        <v>152</v>
      </c>
      <c r="C48" s="349">
        <v>0</v>
      </c>
      <c r="D48" s="349">
        <f>SUM('- 6 -'!C48:I48,C48)</f>
        <v>1040.5</v>
      </c>
      <c r="E48" s="349">
        <v>0</v>
      </c>
      <c r="F48" s="313"/>
      <c r="G48" s="349">
        <f t="shared" si="0"/>
        <v>1040.5</v>
      </c>
      <c r="H48"/>
      <c r="I48" s="349">
        <v>0</v>
      </c>
    </row>
    <row r="49" spans="1:9" ht="12.75">
      <c r="A49" s="14">
        <v>43</v>
      </c>
      <c r="B49" s="15" t="s">
        <v>153</v>
      </c>
      <c r="C49" s="348">
        <v>0</v>
      </c>
      <c r="D49" s="348">
        <f>SUM('- 6 -'!C49:I49,C49)</f>
        <v>776.5</v>
      </c>
      <c r="E49" s="348">
        <v>0</v>
      </c>
      <c r="F49" s="313"/>
      <c r="G49" s="348">
        <f t="shared" si="0"/>
        <v>776.5</v>
      </c>
      <c r="H49"/>
      <c r="I49" s="348">
        <v>10</v>
      </c>
    </row>
    <row r="50" spans="1:9" ht="12.75">
      <c r="A50" s="16">
        <v>44</v>
      </c>
      <c r="B50" s="17" t="s">
        <v>154</v>
      </c>
      <c r="C50" s="349">
        <v>0</v>
      </c>
      <c r="D50" s="349">
        <f>SUM('- 6 -'!C50:I50,C50)</f>
        <v>1215.5</v>
      </c>
      <c r="E50" s="349">
        <v>0</v>
      </c>
      <c r="F50" s="313"/>
      <c r="G50" s="349">
        <f t="shared" si="0"/>
        <v>1215.5</v>
      </c>
      <c r="H50"/>
      <c r="I50" s="349">
        <v>75</v>
      </c>
    </row>
    <row r="51" spans="1:9" ht="12.75">
      <c r="A51" s="14">
        <v>45</v>
      </c>
      <c r="B51" s="15" t="s">
        <v>155</v>
      </c>
      <c r="C51" s="348">
        <v>0</v>
      </c>
      <c r="D51" s="348">
        <f>SUM('- 6 -'!C51:I51,C51)</f>
        <v>1849</v>
      </c>
      <c r="E51" s="348">
        <v>40</v>
      </c>
      <c r="F51" s="313"/>
      <c r="G51" s="348">
        <f t="shared" si="0"/>
        <v>1889</v>
      </c>
      <c r="H51"/>
      <c r="I51" s="348">
        <v>0</v>
      </c>
    </row>
    <row r="52" spans="1:9" ht="12.75">
      <c r="A52" s="16">
        <v>46</v>
      </c>
      <c r="B52" s="17" t="s">
        <v>156</v>
      </c>
      <c r="C52" s="349">
        <v>0</v>
      </c>
      <c r="D52" s="349">
        <f>SUM('- 6 -'!C52:I52,C52)</f>
        <v>1486</v>
      </c>
      <c r="E52" s="349">
        <v>15</v>
      </c>
      <c r="F52" s="313"/>
      <c r="G52" s="349">
        <f t="shared" si="0"/>
        <v>1501</v>
      </c>
      <c r="H52"/>
      <c r="I52" s="349">
        <v>0</v>
      </c>
    </row>
    <row r="53" spans="1:9" ht="12.75">
      <c r="A53" s="14">
        <v>47</v>
      </c>
      <c r="B53" s="15" t="s">
        <v>157</v>
      </c>
      <c r="C53" s="348">
        <v>0</v>
      </c>
      <c r="D53" s="348">
        <f>SUM('- 6 -'!C53:I53,C53)</f>
        <v>1412</v>
      </c>
      <c r="E53" s="348">
        <v>7</v>
      </c>
      <c r="F53" s="313"/>
      <c r="G53" s="348">
        <f t="shared" si="0"/>
        <v>1419</v>
      </c>
      <c r="H53"/>
      <c r="I53" s="348">
        <v>85</v>
      </c>
    </row>
    <row r="54" spans="1:9" ht="12.75">
      <c r="A54" s="16">
        <v>48</v>
      </c>
      <c r="B54" s="17" t="s">
        <v>158</v>
      </c>
      <c r="C54" s="349">
        <v>41</v>
      </c>
      <c r="D54" s="349">
        <f>SUM('- 6 -'!C54:I54,C54)</f>
        <v>5180</v>
      </c>
      <c r="E54" s="349">
        <v>10</v>
      </c>
      <c r="F54" s="313"/>
      <c r="G54" s="349">
        <f t="shared" si="0"/>
        <v>5190</v>
      </c>
      <c r="H54"/>
      <c r="I54" s="349">
        <v>0</v>
      </c>
    </row>
    <row r="55" spans="1:9" ht="12.75">
      <c r="A55" s="14">
        <v>49</v>
      </c>
      <c r="B55" s="15" t="s">
        <v>159</v>
      </c>
      <c r="C55" s="348">
        <v>25</v>
      </c>
      <c r="D55" s="348">
        <f>SUM('- 6 -'!C55:I55,C55)</f>
        <v>4274</v>
      </c>
      <c r="E55" s="348">
        <v>56</v>
      </c>
      <c r="F55" s="313"/>
      <c r="G55" s="348">
        <f t="shared" si="0"/>
        <v>4330</v>
      </c>
      <c r="H55"/>
      <c r="I55" s="348">
        <v>0</v>
      </c>
    </row>
    <row r="56" spans="1:9" ht="12.75">
      <c r="A56" s="16">
        <v>50</v>
      </c>
      <c r="B56" s="17" t="s">
        <v>340</v>
      </c>
      <c r="C56" s="349">
        <v>0</v>
      </c>
      <c r="D56" s="349">
        <f>SUM('- 6 -'!C56:I56,C56)</f>
        <v>1721.5</v>
      </c>
      <c r="E56" s="349">
        <v>0</v>
      </c>
      <c r="F56" s="313"/>
      <c r="G56" s="349">
        <f t="shared" si="0"/>
        <v>1721.5</v>
      </c>
      <c r="H56"/>
      <c r="I56" s="349">
        <v>0</v>
      </c>
    </row>
    <row r="57" spans="1:9" ht="12.75">
      <c r="A57" s="14">
        <v>2264</v>
      </c>
      <c r="B57" s="15" t="s">
        <v>160</v>
      </c>
      <c r="C57" s="348">
        <v>0</v>
      </c>
      <c r="D57" s="348">
        <f>SUM('- 6 -'!C57:I57,C57)</f>
        <v>206</v>
      </c>
      <c r="E57" s="348">
        <v>0</v>
      </c>
      <c r="F57" s="313"/>
      <c r="G57" s="348">
        <f t="shared" si="0"/>
        <v>206</v>
      </c>
      <c r="H57"/>
      <c r="I57" s="348">
        <v>0</v>
      </c>
    </row>
    <row r="58" spans="1:9" ht="12.75">
      <c r="A58" s="16">
        <v>2309</v>
      </c>
      <c r="B58" s="17" t="s">
        <v>161</v>
      </c>
      <c r="C58" s="349">
        <v>0</v>
      </c>
      <c r="D58" s="349">
        <f>SUM('- 6 -'!C58:I58,C58)</f>
        <v>261.7</v>
      </c>
      <c r="E58" s="349">
        <v>0</v>
      </c>
      <c r="F58" s="313"/>
      <c r="G58" s="349">
        <f t="shared" si="0"/>
        <v>261.7</v>
      </c>
      <c r="H58"/>
      <c r="I58" s="349">
        <v>0</v>
      </c>
    </row>
    <row r="59" spans="1:9" ht="12.75">
      <c r="A59" s="14">
        <v>2312</v>
      </c>
      <c r="B59" s="15" t="s">
        <v>162</v>
      </c>
      <c r="C59" s="348">
        <v>0</v>
      </c>
      <c r="D59" s="348">
        <f>SUM('- 6 -'!C59:I59,C59)</f>
        <v>173.5</v>
      </c>
      <c r="E59" s="348">
        <v>0</v>
      </c>
      <c r="F59" s="313"/>
      <c r="G59" s="348">
        <f t="shared" si="0"/>
        <v>173.5</v>
      </c>
      <c r="H59"/>
      <c r="I59" s="348">
        <v>0</v>
      </c>
    </row>
    <row r="60" spans="1:9" ht="12.75">
      <c r="A60" s="16">
        <v>2355</v>
      </c>
      <c r="B60" s="17" t="s">
        <v>163</v>
      </c>
      <c r="C60" s="349">
        <v>179.34</v>
      </c>
      <c r="D60" s="349">
        <f>SUM('- 6 -'!C60:I60,C60)</f>
        <v>3271.44</v>
      </c>
      <c r="E60" s="349">
        <v>78.06</v>
      </c>
      <c r="F60" s="313"/>
      <c r="G60" s="349">
        <f t="shared" si="0"/>
        <v>3349.5</v>
      </c>
      <c r="H60"/>
      <c r="I60" s="349">
        <v>0</v>
      </c>
    </row>
    <row r="61" spans="1:9" ht="12.75">
      <c r="A61" s="14">
        <v>2439</v>
      </c>
      <c r="B61" s="15" t="s">
        <v>164</v>
      </c>
      <c r="C61" s="348">
        <v>0</v>
      </c>
      <c r="D61" s="348">
        <f>SUM('- 6 -'!C61:I61,C61)</f>
        <v>158.5</v>
      </c>
      <c r="E61" s="348">
        <v>0</v>
      </c>
      <c r="F61" s="313"/>
      <c r="G61" s="348">
        <f t="shared" si="0"/>
        <v>158.5</v>
      </c>
      <c r="H61"/>
      <c r="I61" s="348">
        <v>0</v>
      </c>
    </row>
    <row r="62" spans="1:9" ht="12.75">
      <c r="A62" s="16">
        <v>2460</v>
      </c>
      <c r="B62" s="17" t="s">
        <v>165</v>
      </c>
      <c r="C62" s="349">
        <v>0</v>
      </c>
      <c r="D62" s="349">
        <f>SUM('- 6 -'!C62:I62,C62)</f>
        <v>272.2</v>
      </c>
      <c r="E62" s="349">
        <v>0</v>
      </c>
      <c r="F62" s="313"/>
      <c r="G62" s="349">
        <f t="shared" si="0"/>
        <v>272.2</v>
      </c>
      <c r="H62"/>
      <c r="I62" s="349">
        <v>0</v>
      </c>
    </row>
    <row r="63" spans="1:9" ht="12.75">
      <c r="A63" s="14">
        <v>3000</v>
      </c>
      <c r="B63" s="15" t="s">
        <v>363</v>
      </c>
      <c r="C63" s="348">
        <v>730.2</v>
      </c>
      <c r="D63" s="348">
        <f>SUM('- 6 -'!C63:I63,C63)</f>
        <v>800.2</v>
      </c>
      <c r="E63" s="348">
        <v>0</v>
      </c>
      <c r="F63" s="313"/>
      <c r="G63" s="348">
        <f t="shared" si="0"/>
        <v>800.2</v>
      </c>
      <c r="H63"/>
      <c r="I63" s="348">
        <v>50.7</v>
      </c>
    </row>
    <row r="64" spans="1:9" ht="4.5" customHeight="1">
      <c r="A64" s="18"/>
      <c r="B64" s="18"/>
      <c r="C64" s="350"/>
      <c r="D64" s="350"/>
      <c r="E64" s="350"/>
      <c r="F64" s="314"/>
      <c r="G64" s="350"/>
      <c r="H64"/>
      <c r="I64" s="350"/>
    </row>
    <row r="65" spans="1:9" ht="12.75">
      <c r="A65" s="20"/>
      <c r="B65" s="21" t="s">
        <v>166</v>
      </c>
      <c r="C65" s="351">
        <f>SUM(C11:C63)</f>
        <v>4502.250000000001</v>
      </c>
      <c r="D65" s="351">
        <f>SUM(D11:D63)</f>
        <v>178555.59000000003</v>
      </c>
      <c r="E65" s="351">
        <f>SUM(E11:E63)</f>
        <v>2338.94</v>
      </c>
      <c r="F65" s="315"/>
      <c r="G65" s="351">
        <f>SUM(G11:G63)</f>
        <v>180894.53000000003</v>
      </c>
      <c r="H65"/>
      <c r="I65" s="351">
        <f>SUM(I11:I63)</f>
        <v>879.6</v>
      </c>
    </row>
    <row r="66" spans="1:9" ht="4.5" customHeight="1">
      <c r="A66" s="18"/>
      <c r="B66" s="18"/>
      <c r="C66" s="350"/>
      <c r="D66" s="350"/>
      <c r="E66" s="350"/>
      <c r="F66" s="149"/>
      <c r="G66" s="350"/>
      <c r="H66"/>
      <c r="I66" s="350"/>
    </row>
    <row r="67" spans="1:9" ht="12.75">
      <c r="A67" s="16">
        <v>2155</v>
      </c>
      <c r="B67" s="17" t="s">
        <v>167</v>
      </c>
      <c r="C67" s="349">
        <v>0</v>
      </c>
      <c r="D67" s="349">
        <f>SUM('- 6 -'!C67:I67,C67)</f>
        <v>142</v>
      </c>
      <c r="E67" s="349">
        <v>0</v>
      </c>
      <c r="F67" s="313"/>
      <c r="G67" s="349">
        <f>D67+E67</f>
        <v>142</v>
      </c>
      <c r="H67"/>
      <c r="I67" s="349">
        <v>0</v>
      </c>
    </row>
    <row r="68" spans="1:9" ht="12.75">
      <c r="A68" s="14">
        <v>2408</v>
      </c>
      <c r="B68" s="15" t="s">
        <v>169</v>
      </c>
      <c r="C68" s="348">
        <v>0</v>
      </c>
      <c r="D68" s="348">
        <f>SUM('- 6 -'!C68:I68,C68)</f>
        <v>244</v>
      </c>
      <c r="E68" s="348">
        <v>0</v>
      </c>
      <c r="F68" s="313"/>
      <c r="G68" s="348">
        <f>D68+E68</f>
        <v>244</v>
      </c>
      <c r="H68"/>
      <c r="I68" s="348">
        <v>0</v>
      </c>
    </row>
    <row r="69" spans="6:8" ht="6.75" customHeight="1">
      <c r="F69" s="149"/>
      <c r="H69"/>
    </row>
    <row r="70" spans="1:8" ht="12" customHeight="1">
      <c r="A70" s="396" t="s">
        <v>351</v>
      </c>
      <c r="B70" s="359" t="s">
        <v>512</v>
      </c>
      <c r="C70" s="7"/>
      <c r="D70" s="7"/>
      <c r="F70" s="316"/>
      <c r="G70" s="18"/>
      <c r="H70"/>
    </row>
    <row r="71" spans="1:8" ht="12" customHeight="1">
      <c r="A71" s="396"/>
      <c r="B71" s="7"/>
      <c r="C71" s="7"/>
      <c r="D71" s="7"/>
      <c r="F71" s="316"/>
      <c r="G71" s="18"/>
      <c r="H71"/>
    </row>
    <row r="72" spans="1:8" ht="12" customHeight="1">
      <c r="A72" s="7"/>
      <c r="B72" s="7"/>
      <c r="C72" s="7"/>
      <c r="D72" s="7"/>
      <c r="F72" s="316"/>
      <c r="G72" s="18"/>
      <c r="H72"/>
    </row>
    <row r="73" spans="1:8" ht="12" customHeight="1">
      <c r="A73" s="7"/>
      <c r="B73" s="7"/>
      <c r="C73" s="7"/>
      <c r="D73" s="7"/>
      <c r="F73" s="316"/>
      <c r="G73" s="18"/>
      <c r="H73"/>
    </row>
    <row r="74" spans="1:8" ht="12" customHeight="1">
      <c r="A74" s="7"/>
      <c r="B74" s="7"/>
      <c r="C74" s="7"/>
      <c r="D74" s="7"/>
      <c r="F74" s="316"/>
      <c r="G74" s="18"/>
      <c r="H74"/>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48">
    <pageSetUpPr fitToPage="1"/>
  </sheetPr>
  <dimension ref="A1:F80"/>
  <sheetViews>
    <sheetView showGridLines="0" showZeros="0" workbookViewId="0" topLeftCell="A1">
      <selection activeCell="A1" sqref="A1"/>
    </sheetView>
  </sheetViews>
  <sheetFormatPr defaultColWidth="23.83203125" defaultRowHeight="12"/>
  <cols>
    <col min="1" max="1" width="6.83203125" style="82" customWidth="1"/>
    <col min="2" max="2" width="32.83203125" style="82" customWidth="1"/>
    <col min="3" max="4" width="23.83203125" style="82" customWidth="1"/>
    <col min="5" max="5" width="26.83203125" style="82" customWidth="1"/>
    <col min="6" max="6" width="24.83203125" style="82" customWidth="1"/>
    <col min="7" max="16384" width="23.83203125" style="82" customWidth="1"/>
  </cols>
  <sheetData>
    <row r="1" spans="1:6" ht="6.75" customHeight="1">
      <c r="A1" s="18"/>
      <c r="B1" s="80"/>
      <c r="C1" s="80"/>
      <c r="D1" s="80"/>
      <c r="E1" s="80"/>
      <c r="F1" s="80"/>
    </row>
    <row r="2" spans="1:6" ht="12.75">
      <c r="A2" s="12"/>
      <c r="B2" s="106"/>
      <c r="C2" s="107" t="str">
        <f>REVYEAR</f>
        <v>ANALYSIS OF OPERATING FUND REVENUE: 2002/2003 BUDGET</v>
      </c>
      <c r="D2" s="107"/>
      <c r="E2" s="107"/>
      <c r="F2" s="108" t="s">
        <v>377</v>
      </c>
    </row>
    <row r="3" spans="1:6" ht="12.75">
      <c r="A3" s="13"/>
      <c r="B3" s="109"/>
      <c r="C3" s="110"/>
      <c r="D3" s="110"/>
      <c r="E3" s="110"/>
      <c r="F3" s="80"/>
    </row>
    <row r="4" ht="12.75">
      <c r="A4" s="11"/>
    </row>
    <row r="5" spans="1:6" ht="12.75">
      <c r="A5" s="11"/>
      <c r="C5" s="111" t="s">
        <v>484</v>
      </c>
      <c r="D5" s="112"/>
      <c r="E5" s="113"/>
      <c r="F5"/>
    </row>
    <row r="6" spans="1:6" ht="12.75">
      <c r="A6" s="11"/>
      <c r="C6" s="114" t="s">
        <v>485</v>
      </c>
      <c r="D6" s="115"/>
      <c r="E6" s="116"/>
      <c r="F6"/>
    </row>
    <row r="7" spans="1:6" ht="12.75">
      <c r="A7" s="18"/>
      <c r="C7" s="117"/>
      <c r="D7" s="117" t="s">
        <v>57</v>
      </c>
      <c r="E7" s="118" t="s">
        <v>487</v>
      </c>
      <c r="F7"/>
    </row>
    <row r="8" spans="1:6" ht="12.75">
      <c r="A8" s="94"/>
      <c r="B8" s="46"/>
      <c r="C8" s="120" t="s">
        <v>509</v>
      </c>
      <c r="D8" s="120" t="s">
        <v>204</v>
      </c>
      <c r="E8" s="121" t="s">
        <v>488</v>
      </c>
      <c r="F8"/>
    </row>
    <row r="9" spans="1:6" ht="16.5">
      <c r="A9" s="52" t="s">
        <v>100</v>
      </c>
      <c r="B9" s="53" t="s">
        <v>101</v>
      </c>
      <c r="C9" s="122" t="s">
        <v>452</v>
      </c>
      <c r="D9" s="122" t="s">
        <v>412</v>
      </c>
      <c r="E9" s="75" t="s">
        <v>204</v>
      </c>
      <c r="F9"/>
    </row>
    <row r="10" spans="1:6" ht="4.5" customHeight="1">
      <c r="A10" s="77"/>
      <c r="B10" s="77"/>
      <c r="C10" s="80"/>
      <c r="D10" s="80"/>
      <c r="E10" s="80"/>
      <c r="F10"/>
    </row>
    <row r="11" spans="1:6" ht="12.75">
      <c r="A11" s="370">
        <v>1</v>
      </c>
      <c r="B11" s="15" t="s">
        <v>115</v>
      </c>
      <c r="C11" s="15">
        <v>17978949</v>
      </c>
      <c r="D11" s="15">
        <v>1163600</v>
      </c>
      <c r="E11" s="15">
        <f>SUM('- 56 -'!G11,'- 58 -'!G11,C11:D11)</f>
        <v>126123000</v>
      </c>
      <c r="F11"/>
    </row>
    <row r="12" spans="1:6" ht="12.75">
      <c r="A12" s="371">
        <v>2</v>
      </c>
      <c r="B12" s="17" t="s">
        <v>116</v>
      </c>
      <c r="C12" s="17">
        <v>994308</v>
      </c>
      <c r="D12" s="17">
        <v>392415</v>
      </c>
      <c r="E12" s="17">
        <f>SUM('- 56 -'!G12,'- 58 -'!G12,C12:D12)</f>
        <v>31605580</v>
      </c>
      <c r="F12"/>
    </row>
    <row r="13" spans="1:6" ht="12.75">
      <c r="A13" s="370">
        <v>3</v>
      </c>
      <c r="B13" s="15" t="s">
        <v>117</v>
      </c>
      <c r="C13" s="15">
        <v>1717967</v>
      </c>
      <c r="D13" s="15">
        <v>154960</v>
      </c>
      <c r="E13" s="15">
        <f>SUM('- 56 -'!G13,'- 58 -'!G13,C13:D13)</f>
        <v>21301252</v>
      </c>
      <c r="F13"/>
    </row>
    <row r="14" spans="1:6" ht="12.75">
      <c r="A14" s="371">
        <v>4</v>
      </c>
      <c r="B14" s="17" t="s">
        <v>118</v>
      </c>
      <c r="C14" s="17">
        <v>2872005</v>
      </c>
      <c r="D14" s="17">
        <v>223208</v>
      </c>
      <c r="E14" s="17">
        <f>SUM('- 56 -'!G14,'- 58 -'!G14,C14:D14)</f>
        <v>22961753</v>
      </c>
      <c r="F14"/>
    </row>
    <row r="15" spans="1:6" ht="12.75">
      <c r="A15" s="370">
        <v>5</v>
      </c>
      <c r="B15" s="15" t="s">
        <v>119</v>
      </c>
      <c r="C15" s="15">
        <v>2011132</v>
      </c>
      <c r="D15" s="15">
        <v>179262</v>
      </c>
      <c r="E15" s="15">
        <f>SUM('- 56 -'!G15,'- 58 -'!G15,C15:D15)</f>
        <v>24597959</v>
      </c>
      <c r="F15"/>
    </row>
    <row r="16" spans="1:6" ht="12.75">
      <c r="A16" s="371">
        <v>6</v>
      </c>
      <c r="B16" s="17" t="s">
        <v>120</v>
      </c>
      <c r="C16" s="17">
        <v>6961713</v>
      </c>
      <c r="D16" s="17">
        <v>260858</v>
      </c>
      <c r="E16" s="17">
        <f>SUM('- 56 -'!G16,'- 58 -'!G16,C16:D16)</f>
        <v>36275834</v>
      </c>
      <c r="F16"/>
    </row>
    <row r="17" spans="1:6" ht="12.75">
      <c r="A17" s="370">
        <v>9</v>
      </c>
      <c r="B17" s="15" t="s">
        <v>121</v>
      </c>
      <c r="C17" s="15">
        <v>9553401</v>
      </c>
      <c r="D17" s="15">
        <v>411193</v>
      </c>
      <c r="E17" s="15">
        <f>SUM('- 56 -'!G17,'- 58 -'!G17,C17:D17)</f>
        <v>50968522</v>
      </c>
      <c r="F17"/>
    </row>
    <row r="18" spans="1:6" ht="12.75">
      <c r="A18" s="371">
        <v>10</v>
      </c>
      <c r="B18" s="17" t="s">
        <v>122</v>
      </c>
      <c r="C18" s="17">
        <v>8329069</v>
      </c>
      <c r="D18" s="17">
        <v>241105</v>
      </c>
      <c r="E18" s="17">
        <f>SUM('- 56 -'!G18,'- 58 -'!G18,C18:D18)</f>
        <v>36395940</v>
      </c>
      <c r="F18"/>
    </row>
    <row r="19" spans="1:6" ht="12.75">
      <c r="A19" s="370">
        <v>11</v>
      </c>
      <c r="B19" s="15" t="s">
        <v>123</v>
      </c>
      <c r="C19" s="15">
        <v>1873975</v>
      </c>
      <c r="D19" s="15">
        <v>190386</v>
      </c>
      <c r="E19" s="15">
        <f>SUM('- 56 -'!G19,'- 58 -'!G19,C19:D19)</f>
        <v>19233190</v>
      </c>
      <c r="F19"/>
    </row>
    <row r="20" spans="1:6" ht="12.75">
      <c r="A20" s="371">
        <v>12</v>
      </c>
      <c r="B20" s="17" t="s">
        <v>124</v>
      </c>
      <c r="C20" s="17">
        <v>4975615</v>
      </c>
      <c r="D20" s="17">
        <v>249025</v>
      </c>
      <c r="E20" s="17">
        <f>SUM('- 56 -'!G20,'- 58 -'!G20,C20:D20)</f>
        <v>30669654</v>
      </c>
      <c r="F20"/>
    </row>
    <row r="21" spans="1:6" ht="12.75">
      <c r="A21" s="370">
        <v>13</v>
      </c>
      <c r="B21" s="15" t="s">
        <v>125</v>
      </c>
      <c r="C21" s="15">
        <v>999722</v>
      </c>
      <c r="D21" s="15">
        <v>107725</v>
      </c>
      <c r="E21" s="15">
        <f>SUM('- 56 -'!G21,'- 58 -'!G21,C21:D21)</f>
        <v>11273693</v>
      </c>
      <c r="F21"/>
    </row>
    <row r="22" spans="1:6" ht="12.75">
      <c r="A22" s="371">
        <v>14</v>
      </c>
      <c r="B22" s="17" t="s">
        <v>126</v>
      </c>
      <c r="C22" s="17">
        <v>2965384</v>
      </c>
      <c r="D22" s="17">
        <v>104388</v>
      </c>
      <c r="E22" s="17">
        <f>SUM('- 56 -'!G22,'- 58 -'!G22,C22:D22)</f>
        <v>16590128</v>
      </c>
      <c r="F22"/>
    </row>
    <row r="23" spans="1:6" ht="12.75">
      <c r="A23" s="370">
        <v>15</v>
      </c>
      <c r="B23" s="15" t="s">
        <v>127</v>
      </c>
      <c r="C23" s="15">
        <v>3153120</v>
      </c>
      <c r="D23" s="15">
        <v>210818</v>
      </c>
      <c r="E23" s="15">
        <f>SUM('- 56 -'!G23,'- 58 -'!G23,C23:D23)</f>
        <v>23780974</v>
      </c>
      <c r="F23"/>
    </row>
    <row r="24" spans="1:6" ht="12.75">
      <c r="A24" s="371">
        <v>16</v>
      </c>
      <c r="B24" s="17" t="s">
        <v>128</v>
      </c>
      <c r="C24" s="17">
        <v>329493</v>
      </c>
      <c r="D24" s="17">
        <v>40280</v>
      </c>
      <c r="E24" s="17">
        <f>SUM('- 56 -'!G24,'- 58 -'!G24,C24:D24)</f>
        <v>3773586</v>
      </c>
      <c r="F24"/>
    </row>
    <row r="25" spans="1:6" ht="12.75">
      <c r="A25" s="370">
        <v>17</v>
      </c>
      <c r="B25" s="15" t="s">
        <v>129</v>
      </c>
      <c r="C25" s="15">
        <v>316103</v>
      </c>
      <c r="D25" s="15">
        <v>28859</v>
      </c>
      <c r="E25" s="15">
        <f>SUM('- 56 -'!G25,'- 58 -'!G25,C25:D25)</f>
        <v>2681222</v>
      </c>
      <c r="F25"/>
    </row>
    <row r="26" spans="1:6" ht="12.75">
      <c r="A26" s="371">
        <v>18</v>
      </c>
      <c r="B26" s="17" t="s">
        <v>130</v>
      </c>
      <c r="C26" s="17">
        <v>692780</v>
      </c>
      <c r="D26" s="17">
        <v>57880</v>
      </c>
      <c r="E26" s="17">
        <f>SUM('- 56 -'!G26,'- 58 -'!G26,C26:D26)</f>
        <v>5932429</v>
      </c>
      <c r="F26"/>
    </row>
    <row r="27" spans="1:6" ht="12.75">
      <c r="A27" s="370">
        <v>19</v>
      </c>
      <c r="B27" s="15" t="s">
        <v>131</v>
      </c>
      <c r="C27" s="15">
        <v>240124</v>
      </c>
      <c r="D27" s="15">
        <v>77660</v>
      </c>
      <c r="E27" s="15">
        <f>SUM('- 56 -'!G27,'- 58 -'!G27,C27:D27)</f>
        <v>7937336</v>
      </c>
      <c r="F27"/>
    </row>
    <row r="28" spans="1:6" ht="12.75">
      <c r="A28" s="371">
        <v>20</v>
      </c>
      <c r="B28" s="17" t="s">
        <v>132</v>
      </c>
      <c r="C28" s="17">
        <v>499214</v>
      </c>
      <c r="D28" s="17">
        <v>54817</v>
      </c>
      <c r="E28" s="17">
        <f>SUM('- 56 -'!G28,'- 58 -'!G28,C28:D28)</f>
        <v>4676610</v>
      </c>
      <c r="F28"/>
    </row>
    <row r="29" spans="1:6" ht="12.75">
      <c r="A29" s="370">
        <v>21</v>
      </c>
      <c r="B29" s="15" t="s">
        <v>133</v>
      </c>
      <c r="C29" s="15">
        <v>1911405</v>
      </c>
      <c r="D29" s="15">
        <v>116586</v>
      </c>
      <c r="E29" s="15">
        <f>SUM('- 56 -'!G29,'- 58 -'!G29,C29:D29)</f>
        <v>14735145</v>
      </c>
      <c r="F29"/>
    </row>
    <row r="30" spans="1:6" ht="12.75">
      <c r="A30" s="371">
        <v>22</v>
      </c>
      <c r="B30" s="17" t="s">
        <v>134</v>
      </c>
      <c r="C30" s="17">
        <v>0</v>
      </c>
      <c r="D30" s="17">
        <v>74272</v>
      </c>
      <c r="E30" s="17">
        <f>SUM('- 56 -'!G30,'- 58 -'!G30,C30:D30)</f>
        <v>6443845</v>
      </c>
      <c r="F30"/>
    </row>
    <row r="31" spans="1:6" ht="12.75">
      <c r="A31" s="370">
        <v>23</v>
      </c>
      <c r="B31" s="15" t="s">
        <v>135</v>
      </c>
      <c r="C31" s="15">
        <v>928586</v>
      </c>
      <c r="D31" s="15">
        <v>79254</v>
      </c>
      <c r="E31" s="15">
        <f>SUM('- 56 -'!G31,'- 58 -'!G31,C31:D31)</f>
        <v>7174676</v>
      </c>
      <c r="F31"/>
    </row>
    <row r="32" spans="1:6" ht="12.75">
      <c r="A32" s="371">
        <v>24</v>
      </c>
      <c r="B32" s="17" t="s">
        <v>136</v>
      </c>
      <c r="C32" s="17">
        <v>1417558</v>
      </c>
      <c r="D32" s="17">
        <v>154724</v>
      </c>
      <c r="E32" s="17">
        <f>SUM('- 56 -'!G32,'- 58 -'!G32,C32:D32)</f>
        <v>14359941</v>
      </c>
      <c r="F32"/>
    </row>
    <row r="33" spans="1:6" ht="12.75">
      <c r="A33" s="370">
        <v>25</v>
      </c>
      <c r="B33" s="15" t="s">
        <v>137</v>
      </c>
      <c r="C33" s="15">
        <v>330468</v>
      </c>
      <c r="D33" s="15">
        <v>66272</v>
      </c>
      <c r="E33" s="15">
        <f>SUM('- 56 -'!G33,'- 58 -'!G33,C33:D33)</f>
        <v>6169225</v>
      </c>
      <c r="F33"/>
    </row>
    <row r="34" spans="1:6" ht="12.75">
      <c r="A34" s="371">
        <v>26</v>
      </c>
      <c r="B34" s="17" t="s">
        <v>138</v>
      </c>
      <c r="C34" s="17">
        <v>1545636</v>
      </c>
      <c r="D34" s="17">
        <v>67485</v>
      </c>
      <c r="E34" s="17">
        <f>SUM('- 56 -'!G34,'- 58 -'!G34,C34:D34)</f>
        <v>11690267</v>
      </c>
      <c r="F34"/>
    </row>
    <row r="35" spans="1:6" ht="12.75">
      <c r="A35" s="370">
        <v>28</v>
      </c>
      <c r="B35" s="15" t="s">
        <v>139</v>
      </c>
      <c r="C35" s="15">
        <v>695538</v>
      </c>
      <c r="D35" s="15">
        <v>44718</v>
      </c>
      <c r="E35" s="15">
        <f>SUM('- 56 -'!G35,'- 58 -'!G35,C35:D35)</f>
        <v>4294998</v>
      </c>
      <c r="F35"/>
    </row>
    <row r="36" spans="1:6" ht="12.75">
      <c r="A36" s="371">
        <v>30</v>
      </c>
      <c r="B36" s="17" t="s">
        <v>140</v>
      </c>
      <c r="C36" s="17">
        <v>693482</v>
      </c>
      <c r="D36" s="17">
        <v>66946</v>
      </c>
      <c r="E36" s="17">
        <f>SUM('- 56 -'!G36,'- 58 -'!G36,C36:D36)</f>
        <v>6336110</v>
      </c>
      <c r="F36"/>
    </row>
    <row r="37" spans="1:6" ht="12.75">
      <c r="A37" s="370">
        <v>31</v>
      </c>
      <c r="B37" s="15" t="s">
        <v>141</v>
      </c>
      <c r="C37" s="15">
        <v>475106</v>
      </c>
      <c r="D37" s="15">
        <v>67104</v>
      </c>
      <c r="E37" s="15">
        <f>SUM('- 56 -'!G37,'- 58 -'!G37,C37:D37)</f>
        <v>6647928</v>
      </c>
      <c r="F37"/>
    </row>
    <row r="38" spans="1:6" ht="12.75">
      <c r="A38" s="371">
        <v>32</v>
      </c>
      <c r="B38" s="17" t="s">
        <v>142</v>
      </c>
      <c r="C38" s="17">
        <v>619961</v>
      </c>
      <c r="D38" s="17">
        <v>68075</v>
      </c>
      <c r="E38" s="17">
        <f>SUM('- 56 -'!G38,'- 58 -'!G38,C38:D38)</f>
        <v>4781743</v>
      </c>
      <c r="F38"/>
    </row>
    <row r="39" spans="1:6" ht="12.75">
      <c r="A39" s="370">
        <v>33</v>
      </c>
      <c r="B39" s="15" t="s">
        <v>143</v>
      </c>
      <c r="C39" s="15">
        <v>1125080</v>
      </c>
      <c r="D39" s="15">
        <v>152318</v>
      </c>
      <c r="E39" s="15">
        <f>SUM('- 56 -'!G39,'- 58 -'!G39,C39:D39)</f>
        <v>8508119</v>
      </c>
      <c r="F39"/>
    </row>
    <row r="40" spans="1:6" ht="12.75">
      <c r="A40" s="371">
        <v>34</v>
      </c>
      <c r="B40" s="17" t="s">
        <v>144</v>
      </c>
      <c r="C40" s="17">
        <v>878421</v>
      </c>
      <c r="D40" s="17">
        <v>55941</v>
      </c>
      <c r="E40" s="17">
        <f>SUM('- 56 -'!G40,'- 58 -'!G40,C40:D40)</f>
        <v>4274144</v>
      </c>
      <c r="F40"/>
    </row>
    <row r="41" spans="1:6" ht="12.75">
      <c r="A41" s="370">
        <v>35</v>
      </c>
      <c r="B41" s="15" t="s">
        <v>145</v>
      </c>
      <c r="C41" s="15">
        <v>1297555</v>
      </c>
      <c r="D41" s="15">
        <v>108981</v>
      </c>
      <c r="E41" s="15">
        <f>SUM('- 56 -'!G41,'- 58 -'!G41,C41:D41)</f>
        <v>9010408</v>
      </c>
      <c r="F41"/>
    </row>
    <row r="42" spans="1:6" ht="12.75">
      <c r="A42" s="371">
        <v>36</v>
      </c>
      <c r="B42" s="17" t="s">
        <v>146</v>
      </c>
      <c r="C42" s="17">
        <v>465927</v>
      </c>
      <c r="D42" s="17">
        <v>54150</v>
      </c>
      <c r="E42" s="17">
        <f>SUM('- 56 -'!G42,'- 58 -'!G42,C42:D42)</f>
        <v>4512645</v>
      </c>
      <c r="F42"/>
    </row>
    <row r="43" spans="1:6" ht="12.75">
      <c r="A43" s="370">
        <v>37</v>
      </c>
      <c r="B43" s="15" t="s">
        <v>147</v>
      </c>
      <c r="C43" s="15">
        <v>409152</v>
      </c>
      <c r="D43" s="15">
        <v>46965</v>
      </c>
      <c r="E43" s="15">
        <f>SUM('- 56 -'!G43,'- 58 -'!G43,C43:D43)</f>
        <v>4248778</v>
      </c>
      <c r="F43"/>
    </row>
    <row r="44" spans="1:6" ht="12.75">
      <c r="A44" s="371">
        <v>38</v>
      </c>
      <c r="B44" s="17" t="s">
        <v>148</v>
      </c>
      <c r="C44" s="17">
        <v>284374</v>
      </c>
      <c r="D44" s="17">
        <v>64624</v>
      </c>
      <c r="E44" s="17">
        <f>SUM('- 56 -'!G44,'- 58 -'!G44,C44:D44)</f>
        <v>5190150</v>
      </c>
      <c r="F44"/>
    </row>
    <row r="45" spans="1:6" ht="12.75">
      <c r="A45" s="370">
        <v>39</v>
      </c>
      <c r="B45" s="15" t="s">
        <v>149</v>
      </c>
      <c r="C45" s="15">
        <v>817983</v>
      </c>
      <c r="D45" s="15">
        <v>131400</v>
      </c>
      <c r="E45" s="15">
        <f>SUM('- 56 -'!G45,'- 58 -'!G45,C45:D45)</f>
        <v>9032709</v>
      </c>
      <c r="F45"/>
    </row>
    <row r="46" spans="1:6" ht="12.75">
      <c r="A46" s="371">
        <v>40</v>
      </c>
      <c r="B46" s="17" t="s">
        <v>150</v>
      </c>
      <c r="C46" s="17">
        <v>2586900</v>
      </c>
      <c r="D46" s="17">
        <v>306500</v>
      </c>
      <c r="E46" s="17">
        <f>SUM('- 56 -'!G46,'- 58 -'!G46,C46:D46)</f>
        <v>27124700</v>
      </c>
      <c r="F46"/>
    </row>
    <row r="47" spans="1:6" ht="12.75">
      <c r="A47" s="370">
        <v>41</v>
      </c>
      <c r="B47" s="15" t="s">
        <v>151</v>
      </c>
      <c r="C47" s="15">
        <v>360649</v>
      </c>
      <c r="D47" s="15">
        <v>87145</v>
      </c>
      <c r="E47" s="15">
        <f>SUM('- 56 -'!G47,'- 58 -'!G47,C47:D47)</f>
        <v>6813674</v>
      </c>
      <c r="F47"/>
    </row>
    <row r="48" spans="1:6" ht="12.75">
      <c r="A48" s="371">
        <v>42</v>
      </c>
      <c r="B48" s="17" t="s">
        <v>152</v>
      </c>
      <c r="C48" s="17">
        <v>306335</v>
      </c>
      <c r="D48" s="17">
        <v>48380</v>
      </c>
      <c r="E48" s="17">
        <f>SUM('- 56 -'!G48,'- 58 -'!G48,C48:D48)</f>
        <v>4666241</v>
      </c>
      <c r="F48"/>
    </row>
    <row r="49" spans="1:6" ht="12.75">
      <c r="A49" s="370">
        <v>43</v>
      </c>
      <c r="B49" s="15" t="s">
        <v>153</v>
      </c>
      <c r="C49" s="15">
        <v>68942</v>
      </c>
      <c r="D49" s="15">
        <v>48199</v>
      </c>
      <c r="E49" s="15">
        <f>SUM('- 56 -'!G49,'- 58 -'!G49,C49:D49)</f>
        <v>3377254</v>
      </c>
      <c r="F49"/>
    </row>
    <row r="50" spans="1:6" ht="12.75">
      <c r="A50" s="371">
        <v>44</v>
      </c>
      <c r="B50" s="17" t="s">
        <v>154</v>
      </c>
      <c r="C50" s="17">
        <v>532311</v>
      </c>
      <c r="D50" s="17">
        <v>49716</v>
      </c>
      <c r="E50" s="17">
        <f>SUM('- 56 -'!G50,'- 58 -'!G50,C50:D50)</f>
        <v>5279024</v>
      </c>
      <c r="F50"/>
    </row>
    <row r="51" spans="1:6" ht="12.75">
      <c r="A51" s="370">
        <v>45</v>
      </c>
      <c r="B51" s="15" t="s">
        <v>155</v>
      </c>
      <c r="C51" s="15">
        <v>1027776</v>
      </c>
      <c r="D51" s="15">
        <v>65399</v>
      </c>
      <c r="E51" s="15">
        <f>SUM('- 56 -'!G51,'- 58 -'!G51,C51:D51)</f>
        <v>8332477</v>
      </c>
      <c r="F51"/>
    </row>
    <row r="52" spans="1:6" ht="12.75">
      <c r="A52" s="371">
        <v>46</v>
      </c>
      <c r="B52" s="17" t="s">
        <v>156</v>
      </c>
      <c r="C52" s="17">
        <v>1293379</v>
      </c>
      <c r="D52" s="17">
        <v>54714</v>
      </c>
      <c r="E52" s="17">
        <f>SUM('- 56 -'!G52,'- 58 -'!G52,C52:D52)</f>
        <v>6267026</v>
      </c>
      <c r="F52"/>
    </row>
    <row r="53" spans="1:6" ht="12.75">
      <c r="A53" s="370">
        <v>47</v>
      </c>
      <c r="B53" s="15" t="s">
        <v>157</v>
      </c>
      <c r="C53" s="15">
        <v>807032</v>
      </c>
      <c r="D53" s="15">
        <v>40280</v>
      </c>
      <c r="E53" s="15">
        <f>SUM('- 56 -'!G53,'- 58 -'!G53,C53:D53)</f>
        <v>5731571</v>
      </c>
      <c r="F53"/>
    </row>
    <row r="54" spans="1:6" ht="12.75">
      <c r="A54" s="371">
        <v>48</v>
      </c>
      <c r="B54" s="17" t="s">
        <v>158</v>
      </c>
      <c r="C54" s="17">
        <v>5952543</v>
      </c>
      <c r="D54" s="17">
        <v>311660</v>
      </c>
      <c r="E54" s="17">
        <f>SUM('- 56 -'!G54,'- 58 -'!G54,C54:D54)</f>
        <v>20890132</v>
      </c>
      <c r="F54"/>
    </row>
    <row r="55" spans="1:6" ht="12.75">
      <c r="A55" s="370">
        <v>49</v>
      </c>
      <c r="B55" s="15" t="s">
        <v>159</v>
      </c>
      <c r="C55" s="15">
        <v>2931466</v>
      </c>
      <c r="D55" s="15">
        <v>141806</v>
      </c>
      <c r="E55" s="15">
        <f>SUM('- 56 -'!G55,'- 58 -'!G55,C55:D55)</f>
        <v>20771075</v>
      </c>
      <c r="F55"/>
    </row>
    <row r="56" spans="1:6" ht="12.75">
      <c r="A56" s="371">
        <v>50</v>
      </c>
      <c r="B56" s="17" t="s">
        <v>340</v>
      </c>
      <c r="C56" s="17">
        <v>796295</v>
      </c>
      <c r="D56" s="17">
        <v>119750</v>
      </c>
      <c r="E56" s="17">
        <f>SUM('- 56 -'!G56,'- 58 -'!G56,C56:D56)</f>
        <v>8836597</v>
      </c>
      <c r="F56"/>
    </row>
    <row r="57" spans="1:6" ht="12.75">
      <c r="A57" s="370">
        <v>2264</v>
      </c>
      <c r="B57" s="15" t="s">
        <v>160</v>
      </c>
      <c r="C57" s="15">
        <v>182277</v>
      </c>
      <c r="D57" s="15">
        <v>15495</v>
      </c>
      <c r="E57" s="15">
        <f>SUM('- 56 -'!G57,'- 58 -'!G57,C57:D57)</f>
        <v>1278828</v>
      </c>
      <c r="F57"/>
    </row>
    <row r="58" spans="1:6" ht="12.75">
      <c r="A58" s="371">
        <v>2309</v>
      </c>
      <c r="B58" s="17" t="s">
        <v>161</v>
      </c>
      <c r="C58" s="17">
        <v>440847</v>
      </c>
      <c r="D58" s="17">
        <v>12546</v>
      </c>
      <c r="E58" s="17">
        <f>SUM('- 56 -'!G58,'- 58 -'!G58,C58:D58)</f>
        <v>1511061</v>
      </c>
      <c r="F58"/>
    </row>
    <row r="59" spans="1:6" ht="12.75">
      <c r="A59" s="370">
        <v>2312</v>
      </c>
      <c r="B59" s="15" t="s">
        <v>162</v>
      </c>
      <c r="C59" s="15">
        <v>454062</v>
      </c>
      <c r="D59" s="15">
        <v>19869</v>
      </c>
      <c r="E59" s="15">
        <f>SUM('- 56 -'!G59,'- 58 -'!G59,C59:D59)</f>
        <v>1403268</v>
      </c>
      <c r="F59"/>
    </row>
    <row r="60" spans="1:6" ht="12.75">
      <c r="A60" s="371">
        <v>2355</v>
      </c>
      <c r="B60" s="17" t="s">
        <v>163</v>
      </c>
      <c r="C60" s="17">
        <v>4558667</v>
      </c>
      <c r="D60" s="17">
        <v>94833</v>
      </c>
      <c r="E60" s="17">
        <f>SUM('- 56 -'!G60,'- 58 -'!G60,C60:D60)</f>
        <v>16804953</v>
      </c>
      <c r="F60"/>
    </row>
    <row r="61" spans="1:6" ht="12.75">
      <c r="A61" s="370">
        <v>2439</v>
      </c>
      <c r="B61" s="15" t="s">
        <v>164</v>
      </c>
      <c r="C61" s="15">
        <v>109380</v>
      </c>
      <c r="D61" s="15">
        <v>14746</v>
      </c>
      <c r="E61" s="15">
        <f>SUM('- 56 -'!G61,'- 58 -'!G61,C61:D61)</f>
        <v>976944</v>
      </c>
      <c r="F61"/>
    </row>
    <row r="62" spans="1:6" ht="12.75">
      <c r="A62" s="371">
        <v>2460</v>
      </c>
      <c r="B62" s="17" t="s">
        <v>165</v>
      </c>
      <c r="C62" s="17">
        <v>689609</v>
      </c>
      <c r="D62" s="17">
        <v>14704</v>
      </c>
      <c r="E62" s="17">
        <f>SUM('- 56 -'!G62,'- 58 -'!G62,C62:D62)</f>
        <v>1891646</v>
      </c>
      <c r="F62"/>
    </row>
    <row r="63" spans="1:6" ht="12.75">
      <c r="A63" s="370">
        <v>3000</v>
      </c>
      <c r="B63" s="15" t="s">
        <v>363</v>
      </c>
      <c r="C63" s="15">
        <v>0</v>
      </c>
      <c r="D63" s="15">
        <v>120150</v>
      </c>
      <c r="E63" s="15">
        <f>SUM('- 56 -'!G63,'- 58 -'!G63,C63:D63)</f>
        <v>660650</v>
      </c>
      <c r="F63"/>
    </row>
    <row r="64" ht="4.5" customHeight="1">
      <c r="F64"/>
    </row>
    <row r="65" spans="1:6" ht="12.75">
      <c r="A65" s="102"/>
      <c r="B65" s="21" t="s">
        <v>166</v>
      </c>
      <c r="C65" s="21">
        <f>SUM(C11:C63)</f>
        <v>103458776</v>
      </c>
      <c r="D65" s="21">
        <f>SUM(D11:D63)</f>
        <v>7134146</v>
      </c>
      <c r="E65" s="21">
        <f>SUM(E11:E63)</f>
        <v>746806614</v>
      </c>
      <c r="F65"/>
    </row>
    <row r="66" ht="4.5" customHeight="1">
      <c r="F66"/>
    </row>
    <row r="67" spans="1:6" ht="12.75">
      <c r="A67" s="99">
        <v>2155</v>
      </c>
      <c r="B67" s="100" t="s">
        <v>167</v>
      </c>
      <c r="C67" s="100">
        <v>0</v>
      </c>
      <c r="D67" s="100">
        <v>0</v>
      </c>
      <c r="E67" s="100">
        <f>SUM('- 56 -'!G67,'- 58 -'!G67,C67:D67)</f>
        <v>230150</v>
      </c>
      <c r="F67"/>
    </row>
    <row r="68" spans="1:6" ht="12.75">
      <c r="A68" s="97">
        <v>2408</v>
      </c>
      <c r="B68" s="98" t="s">
        <v>169</v>
      </c>
      <c r="C68" s="98">
        <v>0</v>
      </c>
      <c r="D68" s="98">
        <v>0</v>
      </c>
      <c r="E68" s="98">
        <f>SUM('- 56 -'!G68,'- 58 -'!G68,C68:D68)</f>
        <v>420795</v>
      </c>
      <c r="F68"/>
    </row>
    <row r="69" spans="3:6" ht="6.75" customHeight="1">
      <c r="C69" s="18"/>
      <c r="D69" s="18"/>
      <c r="E69" s="18"/>
      <c r="F69"/>
    </row>
    <row r="70" spans="1:6" ht="12" customHeight="1">
      <c r="A70" s="396" t="s">
        <v>351</v>
      </c>
      <c r="B70" s="359" t="s">
        <v>510</v>
      </c>
      <c r="C70" s="123"/>
      <c r="D70" s="123"/>
      <c r="E70" s="123"/>
      <c r="F70"/>
    </row>
    <row r="71" spans="2:6" ht="12" customHeight="1">
      <c r="B71" s="7" t="s">
        <v>511</v>
      </c>
      <c r="C71" s="123"/>
      <c r="D71" s="123"/>
      <c r="E71" s="123"/>
      <c r="F71"/>
    </row>
    <row r="72" spans="1:6" ht="12" customHeight="1">
      <c r="A72" s="396" t="s">
        <v>352</v>
      </c>
      <c r="B72" s="271" t="s">
        <v>448</v>
      </c>
      <c r="C72" s="123"/>
      <c r="D72" s="123"/>
      <c r="E72" s="123"/>
      <c r="F72"/>
    </row>
    <row r="73" spans="2:6" ht="12" customHeight="1">
      <c r="B73" s="7" t="s">
        <v>449</v>
      </c>
      <c r="C73" s="123"/>
      <c r="D73" s="123"/>
      <c r="E73" s="123"/>
      <c r="F73"/>
    </row>
    <row r="74" spans="1:6" ht="12" customHeight="1">
      <c r="A74" s="7"/>
      <c r="B74" s="359"/>
      <c r="C74" s="123"/>
      <c r="D74" s="123"/>
      <c r="E74" s="123"/>
      <c r="F74"/>
    </row>
    <row r="75" ht="12.75">
      <c r="F75"/>
    </row>
    <row r="76" ht="12.75">
      <c r="F76"/>
    </row>
    <row r="77" ht="12.75">
      <c r="F77"/>
    </row>
    <row r="78" ht="12.75">
      <c r="F78"/>
    </row>
    <row r="79" ht="12.75">
      <c r="F79"/>
    </row>
    <row r="80" ht="12.75">
      <c r="F80"/>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51.xml><?xml version="1.0" encoding="utf-8"?>
<worksheet xmlns="http://schemas.openxmlformats.org/spreadsheetml/2006/main" xmlns:r="http://schemas.openxmlformats.org/officeDocument/2006/relationships">
  <sheetPr codeName="Sheet61">
    <pageSetUpPr fitToPage="1"/>
  </sheetPr>
  <dimension ref="A1:F74"/>
  <sheetViews>
    <sheetView showGridLines="0" showZeros="0" workbookViewId="0" topLeftCell="A1">
      <selection activeCell="A1" sqref="A1"/>
    </sheetView>
  </sheetViews>
  <sheetFormatPr defaultColWidth="19.83203125" defaultRowHeight="12"/>
  <cols>
    <col min="1" max="1" width="6.83203125" style="82" customWidth="1"/>
    <col min="2" max="2" width="33.83203125" style="82" customWidth="1"/>
    <col min="3" max="3" width="24.83203125" style="82" customWidth="1"/>
    <col min="4" max="4" width="23.83203125" style="82" customWidth="1"/>
    <col min="5" max="5" width="25.83203125" style="82" customWidth="1"/>
    <col min="6" max="6" width="23.83203125" style="82" customWidth="1"/>
    <col min="7" max="16384" width="19.83203125" style="82" customWidth="1"/>
  </cols>
  <sheetData>
    <row r="1" spans="2:5" ht="6.75" customHeight="1">
      <c r="B1" s="80"/>
      <c r="C1" s="142"/>
      <c r="D1" s="142"/>
      <c r="E1" s="142"/>
    </row>
    <row r="2" spans="1:6" ht="12.75" customHeight="1">
      <c r="A2" s="200"/>
      <c r="B2" s="200" t="s">
        <v>364</v>
      </c>
      <c r="C2" s="200"/>
      <c r="D2" s="200"/>
      <c r="E2" s="200"/>
      <c r="F2" s="200"/>
    </row>
    <row r="3" spans="1:6" ht="12.75" customHeight="1">
      <c r="A3" s="273"/>
      <c r="B3" s="273" t="str">
        <f>REPLACE(REPLACE(YEAR,1,22,""),5,0,"")&amp;" BUDGET"</f>
        <v>2002/2003 BUDGET</v>
      </c>
      <c r="C3" s="203"/>
      <c r="D3" s="203"/>
      <c r="E3" s="203"/>
      <c r="F3" s="203"/>
    </row>
    <row r="4" spans="1:5" ht="12.75" customHeight="1">
      <c r="A4" s="11"/>
      <c r="C4" s="142"/>
      <c r="D4" s="142"/>
      <c r="E4" s="142"/>
    </row>
    <row r="5" spans="1:5" ht="12.75" customHeight="1">
      <c r="A5" s="11"/>
      <c r="C5" s="142"/>
      <c r="D5" s="142"/>
      <c r="E5" s="142"/>
    </row>
    <row r="6" spans="1:6" ht="12.75" customHeight="1">
      <c r="A6" s="11"/>
      <c r="C6" s="403"/>
      <c r="D6" s="403"/>
      <c r="E6" s="403"/>
      <c r="F6" s="403"/>
    </row>
    <row r="7" spans="3:6" ht="12.75" customHeight="1">
      <c r="C7" s="404" t="s">
        <v>190</v>
      </c>
      <c r="D7" s="404" t="s">
        <v>366</v>
      </c>
      <c r="E7" s="404" t="s">
        <v>198</v>
      </c>
      <c r="F7" s="404" t="s">
        <v>197</v>
      </c>
    </row>
    <row r="8" spans="1:6" ht="12.75" customHeight="1">
      <c r="A8" s="94"/>
      <c r="B8" s="46"/>
      <c r="C8" s="404" t="s">
        <v>350</v>
      </c>
      <c r="D8" s="404" t="s">
        <v>365</v>
      </c>
      <c r="E8" s="404" t="s">
        <v>362</v>
      </c>
      <c r="F8" s="404" t="s">
        <v>223</v>
      </c>
    </row>
    <row r="9" spans="1:6" ht="16.5" customHeight="1">
      <c r="A9" s="52" t="s">
        <v>100</v>
      </c>
      <c r="B9" s="53" t="s">
        <v>101</v>
      </c>
      <c r="C9" s="405" t="s">
        <v>413</v>
      </c>
      <c r="D9" s="405" t="s">
        <v>414</v>
      </c>
      <c r="E9" s="405" t="s">
        <v>415</v>
      </c>
      <c r="F9" s="405" t="s">
        <v>416</v>
      </c>
    </row>
    <row r="10" spans="1:6" ht="4.5" customHeight="1">
      <c r="A10" s="77"/>
      <c r="B10" s="77"/>
      <c r="D10" s="395"/>
      <c r="E10" s="148"/>
      <c r="F10" s="164"/>
    </row>
    <row r="11" spans="1:6" ht="12.75">
      <c r="A11" s="14">
        <v>1</v>
      </c>
      <c r="B11" s="15" t="s">
        <v>115</v>
      </c>
      <c r="C11" s="15">
        <f>'- 4 -'!F11</f>
        <v>8062</v>
      </c>
      <c r="D11" s="348">
        <f>'- 9 -'!D11</f>
        <v>14.337785197551474</v>
      </c>
      <c r="E11" s="15">
        <f>'- 54 -'!G11</f>
        <v>135130</v>
      </c>
      <c r="F11" s="348">
        <f>'- 52 -'!H11</f>
        <v>26.683331550541226</v>
      </c>
    </row>
    <row r="12" spans="1:6" ht="12.75">
      <c r="A12" s="16">
        <v>2</v>
      </c>
      <c r="B12" s="17" t="s">
        <v>116</v>
      </c>
      <c r="C12" s="17">
        <f>'- 4 -'!F12</f>
        <v>6819</v>
      </c>
      <c r="D12" s="349">
        <f>'- 9 -'!D12</f>
        <v>15.110031720856462</v>
      </c>
      <c r="E12" s="17">
        <f>'- 54 -'!G12</f>
        <v>176959</v>
      </c>
      <c r="F12" s="349">
        <f>'- 52 -'!H12</f>
        <v>17.32838469041928</v>
      </c>
    </row>
    <row r="13" spans="1:6" ht="12.75">
      <c r="A13" s="14">
        <v>3</v>
      </c>
      <c r="B13" s="15" t="s">
        <v>117</v>
      </c>
      <c r="C13" s="15">
        <f>'- 4 -'!F13</f>
        <v>7713</v>
      </c>
      <c r="D13" s="348">
        <f>'- 9 -'!D13</f>
        <v>14.405417670612245</v>
      </c>
      <c r="E13" s="15">
        <f>'- 54 -'!G13</f>
        <v>164824</v>
      </c>
      <c r="F13" s="348">
        <f>'- 52 -'!H13</f>
        <v>22.713343509848084</v>
      </c>
    </row>
    <row r="14" spans="1:6" ht="12.75">
      <c r="A14" s="16">
        <v>4</v>
      </c>
      <c r="B14" s="17" t="s">
        <v>118</v>
      </c>
      <c r="C14" s="17">
        <f>'- 4 -'!F14</f>
        <v>6962</v>
      </c>
      <c r="D14" s="349">
        <f>'- 9 -'!D14</f>
        <v>15.458493609628986</v>
      </c>
      <c r="E14" s="17">
        <f>'- 54 -'!G14</f>
        <v>138616</v>
      </c>
      <c r="F14" s="349">
        <f>'- 52 -'!H14</f>
        <v>21.884938510891303</v>
      </c>
    </row>
    <row r="15" spans="1:6" ht="12.75">
      <c r="A15" s="14">
        <v>5</v>
      </c>
      <c r="B15" s="15" t="s">
        <v>119</v>
      </c>
      <c r="C15" s="15">
        <f>'- 4 -'!F15</f>
        <v>7496</v>
      </c>
      <c r="D15" s="348">
        <f>'- 9 -'!D15</f>
        <v>15.049968769519053</v>
      </c>
      <c r="E15" s="15">
        <f>'- 54 -'!G15</f>
        <v>164604</v>
      </c>
      <c r="F15" s="348">
        <f>'- 52 -'!H15</f>
        <v>22.699217224997664</v>
      </c>
    </row>
    <row r="16" spans="1:6" ht="12.75">
      <c r="A16" s="16">
        <v>6</v>
      </c>
      <c r="B16" s="17" t="s">
        <v>120</v>
      </c>
      <c r="C16" s="17">
        <f>'- 4 -'!F16</f>
        <v>6975</v>
      </c>
      <c r="D16" s="349">
        <f>'- 9 -'!D16</f>
        <v>15.76412785128951</v>
      </c>
      <c r="E16" s="17">
        <f>'- 54 -'!G16</f>
        <v>114864</v>
      </c>
      <c r="F16" s="349">
        <f>'- 52 -'!H16</f>
        <v>21.921448779971083</v>
      </c>
    </row>
    <row r="17" spans="1:6" ht="12.75">
      <c r="A17" s="14">
        <v>9</v>
      </c>
      <c r="B17" s="15" t="s">
        <v>121</v>
      </c>
      <c r="C17" s="15">
        <f>'- 4 -'!F17</f>
        <v>6738</v>
      </c>
      <c r="D17" s="348">
        <f>'- 9 -'!D17</f>
        <v>15.02725620835857</v>
      </c>
      <c r="E17" s="15">
        <f>'- 54 -'!G17</f>
        <v>110813</v>
      </c>
      <c r="F17" s="348">
        <f>'- 52 -'!H17</f>
        <v>22.777522468762214</v>
      </c>
    </row>
    <row r="18" spans="1:6" ht="12.75">
      <c r="A18" s="16">
        <v>10</v>
      </c>
      <c r="B18" s="17" t="s">
        <v>122</v>
      </c>
      <c r="C18" s="17">
        <f>'- 4 -'!F18</f>
        <v>7173</v>
      </c>
      <c r="D18" s="349">
        <f>'- 9 -'!D18</f>
        <v>15.469955156950673</v>
      </c>
      <c r="E18" s="17">
        <f>'- 54 -'!G18</f>
        <v>105353</v>
      </c>
      <c r="F18" s="349">
        <f>'- 52 -'!H18</f>
        <v>27.232145222931184</v>
      </c>
    </row>
    <row r="19" spans="1:6" ht="12.75">
      <c r="A19" s="14">
        <v>11</v>
      </c>
      <c r="B19" s="15" t="s">
        <v>123</v>
      </c>
      <c r="C19" s="15">
        <f>'- 4 -'!F19</f>
        <v>6984</v>
      </c>
      <c r="D19" s="348">
        <f>'- 9 -'!D19</f>
        <v>15.225283630470017</v>
      </c>
      <c r="E19" s="15">
        <f>'- 54 -'!G19</f>
        <v>140703</v>
      </c>
      <c r="F19" s="348">
        <f>'- 52 -'!H19</f>
        <v>19.761738610031237</v>
      </c>
    </row>
    <row r="20" spans="1:6" ht="12.75">
      <c r="A20" s="16">
        <v>12</v>
      </c>
      <c r="B20" s="17" t="s">
        <v>124</v>
      </c>
      <c r="C20" s="17">
        <f>'- 4 -'!F20</f>
        <v>6837</v>
      </c>
      <c r="D20" s="349">
        <f>'- 9 -'!D20</f>
        <v>15.236004390779364</v>
      </c>
      <c r="E20" s="17">
        <f>'- 54 -'!G20</f>
        <v>121376</v>
      </c>
      <c r="F20" s="349">
        <f>'- 52 -'!H20</f>
        <v>20.740562776517898</v>
      </c>
    </row>
    <row r="21" spans="1:6" ht="12.75">
      <c r="A21" s="14">
        <v>13</v>
      </c>
      <c r="B21" s="15" t="s">
        <v>125</v>
      </c>
      <c r="C21" s="15">
        <f>'- 4 -'!F21</f>
        <v>7570</v>
      </c>
      <c r="D21" s="348">
        <f>'- 9 -'!D21</f>
        <v>13.89183457051962</v>
      </c>
      <c r="E21" s="15">
        <f>'- 54 -'!G21</f>
        <v>149889</v>
      </c>
      <c r="F21" s="348">
        <f>'- 52 -'!H21</f>
        <v>20.890660207796518</v>
      </c>
    </row>
    <row r="22" spans="1:6" ht="12.75">
      <c r="A22" s="16">
        <v>14</v>
      </c>
      <c r="B22" s="17" t="s">
        <v>126</v>
      </c>
      <c r="C22" s="17">
        <f>'- 4 -'!F22</f>
        <v>6953</v>
      </c>
      <c r="D22" s="349">
        <f>'- 9 -'!D22</f>
        <v>16.497229583232954</v>
      </c>
      <c r="E22" s="17">
        <f>'- 54 -'!G22</f>
        <v>90603</v>
      </c>
      <c r="F22" s="349">
        <f>'- 52 -'!H22</f>
        <v>22.484473912520833</v>
      </c>
    </row>
    <row r="23" spans="1:6" ht="12.75">
      <c r="A23" s="14">
        <v>15</v>
      </c>
      <c r="B23" s="15" t="s">
        <v>127</v>
      </c>
      <c r="C23" s="15">
        <f>'- 4 -'!F23</f>
        <v>5573</v>
      </c>
      <c r="D23" s="348">
        <f>'- 9 -'!D23</f>
        <v>17.74608370353051</v>
      </c>
      <c r="E23" s="15">
        <f>'- 54 -'!G23</f>
        <v>93831</v>
      </c>
      <c r="F23" s="348">
        <f>'- 52 -'!H23</f>
        <v>15.700000692475937</v>
      </c>
    </row>
    <row r="24" spans="1:6" ht="12.75">
      <c r="A24" s="16">
        <v>16</v>
      </c>
      <c r="B24" s="17" t="s">
        <v>128</v>
      </c>
      <c r="C24" s="17">
        <f>'- 4 -'!F24</f>
        <v>7501</v>
      </c>
      <c r="D24" s="349">
        <f>'- 9 -'!D24</f>
        <v>14.64015484779166</v>
      </c>
      <c r="E24" s="17">
        <f>'- 54 -'!G24</f>
        <v>142107</v>
      </c>
      <c r="F24" s="349">
        <f>'- 52 -'!H24</f>
        <v>20.06018492742606</v>
      </c>
    </row>
    <row r="25" spans="1:6" ht="12.75">
      <c r="A25" s="14">
        <v>17</v>
      </c>
      <c r="B25" s="15" t="s">
        <v>129</v>
      </c>
      <c r="C25" s="15">
        <f>'- 4 -'!F25</f>
        <v>9077</v>
      </c>
      <c r="D25" s="348">
        <f>'- 9 -'!D25</f>
        <v>12.564760194921774</v>
      </c>
      <c r="E25" s="15">
        <f>'- 54 -'!G25</f>
        <v>123810</v>
      </c>
      <c r="F25" s="348">
        <f>'- 52 -'!H25</f>
        <v>19.088036659574886</v>
      </c>
    </row>
    <row r="26" spans="1:6" ht="12.75">
      <c r="A26" s="16">
        <v>18</v>
      </c>
      <c r="B26" s="17" t="s">
        <v>130</v>
      </c>
      <c r="C26" s="17">
        <f>'- 4 -'!F26</f>
        <v>6762</v>
      </c>
      <c r="D26" s="349">
        <f>'- 9 -'!D26</f>
        <v>14.9508756941478</v>
      </c>
      <c r="E26" s="17">
        <f>'- 54 -'!G26</f>
        <v>121240</v>
      </c>
      <c r="F26" s="349">
        <f>'- 52 -'!H26</f>
        <v>19.567112753500417</v>
      </c>
    </row>
    <row r="27" spans="1:6" ht="12.75">
      <c r="A27" s="14">
        <v>19</v>
      </c>
      <c r="B27" s="15" t="s">
        <v>131</v>
      </c>
      <c r="C27" s="15">
        <f>'- 4 -'!F27</f>
        <v>6847</v>
      </c>
      <c r="D27" s="348">
        <f>'- 9 -'!D27</f>
        <v>15.674157303370785</v>
      </c>
      <c r="E27" s="15">
        <f>'- 54 -'!G27</f>
        <v>168125</v>
      </c>
      <c r="F27" s="348">
        <f>'- 52 -'!H27</f>
        <v>19.841317886927044</v>
      </c>
    </row>
    <row r="28" spans="1:6" ht="12.75">
      <c r="A28" s="16">
        <v>20</v>
      </c>
      <c r="B28" s="17" t="s">
        <v>132</v>
      </c>
      <c r="C28" s="17">
        <f>'- 4 -'!F28</f>
        <v>8241</v>
      </c>
      <c r="D28" s="349">
        <f>'- 9 -'!D28</f>
        <v>13.445745731621281</v>
      </c>
      <c r="E28" s="17">
        <f>'- 54 -'!G28</f>
        <v>142000</v>
      </c>
      <c r="F28" s="349">
        <f>'- 52 -'!H28</f>
        <v>21.736007281568405</v>
      </c>
    </row>
    <row r="29" spans="1:6" ht="12.75">
      <c r="A29" s="14">
        <v>21</v>
      </c>
      <c r="B29" s="15" t="s">
        <v>133</v>
      </c>
      <c r="C29" s="15">
        <f>'- 4 -'!F29</f>
        <v>6913</v>
      </c>
      <c r="D29" s="348">
        <f>'- 9 -'!D29</f>
        <v>14.569565217391304</v>
      </c>
      <c r="E29" s="15">
        <f>'- 54 -'!G29</f>
        <v>118393</v>
      </c>
      <c r="F29" s="348">
        <f>'- 52 -'!H29</f>
        <v>20.001962108787577</v>
      </c>
    </row>
    <row r="30" spans="1:6" ht="12.75">
      <c r="A30" s="16">
        <v>22</v>
      </c>
      <c r="B30" s="17" t="s">
        <v>134</v>
      </c>
      <c r="C30" s="17">
        <f>'- 4 -'!F30</f>
        <v>7409</v>
      </c>
      <c r="D30" s="349">
        <f>'- 9 -'!D30</f>
        <v>16.24482962379358</v>
      </c>
      <c r="E30" s="17">
        <f>'- 54 -'!G30</f>
        <v>204675</v>
      </c>
      <c r="F30" s="349">
        <f>'- 52 -'!H30</f>
        <v>16.588041195089726</v>
      </c>
    </row>
    <row r="31" spans="1:6" ht="12.75">
      <c r="A31" s="14">
        <v>23</v>
      </c>
      <c r="B31" s="15" t="s">
        <v>135</v>
      </c>
      <c r="C31" s="15">
        <f>'- 4 -'!F31</f>
        <v>7233</v>
      </c>
      <c r="D31" s="348">
        <f>'- 9 -'!D31</f>
        <v>14.940828402366867</v>
      </c>
      <c r="E31" s="15">
        <f>'- 54 -'!G31</f>
        <v>95314</v>
      </c>
      <c r="F31" s="348">
        <f>'- 52 -'!H31</f>
        <v>21.022021547021726</v>
      </c>
    </row>
    <row r="32" spans="1:6" ht="12.75">
      <c r="A32" s="16">
        <v>24</v>
      </c>
      <c r="B32" s="17" t="s">
        <v>136</v>
      </c>
      <c r="C32" s="17">
        <f>'- 4 -'!F32</f>
        <v>6630</v>
      </c>
      <c r="D32" s="349">
        <f>'- 9 -'!D32</f>
        <v>15.0869246365558</v>
      </c>
      <c r="E32" s="17">
        <f>'- 54 -'!G32</f>
        <v>135302</v>
      </c>
      <c r="F32" s="349">
        <f>'- 52 -'!H32</f>
        <v>17.576194692182014</v>
      </c>
    </row>
    <row r="33" spans="1:6" ht="12.75">
      <c r="A33" s="14">
        <v>25</v>
      </c>
      <c r="B33" s="15" t="s">
        <v>137</v>
      </c>
      <c r="C33" s="15">
        <f>'- 4 -'!F33</f>
        <v>7428</v>
      </c>
      <c r="D33" s="348">
        <f>'- 9 -'!D33</f>
        <v>14.983922829581992</v>
      </c>
      <c r="E33" s="15">
        <f>'- 54 -'!G33</f>
        <v>162131</v>
      </c>
      <c r="F33" s="348">
        <f>'- 52 -'!H33</f>
        <v>16.988617137492305</v>
      </c>
    </row>
    <row r="34" spans="1:6" ht="12.75">
      <c r="A34" s="16">
        <v>26</v>
      </c>
      <c r="B34" s="17" t="s">
        <v>138</v>
      </c>
      <c r="C34" s="17">
        <f>'- 4 -'!F34</f>
        <v>5859</v>
      </c>
      <c r="D34" s="349">
        <f>'- 9 -'!D34</f>
        <v>16.24766714238665</v>
      </c>
      <c r="E34" s="17">
        <f>'- 54 -'!G34</f>
        <v>105625</v>
      </c>
      <c r="F34" s="349">
        <f>'- 52 -'!H34</f>
        <v>16.749476225290355</v>
      </c>
    </row>
    <row r="35" spans="1:6" ht="12.75">
      <c r="A35" s="14">
        <v>28</v>
      </c>
      <c r="B35" s="15" t="s">
        <v>139</v>
      </c>
      <c r="C35" s="15">
        <f>'- 4 -'!F35</f>
        <v>7814</v>
      </c>
      <c r="D35" s="348">
        <f>'- 9 -'!D35</f>
        <v>13.294938351719663</v>
      </c>
      <c r="E35" s="15">
        <f>'- 54 -'!G35</f>
        <v>104841</v>
      </c>
      <c r="F35" s="348">
        <f>'- 52 -'!H35</f>
        <v>20.63401610199624</v>
      </c>
    </row>
    <row r="36" spans="1:6" ht="12.75">
      <c r="A36" s="16">
        <v>30</v>
      </c>
      <c r="B36" s="17" t="s">
        <v>140</v>
      </c>
      <c r="C36" s="17">
        <f>'- 4 -'!F36</f>
        <v>7525</v>
      </c>
      <c r="D36" s="349">
        <f>'- 9 -'!D36</f>
        <v>14.697380307136402</v>
      </c>
      <c r="E36" s="17">
        <f>'- 54 -'!G36</f>
        <v>126447</v>
      </c>
      <c r="F36" s="349">
        <f>'- 52 -'!H36</f>
        <v>20.250004713236617</v>
      </c>
    </row>
    <row r="37" spans="1:6" ht="12.75">
      <c r="A37" s="14">
        <v>31</v>
      </c>
      <c r="B37" s="15" t="s">
        <v>141</v>
      </c>
      <c r="C37" s="15">
        <f>'- 4 -'!F37</f>
        <v>6760</v>
      </c>
      <c r="D37" s="348">
        <f>'- 9 -'!D37</f>
        <v>15.272932968794194</v>
      </c>
      <c r="E37" s="15">
        <f>'- 54 -'!G37</f>
        <v>150858</v>
      </c>
      <c r="F37" s="348">
        <f>'- 52 -'!H37</f>
        <v>16.10010181258395</v>
      </c>
    </row>
    <row r="38" spans="1:6" ht="12.75">
      <c r="A38" s="16">
        <v>32</v>
      </c>
      <c r="B38" s="17" t="s">
        <v>142</v>
      </c>
      <c r="C38" s="17">
        <f>'- 4 -'!F38</f>
        <v>8189</v>
      </c>
      <c r="D38" s="349">
        <f>'- 9 -'!D38</f>
        <v>13.963739188290086</v>
      </c>
      <c r="E38" s="17">
        <f>'- 54 -'!G38</f>
        <v>102884</v>
      </c>
      <c r="F38" s="349">
        <f>'- 52 -'!H38</f>
        <v>21.961406713660857</v>
      </c>
    </row>
    <row r="39" spans="1:6" ht="12.75">
      <c r="A39" s="14">
        <v>33</v>
      </c>
      <c r="B39" s="15" t="s">
        <v>143</v>
      </c>
      <c r="C39" s="15">
        <f>'- 4 -'!F39</f>
        <v>7323</v>
      </c>
      <c r="D39" s="348">
        <f>'- 9 -'!D39</f>
        <v>14.48006194347658</v>
      </c>
      <c r="E39" s="15">
        <f>'- 54 -'!G39</f>
        <v>115046</v>
      </c>
      <c r="F39" s="348">
        <f>'- 52 -'!H39</f>
        <v>20.54395526487251</v>
      </c>
    </row>
    <row r="40" spans="1:6" ht="12.75">
      <c r="A40" s="16">
        <v>34</v>
      </c>
      <c r="B40" s="17" t="s">
        <v>144</v>
      </c>
      <c r="C40" s="17">
        <f>'- 4 -'!F40</f>
        <v>7889</v>
      </c>
      <c r="D40" s="349">
        <f>'- 9 -'!D40</f>
        <v>13.138489208633093</v>
      </c>
      <c r="E40" s="17">
        <f>'- 54 -'!G40</f>
        <v>68745</v>
      </c>
      <c r="F40" s="349">
        <f>'- 52 -'!H40</f>
        <v>23.458288710575097</v>
      </c>
    </row>
    <row r="41" spans="1:6" ht="12.75">
      <c r="A41" s="14">
        <v>35</v>
      </c>
      <c r="B41" s="15" t="s">
        <v>145</v>
      </c>
      <c r="C41" s="15">
        <f>'- 4 -'!F41</f>
        <v>7658</v>
      </c>
      <c r="D41" s="348">
        <f>'- 9 -'!D41</f>
        <v>15.646347442392548</v>
      </c>
      <c r="E41" s="15">
        <f>'- 54 -'!G41</f>
        <v>112949</v>
      </c>
      <c r="F41" s="348">
        <f>'- 52 -'!H41</f>
        <v>21.933197255841257</v>
      </c>
    </row>
    <row r="42" spans="1:6" ht="12.75">
      <c r="A42" s="16">
        <v>36</v>
      </c>
      <c r="B42" s="17" t="s">
        <v>146</v>
      </c>
      <c r="C42" s="17">
        <f>'- 4 -'!F42</f>
        <v>8169</v>
      </c>
      <c r="D42" s="349">
        <f>'- 9 -'!D42</f>
        <v>12.808219178082192</v>
      </c>
      <c r="E42" s="17">
        <f>'- 54 -'!G42</f>
        <v>142916</v>
      </c>
      <c r="F42" s="349">
        <f>'- 52 -'!H42</f>
        <v>19.78000111195173</v>
      </c>
    </row>
    <row r="43" spans="1:6" ht="12.75">
      <c r="A43" s="14">
        <v>37</v>
      </c>
      <c r="B43" s="15" t="s">
        <v>147</v>
      </c>
      <c r="C43" s="15">
        <f>'- 4 -'!F43</f>
        <v>7492</v>
      </c>
      <c r="D43" s="348">
        <f>'- 9 -'!D43</f>
        <v>14.185076923076922</v>
      </c>
      <c r="E43" s="15">
        <f>'- 54 -'!G43</f>
        <v>131429</v>
      </c>
      <c r="F43" s="348">
        <f>'- 52 -'!H43</f>
        <v>19.00309963109298</v>
      </c>
    </row>
    <row r="44" spans="1:6" ht="12.75">
      <c r="A44" s="16">
        <v>38</v>
      </c>
      <c r="B44" s="17" t="s">
        <v>148</v>
      </c>
      <c r="C44" s="17">
        <f>'- 4 -'!F44</f>
        <v>7668</v>
      </c>
      <c r="D44" s="349">
        <f>'- 9 -'!D44</f>
        <v>14.113098115031415</v>
      </c>
      <c r="E44" s="17">
        <f>'- 54 -'!G44</f>
        <v>162424</v>
      </c>
      <c r="F44" s="349">
        <f>'- 52 -'!H44</f>
        <v>19.01882231368904</v>
      </c>
    </row>
    <row r="45" spans="1:6" ht="12.75">
      <c r="A45" s="14">
        <v>39</v>
      </c>
      <c r="B45" s="15" t="s">
        <v>149</v>
      </c>
      <c r="C45" s="15">
        <f>'- 4 -'!F45</f>
        <v>7583</v>
      </c>
      <c r="D45" s="348">
        <f>'- 9 -'!D45</f>
        <v>14.253716147424152</v>
      </c>
      <c r="E45" s="15">
        <f>'- 54 -'!G45</f>
        <v>144855</v>
      </c>
      <c r="F45" s="348">
        <f>'- 52 -'!H45</f>
        <v>18.878344133151845</v>
      </c>
    </row>
    <row r="46" spans="1:6" ht="12.75">
      <c r="A46" s="16">
        <v>40</v>
      </c>
      <c r="B46" s="17" t="s">
        <v>150</v>
      </c>
      <c r="C46" s="17">
        <f>'- 4 -'!F46</f>
        <v>6305</v>
      </c>
      <c r="D46" s="349">
        <f>'- 9 -'!D46</f>
        <v>15.353579355695231</v>
      </c>
      <c r="E46" s="17">
        <f>'- 54 -'!G46</f>
        <v>141908</v>
      </c>
      <c r="F46" s="349">
        <f>'- 52 -'!H46</f>
        <v>16.543246185663662</v>
      </c>
    </row>
    <row r="47" spans="1:6" ht="12.75">
      <c r="A47" s="14">
        <v>41</v>
      </c>
      <c r="B47" s="15" t="s">
        <v>151</v>
      </c>
      <c r="C47" s="15">
        <f>'- 4 -'!F47</f>
        <v>7695</v>
      </c>
      <c r="D47" s="348">
        <f>'- 9 -'!D47</f>
        <v>13.845276730111395</v>
      </c>
      <c r="E47" s="15">
        <f>'- 54 -'!G47</f>
        <v>162225</v>
      </c>
      <c r="F47" s="348">
        <f>'- 52 -'!H47</f>
        <v>18.778663871560646</v>
      </c>
    </row>
    <row r="48" spans="1:6" ht="12.75">
      <c r="A48" s="16">
        <v>42</v>
      </c>
      <c r="B48" s="17" t="s">
        <v>152</v>
      </c>
      <c r="C48" s="17">
        <f>'- 4 -'!F48</f>
        <v>7715</v>
      </c>
      <c r="D48" s="349">
        <f>'- 9 -'!D48</f>
        <v>14.870658853794483</v>
      </c>
      <c r="E48" s="17">
        <f>'- 54 -'!G48</f>
        <v>156320</v>
      </c>
      <c r="F48" s="349">
        <f>'- 52 -'!H48</f>
        <v>18.88870053411918</v>
      </c>
    </row>
    <row r="49" spans="1:6" ht="12.75">
      <c r="A49" s="14">
        <v>43</v>
      </c>
      <c r="B49" s="15" t="s">
        <v>153</v>
      </c>
      <c r="C49" s="15">
        <f>'- 4 -'!F49</f>
        <v>8190</v>
      </c>
      <c r="D49" s="348">
        <f>'- 9 -'!D49</f>
        <v>13.804444444444444</v>
      </c>
      <c r="E49" s="15">
        <f>'- 54 -'!G49</f>
        <v>181357</v>
      </c>
      <c r="F49" s="348">
        <f>'- 52 -'!H49</f>
        <v>19.515748328661893</v>
      </c>
    </row>
    <row r="50" spans="1:6" ht="12.75">
      <c r="A50" s="16">
        <v>44</v>
      </c>
      <c r="B50" s="17" t="s">
        <v>154</v>
      </c>
      <c r="C50" s="17">
        <f>'- 4 -'!F50</f>
        <v>7371</v>
      </c>
      <c r="D50" s="349">
        <f>'- 9 -'!D50</f>
        <v>13.569634384593915</v>
      </c>
      <c r="E50" s="17">
        <f>'- 54 -'!G50</f>
        <v>142363</v>
      </c>
      <c r="F50" s="349">
        <f>'- 52 -'!H50</f>
        <v>20.001635171968715</v>
      </c>
    </row>
    <row r="51" spans="1:6" ht="12.75">
      <c r="A51" s="14">
        <v>45</v>
      </c>
      <c r="B51" s="15" t="s">
        <v>155</v>
      </c>
      <c r="C51" s="15">
        <f>'- 4 -'!F51</f>
        <v>6372</v>
      </c>
      <c r="D51" s="348">
        <f>'- 9 -'!D51</f>
        <v>16.8615549406409</v>
      </c>
      <c r="E51" s="15">
        <f>'- 54 -'!G51</f>
        <v>81605</v>
      </c>
      <c r="F51" s="348">
        <f>'- 52 -'!H51</f>
        <v>21.015481098939144</v>
      </c>
    </row>
    <row r="52" spans="1:6" ht="12.75">
      <c r="A52" s="16">
        <v>46</v>
      </c>
      <c r="B52" s="17" t="s">
        <v>156</v>
      </c>
      <c r="C52" s="17">
        <f>'- 4 -'!F52</f>
        <v>7064</v>
      </c>
      <c r="D52" s="349">
        <f>'- 9 -'!D52</f>
        <v>16.183288409703504</v>
      </c>
      <c r="E52" s="17">
        <f>'- 54 -'!G52</f>
        <v>80618</v>
      </c>
      <c r="F52" s="349">
        <f>'- 52 -'!H52</f>
        <v>22.787527084506486</v>
      </c>
    </row>
    <row r="53" spans="1:6" ht="12.75">
      <c r="A53" s="14">
        <v>47</v>
      </c>
      <c r="B53" s="15" t="s">
        <v>157</v>
      </c>
      <c r="C53" s="15">
        <f>'- 4 -'!F53</f>
        <v>6622</v>
      </c>
      <c r="D53" s="348">
        <f>'- 9 -'!D53</f>
        <v>16.45408163265306</v>
      </c>
      <c r="E53" s="15">
        <f>'- 54 -'!G53</f>
        <v>115504</v>
      </c>
      <c r="F53" s="348">
        <f>'- 52 -'!H53</f>
        <v>19.42040756612449</v>
      </c>
    </row>
    <row r="54" spans="1:6" ht="12.75">
      <c r="A54" s="16">
        <v>48</v>
      </c>
      <c r="B54" s="17" t="s">
        <v>158</v>
      </c>
      <c r="C54" s="17">
        <f>'- 4 -'!F54</f>
        <v>11842</v>
      </c>
      <c r="D54" s="349">
        <f>'- 9 -'!D54</f>
        <v>12.63019565852234</v>
      </c>
      <c r="E54" s="17">
        <f>'- 54 -'!G54</f>
        <v>24849</v>
      </c>
      <c r="F54" s="349">
        <f>'- 52 -'!H54</f>
        <v>20.46969816277691</v>
      </c>
    </row>
    <row r="55" spans="1:6" ht="12.75">
      <c r="A55" s="14">
        <v>49</v>
      </c>
      <c r="B55" s="15" t="s">
        <v>159</v>
      </c>
      <c r="C55" s="15">
        <f>'- 4 -'!F55</f>
        <v>9241</v>
      </c>
      <c r="D55" s="348">
        <f>'- 9 -'!D55</f>
        <v>12.645658713238518</v>
      </c>
      <c r="E55" s="15">
        <f>'- 54 -'!G55</f>
        <v>118917</v>
      </c>
      <c r="F55" s="348"/>
    </row>
    <row r="56" spans="1:6" ht="12.75">
      <c r="A56" s="16">
        <v>50</v>
      </c>
      <c r="B56" s="17" t="s">
        <v>340</v>
      </c>
      <c r="C56" s="17">
        <f>'- 4 -'!F56</f>
        <v>8373</v>
      </c>
      <c r="D56" s="349">
        <f>'- 9 -'!D56</f>
        <v>13.799599198396791</v>
      </c>
      <c r="E56" s="17">
        <f>'- 54 -'!G56</f>
        <v>142838</v>
      </c>
      <c r="F56" s="349">
        <f>'- 52 -'!H56</f>
        <v>21.20034328261753</v>
      </c>
    </row>
    <row r="57" spans="1:6" ht="12.75">
      <c r="A57" s="14">
        <v>2264</v>
      </c>
      <c r="B57" s="15" t="s">
        <v>160</v>
      </c>
      <c r="C57" s="15">
        <f>'- 4 -'!F57</f>
        <v>9702</v>
      </c>
      <c r="D57" s="348">
        <f>'- 9 -'!D57</f>
        <v>12.599388379204894</v>
      </c>
      <c r="E57" s="15">
        <f>'- 54 -'!G57</f>
        <v>106660</v>
      </c>
      <c r="F57" s="348">
        <f>'- 52 -'!H57</f>
        <v>22.972122058491355</v>
      </c>
    </row>
    <row r="58" spans="1:6" ht="12.75">
      <c r="A58" s="16">
        <v>2309</v>
      </c>
      <c r="B58" s="17" t="s">
        <v>161</v>
      </c>
      <c r="C58" s="17">
        <f>'- 4 -'!F58</f>
        <v>8045</v>
      </c>
      <c r="D58" s="349">
        <f>'- 9 -'!D58</f>
        <v>13.957333333333333</v>
      </c>
      <c r="E58" s="17">
        <f>'- 54 -'!G58</f>
        <v>56601</v>
      </c>
      <c r="F58" s="349">
        <f>'- 52 -'!H58</f>
        <v>27.636571782501203</v>
      </c>
    </row>
    <row r="59" spans="1:6" ht="12.75">
      <c r="A59" s="14">
        <v>2312</v>
      </c>
      <c r="B59" s="15" t="s">
        <v>162</v>
      </c>
      <c r="C59" s="15">
        <f>'- 4 -'!F59</f>
        <v>8987</v>
      </c>
      <c r="D59" s="348">
        <f>'- 9 -'!D59</f>
        <v>12.392857142857142</v>
      </c>
      <c r="E59" s="15">
        <f>'- 54 -'!G59</f>
        <v>13704</v>
      </c>
      <c r="F59" s="348">
        <f>'- 52 -'!H59</f>
        <v>42.925455653711765</v>
      </c>
    </row>
    <row r="60" spans="1:6" ht="12.75">
      <c r="A60" s="16">
        <v>2355</v>
      </c>
      <c r="B60" s="17" t="s">
        <v>163</v>
      </c>
      <c r="C60" s="17">
        <f>'- 4 -'!F60</f>
        <v>7659</v>
      </c>
      <c r="D60" s="349">
        <f>'- 9 -'!D60</f>
        <v>14.301878736122971</v>
      </c>
      <c r="E60" s="17">
        <f>'- 54 -'!G60</f>
        <v>71572</v>
      </c>
      <c r="F60" s="349">
        <f>'- 52 -'!H60</f>
        <v>32.66269617330978</v>
      </c>
    </row>
    <row r="61" spans="1:6" ht="12.75">
      <c r="A61" s="14">
        <v>2439</v>
      </c>
      <c r="B61" s="15" t="s">
        <v>164</v>
      </c>
      <c r="C61" s="15">
        <f>'- 4 -'!F61</f>
        <v>8571</v>
      </c>
      <c r="D61" s="348">
        <f>'- 9 -'!D61</f>
        <v>13.489361702127658</v>
      </c>
      <c r="E61" s="15">
        <f>'- 54 -'!G61</f>
        <v>99672</v>
      </c>
      <c r="F61" s="348">
        <f>'- 52 -'!H61</f>
        <v>18.7805531829829</v>
      </c>
    </row>
    <row r="62" spans="1:6" ht="12.75">
      <c r="A62" s="16">
        <v>2460</v>
      </c>
      <c r="B62" s="17" t="s">
        <v>165</v>
      </c>
      <c r="C62" s="17">
        <f>'- 4 -'!F62</f>
        <v>7902</v>
      </c>
      <c r="D62" s="349">
        <f>'- 9 -'!D62</f>
        <v>19.442857142857143</v>
      </c>
      <c r="E62" s="17">
        <f>'- 54 -'!G62</f>
        <v>52324</v>
      </c>
      <c r="F62" s="349">
        <f>'- 52 -'!H62</f>
        <v>35.5146493302956</v>
      </c>
    </row>
    <row r="63" spans="1:6" ht="4.5" customHeight="1">
      <c r="A63" s="18"/>
      <c r="B63" s="18"/>
      <c r="C63" s="18"/>
      <c r="D63" s="350"/>
      <c r="E63" s="18"/>
      <c r="F63" s="350"/>
    </row>
    <row r="64" spans="1:6" ht="12.75">
      <c r="A64" s="20"/>
      <c r="B64" s="21" t="s">
        <v>166</v>
      </c>
      <c r="C64" s="21">
        <f>'- 4 -'!F65</f>
        <v>7403</v>
      </c>
      <c r="D64" s="351">
        <f>'- 9 -'!D65</f>
        <v>14.861775556906222</v>
      </c>
      <c r="E64" s="21">
        <f>'- 54 -'!G65</f>
        <v>128105</v>
      </c>
      <c r="F64" s="351">
        <f>'- 52 -'!H65</f>
        <v>21.739853036356845</v>
      </c>
    </row>
    <row r="65" spans="1:6" ht="4.5" customHeight="1">
      <c r="A65" s="18"/>
      <c r="B65" s="18"/>
      <c r="C65" s="18"/>
      <c r="D65" s="350"/>
      <c r="E65" s="18"/>
      <c r="F65" s="350"/>
    </row>
    <row r="66" spans="1:6" ht="12.75">
      <c r="A66" s="16">
        <v>2155</v>
      </c>
      <c r="B66" s="17" t="s">
        <v>167</v>
      </c>
      <c r="C66" s="17">
        <f>'- 4 -'!F67</f>
        <v>9341</v>
      </c>
      <c r="D66" s="349">
        <f>'- 9 -'!D67</f>
        <v>12.347826086956522</v>
      </c>
      <c r="E66" s="17"/>
      <c r="F66" s="349"/>
    </row>
    <row r="67" spans="1:6" ht="12.75">
      <c r="A67" s="14">
        <v>2408</v>
      </c>
      <c r="B67" s="15" t="s">
        <v>169</v>
      </c>
      <c r="C67" s="15">
        <f>'- 4 -'!F68</f>
        <v>9402</v>
      </c>
      <c r="D67" s="348">
        <f>'- 9 -'!D68</f>
        <v>9.179834462001505</v>
      </c>
      <c r="E67" s="15"/>
      <c r="F67" s="348"/>
    </row>
    <row r="68" ht="6.75" customHeight="1"/>
    <row r="69" spans="1:5" ht="12" customHeight="1">
      <c r="A69" s="396" t="s">
        <v>351</v>
      </c>
      <c r="B69" s="271" t="s">
        <v>356</v>
      </c>
      <c r="C69" s="123"/>
      <c r="D69" s="123"/>
      <c r="E69" s="123"/>
    </row>
    <row r="70" spans="1:5" ht="12" customHeight="1">
      <c r="A70" s="396" t="s">
        <v>352</v>
      </c>
      <c r="B70" s="271" t="s">
        <v>355</v>
      </c>
      <c r="C70" s="123"/>
      <c r="D70" s="123"/>
      <c r="E70" s="123"/>
    </row>
    <row r="71" spans="1:5" ht="12" customHeight="1">
      <c r="A71" s="396" t="s">
        <v>353</v>
      </c>
      <c r="B71" s="271" t="s">
        <v>466</v>
      </c>
      <c r="C71" s="123"/>
      <c r="D71" s="123"/>
      <c r="E71" s="123"/>
    </row>
    <row r="72" spans="1:5" ht="12" customHeight="1">
      <c r="A72" s="396" t="s">
        <v>354</v>
      </c>
      <c r="B72" s="271" t="s">
        <v>467</v>
      </c>
      <c r="C72" s="123"/>
      <c r="D72" s="123"/>
      <c r="E72" s="123"/>
    </row>
    <row r="73" spans="1:5" ht="12" customHeight="1">
      <c r="A73" s="397"/>
      <c r="B73" s="271"/>
      <c r="C73" s="123"/>
      <c r="D73" s="123"/>
      <c r="E73" s="123"/>
    </row>
    <row r="74" ht="12.75">
      <c r="B74" s="271"/>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I74"/>
  <sheetViews>
    <sheetView showGridLines="0" showZeros="0" workbookViewId="0" topLeftCell="A1">
      <selection activeCell="A1" sqref="A1"/>
    </sheetView>
  </sheetViews>
  <sheetFormatPr defaultColWidth="16.83203125" defaultRowHeight="12"/>
  <cols>
    <col min="1" max="1" width="6.83203125" style="82" customWidth="1"/>
    <col min="2" max="2" width="32.83203125" style="82" customWidth="1"/>
    <col min="3" max="5" width="17.83203125" style="82" customWidth="1"/>
    <col min="6" max="6" width="3.83203125" style="82" customWidth="1"/>
    <col min="7" max="7" width="17.83203125" style="82" customWidth="1"/>
    <col min="8" max="8" width="3.83203125" style="82" customWidth="1"/>
    <col min="9" max="9" width="17.83203125" style="82" customWidth="1"/>
    <col min="10" max="16384" width="16.83203125" style="82" customWidth="1"/>
  </cols>
  <sheetData>
    <row r="1" spans="2:9" ht="6.75" customHeight="1">
      <c r="B1" s="80"/>
      <c r="C1" s="142"/>
      <c r="D1" s="142"/>
      <c r="E1" s="142"/>
      <c r="F1" s="142"/>
      <c r="G1" s="142"/>
      <c r="H1" s="142"/>
      <c r="I1" s="142"/>
    </row>
    <row r="2" spans="1:9" ht="12.75">
      <c r="A2" s="9"/>
      <c r="B2" s="83"/>
      <c r="C2" s="200" t="s">
        <v>308</v>
      </c>
      <c r="D2" s="200"/>
      <c r="E2" s="200"/>
      <c r="F2" s="200"/>
      <c r="G2" s="200"/>
      <c r="H2" s="215"/>
      <c r="I2" s="215"/>
    </row>
    <row r="3" spans="1:9" ht="12.75">
      <c r="A3" s="10"/>
      <c r="B3" s="86"/>
      <c r="C3" s="273" t="str">
        <f>"ACTUAL AND ESTIMATES FOR THE "&amp;REPLACE(YEAR,1,22,"")&amp;" BUDGET"</f>
        <v>ACTUAL AND ESTIMATES FOR THE 2002/2003 BUDGET</v>
      </c>
      <c r="D3" s="203"/>
      <c r="E3" s="203"/>
      <c r="F3" s="203"/>
      <c r="G3" s="203"/>
      <c r="H3" s="216"/>
      <c r="I3" s="216"/>
    </row>
    <row r="4" spans="1:9" ht="12" customHeight="1">
      <c r="A4" s="11"/>
      <c r="C4" s="142"/>
      <c r="D4" s="142"/>
      <c r="E4" s="142"/>
      <c r="F4" s="142"/>
      <c r="G4" s="142"/>
      <c r="H4" s="142"/>
      <c r="I4" s="142"/>
    </row>
    <row r="5" spans="1:9" ht="12" customHeight="1">
      <c r="A5" s="11"/>
      <c r="C5" s="142"/>
      <c r="D5" s="142"/>
      <c r="E5" s="142"/>
      <c r="F5" s="142"/>
      <c r="G5" s="142"/>
      <c r="H5" s="142"/>
      <c r="I5" s="142"/>
    </row>
    <row r="6" spans="1:9" ht="16.5">
      <c r="A6" s="11"/>
      <c r="C6" s="190" t="s">
        <v>398</v>
      </c>
      <c r="D6" s="193"/>
      <c r="E6" s="267"/>
      <c r="F6" s="305"/>
      <c r="G6" s="306" t="s">
        <v>395</v>
      </c>
      <c r="H6" s="230"/>
      <c r="I6" s="306" t="s">
        <v>394</v>
      </c>
    </row>
    <row r="7" spans="3:9" ht="12.75">
      <c r="C7" s="125" t="s">
        <v>346</v>
      </c>
      <c r="D7" s="107"/>
      <c r="E7" s="132"/>
      <c r="G7" s="381" t="s">
        <v>347</v>
      </c>
      <c r="I7" s="381" t="s">
        <v>346</v>
      </c>
    </row>
    <row r="8" spans="1:9" ht="12.75">
      <c r="A8" s="94"/>
      <c r="B8" s="46"/>
      <c r="C8" s="307" t="s">
        <v>88</v>
      </c>
      <c r="D8" s="208" t="s">
        <v>89</v>
      </c>
      <c r="E8" s="207" t="s">
        <v>90</v>
      </c>
      <c r="F8" s="305"/>
      <c r="G8" s="307" t="s">
        <v>87</v>
      </c>
      <c r="H8" s="230"/>
      <c r="I8" s="307" t="s">
        <v>90</v>
      </c>
    </row>
    <row r="9" spans="1:9" ht="12.75">
      <c r="A9" s="52" t="s">
        <v>100</v>
      </c>
      <c r="B9" s="53" t="s">
        <v>101</v>
      </c>
      <c r="C9" s="75" t="s">
        <v>309</v>
      </c>
      <c r="D9" s="76" t="s">
        <v>309</v>
      </c>
      <c r="E9" s="76" t="s">
        <v>309</v>
      </c>
      <c r="F9" s="124"/>
      <c r="G9" s="75" t="s">
        <v>309</v>
      </c>
      <c r="I9" s="75" t="s">
        <v>309</v>
      </c>
    </row>
    <row r="10" spans="1:2" ht="4.5" customHeight="1">
      <c r="A10" s="77"/>
      <c r="B10" s="77"/>
    </row>
    <row r="11" spans="1:9" ht="12.75">
      <c r="A11" s="14">
        <v>1</v>
      </c>
      <c r="B11" s="15" t="s">
        <v>115</v>
      </c>
      <c r="C11" s="15">
        <v>34054</v>
      </c>
      <c r="D11" s="15">
        <v>1837</v>
      </c>
      <c r="E11" s="15">
        <f aca="true" t="shared" si="0" ref="E11:E63">C11-D11</f>
        <v>32217</v>
      </c>
      <c r="G11" s="348">
        <f>'- 7 -'!G11</f>
        <v>30918</v>
      </c>
      <c r="H11" s="308"/>
      <c r="I11" s="348">
        <v>30544.9</v>
      </c>
    </row>
    <row r="12" spans="1:9" ht="12.75">
      <c r="A12" s="16">
        <v>2</v>
      </c>
      <c r="B12" s="17" t="s">
        <v>116</v>
      </c>
      <c r="C12" s="17">
        <v>9458</v>
      </c>
      <c r="D12" s="17">
        <v>0</v>
      </c>
      <c r="E12" s="17">
        <f t="shared" si="0"/>
        <v>9458</v>
      </c>
      <c r="G12" s="349">
        <f>'- 7 -'!G12</f>
        <v>9145.8</v>
      </c>
      <c r="H12" s="308"/>
      <c r="I12" s="349">
        <v>9087.5</v>
      </c>
    </row>
    <row r="13" spans="1:9" ht="12.75">
      <c r="A13" s="14">
        <v>3</v>
      </c>
      <c r="B13" s="15" t="s">
        <v>117</v>
      </c>
      <c r="C13" s="15">
        <v>6679</v>
      </c>
      <c r="D13" s="15">
        <v>0</v>
      </c>
      <c r="E13" s="15">
        <f t="shared" si="0"/>
        <v>6679</v>
      </c>
      <c r="G13" s="348">
        <f>'- 7 -'!G13</f>
        <v>5745.5</v>
      </c>
      <c r="H13" s="308"/>
      <c r="I13" s="348">
        <v>6327.4</v>
      </c>
    </row>
    <row r="14" spans="1:9" ht="12.75">
      <c r="A14" s="16">
        <v>4</v>
      </c>
      <c r="B14" s="17" t="s">
        <v>118</v>
      </c>
      <c r="C14" s="17">
        <v>6206</v>
      </c>
      <c r="D14" s="17">
        <v>0</v>
      </c>
      <c r="E14" s="17">
        <f t="shared" si="0"/>
        <v>6206</v>
      </c>
      <c r="G14" s="349">
        <f>'- 7 -'!G14</f>
        <v>6229</v>
      </c>
      <c r="H14" s="308"/>
      <c r="I14" s="349">
        <v>5911.8</v>
      </c>
    </row>
    <row r="15" spans="1:9" ht="12.75">
      <c r="A15" s="14">
        <v>5</v>
      </c>
      <c r="B15" s="15" t="s">
        <v>119</v>
      </c>
      <c r="C15" s="15">
        <v>7545</v>
      </c>
      <c r="D15" s="15">
        <v>0</v>
      </c>
      <c r="E15" s="15">
        <f t="shared" si="0"/>
        <v>7545</v>
      </c>
      <c r="G15" s="348">
        <f>'- 7 -'!G15</f>
        <v>7228.5</v>
      </c>
      <c r="H15" s="308"/>
      <c r="I15" s="348">
        <v>7162.7</v>
      </c>
    </row>
    <row r="16" spans="1:9" ht="12.75">
      <c r="A16" s="16">
        <v>6</v>
      </c>
      <c r="B16" s="17" t="s">
        <v>120</v>
      </c>
      <c r="C16" s="17">
        <v>9284</v>
      </c>
      <c r="D16" s="17">
        <v>0</v>
      </c>
      <c r="E16" s="17">
        <f t="shared" si="0"/>
        <v>9284</v>
      </c>
      <c r="G16" s="349">
        <f>'- 7 -'!G16</f>
        <v>8887.5</v>
      </c>
      <c r="H16" s="308"/>
      <c r="I16" s="349">
        <v>8940.8</v>
      </c>
    </row>
    <row r="17" spans="1:9" ht="12.75">
      <c r="A17" s="14">
        <v>9</v>
      </c>
      <c r="B17" s="15" t="s">
        <v>121</v>
      </c>
      <c r="C17" s="15">
        <v>12951</v>
      </c>
      <c r="D17" s="15">
        <v>0</v>
      </c>
      <c r="E17" s="15">
        <f t="shared" si="0"/>
        <v>12951</v>
      </c>
      <c r="G17" s="348">
        <f>'- 7 -'!G17</f>
        <v>12405</v>
      </c>
      <c r="H17" s="308"/>
      <c r="I17" s="348">
        <v>12458.2</v>
      </c>
    </row>
    <row r="18" spans="1:9" ht="12.75">
      <c r="A18" s="16">
        <v>10</v>
      </c>
      <c r="B18" s="17" t="s">
        <v>122</v>
      </c>
      <c r="C18" s="17">
        <v>8876</v>
      </c>
      <c r="D18" s="17">
        <v>0</v>
      </c>
      <c r="E18" s="17">
        <f t="shared" si="0"/>
        <v>8876</v>
      </c>
      <c r="G18" s="349">
        <f>'- 7 -'!G18</f>
        <v>8624.5</v>
      </c>
      <c r="H18" s="308"/>
      <c r="I18" s="349">
        <v>8512.9</v>
      </c>
    </row>
    <row r="19" spans="1:9" ht="12.75">
      <c r="A19" s="14">
        <v>11</v>
      </c>
      <c r="B19" s="15" t="s">
        <v>123</v>
      </c>
      <c r="C19" s="15">
        <v>4922</v>
      </c>
      <c r="D19" s="15">
        <v>0</v>
      </c>
      <c r="E19" s="15">
        <f t="shared" si="0"/>
        <v>4922</v>
      </c>
      <c r="G19" s="348">
        <f>'- 7 -'!G19</f>
        <v>4697</v>
      </c>
      <c r="H19" s="308"/>
      <c r="I19" s="348">
        <v>4665.5</v>
      </c>
    </row>
    <row r="20" spans="1:9" ht="12.75">
      <c r="A20" s="16">
        <v>12</v>
      </c>
      <c r="B20" s="17" t="s">
        <v>124</v>
      </c>
      <c r="C20" s="17">
        <v>7987</v>
      </c>
      <c r="D20" s="17">
        <v>0</v>
      </c>
      <c r="E20" s="17">
        <f t="shared" si="0"/>
        <v>7987</v>
      </c>
      <c r="G20" s="349">
        <f>'- 7 -'!G20</f>
        <v>7634</v>
      </c>
      <c r="H20" s="308"/>
      <c r="I20" s="349">
        <v>7713.8</v>
      </c>
    </row>
    <row r="21" spans="1:9" ht="12.75">
      <c r="A21" s="14">
        <v>13</v>
      </c>
      <c r="B21" s="15" t="s">
        <v>125</v>
      </c>
      <c r="C21" s="15">
        <v>2772</v>
      </c>
      <c r="D21" s="15">
        <v>0</v>
      </c>
      <c r="E21" s="15">
        <f t="shared" si="0"/>
        <v>2772</v>
      </c>
      <c r="G21" s="348">
        <f>'- 7 -'!G21</f>
        <v>2620</v>
      </c>
      <c r="H21" s="308"/>
      <c r="I21" s="348">
        <v>2587.2</v>
      </c>
    </row>
    <row r="22" spans="1:9" ht="12.75">
      <c r="A22" s="16">
        <v>14</v>
      </c>
      <c r="B22" s="17" t="s">
        <v>126</v>
      </c>
      <c r="C22" s="17">
        <v>3626</v>
      </c>
      <c r="D22" s="17">
        <v>0</v>
      </c>
      <c r="E22" s="17">
        <f t="shared" si="0"/>
        <v>3626</v>
      </c>
      <c r="G22" s="349">
        <f>'- 7 -'!G22</f>
        <v>3424</v>
      </c>
      <c r="H22" s="308"/>
      <c r="I22" s="349">
        <v>3493.7</v>
      </c>
    </row>
    <row r="23" spans="1:9" ht="12.75">
      <c r="A23" s="14">
        <v>15</v>
      </c>
      <c r="B23" s="15" t="s">
        <v>127</v>
      </c>
      <c r="C23" s="15">
        <v>6236</v>
      </c>
      <c r="D23" s="15">
        <v>0</v>
      </c>
      <c r="E23" s="15">
        <f t="shared" si="0"/>
        <v>6236</v>
      </c>
      <c r="G23" s="348">
        <f>'- 7 -'!G23</f>
        <v>6072</v>
      </c>
      <c r="H23" s="308"/>
      <c r="I23" s="348">
        <v>5981.7</v>
      </c>
    </row>
    <row r="24" spans="1:9" ht="12.75">
      <c r="A24" s="16">
        <v>16</v>
      </c>
      <c r="B24" s="17" t="s">
        <v>128</v>
      </c>
      <c r="C24" s="17">
        <v>827</v>
      </c>
      <c r="D24" s="17">
        <v>0</v>
      </c>
      <c r="E24" s="17">
        <f t="shared" si="0"/>
        <v>827</v>
      </c>
      <c r="G24" s="349">
        <f>'- 7 -'!G24</f>
        <v>832</v>
      </c>
      <c r="H24" s="308"/>
      <c r="I24" s="349">
        <v>760.5</v>
      </c>
    </row>
    <row r="25" spans="1:9" ht="12.75">
      <c r="A25" s="14">
        <v>17</v>
      </c>
      <c r="B25" s="15" t="s">
        <v>129</v>
      </c>
      <c r="C25" s="15">
        <v>505</v>
      </c>
      <c r="D25" s="15">
        <v>0</v>
      </c>
      <c r="E25" s="15">
        <f t="shared" si="0"/>
        <v>505</v>
      </c>
      <c r="G25" s="348">
        <f>'- 7 -'!G25</f>
        <v>489.9</v>
      </c>
      <c r="H25" s="308"/>
      <c r="I25" s="348">
        <v>474.9</v>
      </c>
    </row>
    <row r="26" spans="1:9" ht="12.75">
      <c r="A26" s="16">
        <v>18</v>
      </c>
      <c r="B26" s="17" t="s">
        <v>130</v>
      </c>
      <c r="C26" s="17">
        <v>1459</v>
      </c>
      <c r="D26" s="17">
        <v>0</v>
      </c>
      <c r="E26" s="17">
        <f t="shared" si="0"/>
        <v>1459</v>
      </c>
      <c r="G26" s="349">
        <f>'- 7 -'!G26</f>
        <v>1400</v>
      </c>
      <c r="H26" s="308"/>
      <c r="I26" s="349">
        <v>1390.1</v>
      </c>
    </row>
    <row r="27" spans="1:9" ht="12.75">
      <c r="A27" s="14">
        <v>19</v>
      </c>
      <c r="B27" s="15" t="s">
        <v>131</v>
      </c>
      <c r="C27" s="15">
        <v>1898</v>
      </c>
      <c r="D27" s="15">
        <v>0</v>
      </c>
      <c r="E27" s="15">
        <f t="shared" si="0"/>
        <v>1898</v>
      </c>
      <c r="G27" s="348">
        <f>'- 7 -'!G27</f>
        <v>1813.5</v>
      </c>
      <c r="H27" s="308"/>
      <c r="I27" s="348">
        <v>1833.2</v>
      </c>
    </row>
    <row r="28" spans="1:9" ht="12.75">
      <c r="A28" s="16">
        <v>20</v>
      </c>
      <c r="B28" s="17" t="s">
        <v>132</v>
      </c>
      <c r="C28" s="17">
        <v>993</v>
      </c>
      <c r="D28" s="17">
        <v>0</v>
      </c>
      <c r="E28" s="17">
        <f t="shared" si="0"/>
        <v>993</v>
      </c>
      <c r="G28" s="349">
        <f>'- 7 -'!G28</f>
        <v>952.9000000000001</v>
      </c>
      <c r="H28" s="308"/>
      <c r="I28" s="349">
        <v>952.9</v>
      </c>
    </row>
    <row r="29" spans="1:9" ht="12.75">
      <c r="A29" s="14">
        <v>21</v>
      </c>
      <c r="B29" s="15" t="s">
        <v>133</v>
      </c>
      <c r="C29" s="15">
        <v>3549</v>
      </c>
      <c r="D29" s="15">
        <v>0</v>
      </c>
      <c r="E29" s="15">
        <f t="shared" si="0"/>
        <v>3549</v>
      </c>
      <c r="G29" s="348">
        <f>'- 7 -'!G29</f>
        <v>3351</v>
      </c>
      <c r="H29" s="308"/>
      <c r="I29" s="348">
        <v>3417.2</v>
      </c>
    </row>
    <row r="30" spans="1:9" ht="12.75">
      <c r="A30" s="16">
        <v>22</v>
      </c>
      <c r="B30" s="17" t="s">
        <v>134</v>
      </c>
      <c r="C30" s="17">
        <v>1718</v>
      </c>
      <c r="D30" s="17">
        <v>0</v>
      </c>
      <c r="E30" s="17">
        <f t="shared" si="0"/>
        <v>1718</v>
      </c>
      <c r="G30" s="349">
        <f>'- 7 -'!G30</f>
        <v>1649.5</v>
      </c>
      <c r="H30" s="308"/>
      <c r="I30" s="349">
        <v>1634.6</v>
      </c>
    </row>
    <row r="31" spans="1:9" ht="12.75">
      <c r="A31" s="14">
        <v>23</v>
      </c>
      <c r="B31" s="15" t="s">
        <v>135</v>
      </c>
      <c r="C31" s="15">
        <v>1486</v>
      </c>
      <c r="D31" s="15">
        <v>0</v>
      </c>
      <c r="E31" s="15">
        <f t="shared" si="0"/>
        <v>1486</v>
      </c>
      <c r="G31" s="348">
        <f>'- 7 -'!G31</f>
        <v>1414</v>
      </c>
      <c r="H31" s="308"/>
      <c r="I31" s="348">
        <v>1382.5</v>
      </c>
    </row>
    <row r="32" spans="1:9" ht="12.75">
      <c r="A32" s="16">
        <v>24</v>
      </c>
      <c r="B32" s="17" t="s">
        <v>136</v>
      </c>
      <c r="C32" s="17">
        <v>3728</v>
      </c>
      <c r="D32" s="17">
        <v>0</v>
      </c>
      <c r="E32" s="17">
        <f t="shared" si="0"/>
        <v>3728</v>
      </c>
      <c r="G32" s="349">
        <f>'- 7 -'!G32</f>
        <v>3497.3</v>
      </c>
      <c r="H32" s="308"/>
      <c r="I32" s="349">
        <v>3485.6</v>
      </c>
    </row>
    <row r="33" spans="1:9" ht="12.75">
      <c r="A33" s="14">
        <v>25</v>
      </c>
      <c r="B33" s="15" t="s">
        <v>137</v>
      </c>
      <c r="C33" s="15">
        <v>1495</v>
      </c>
      <c r="D33" s="15">
        <v>0</v>
      </c>
      <c r="E33" s="15">
        <f t="shared" si="0"/>
        <v>1495</v>
      </c>
      <c r="G33" s="348">
        <f>'- 7 -'!G33</f>
        <v>1398</v>
      </c>
      <c r="H33" s="308"/>
      <c r="I33" s="348">
        <v>1455.9</v>
      </c>
    </row>
    <row r="34" spans="1:9" ht="12.75">
      <c r="A34" s="16">
        <v>26</v>
      </c>
      <c r="B34" s="17" t="s">
        <v>138</v>
      </c>
      <c r="C34" s="17">
        <v>2967</v>
      </c>
      <c r="D34" s="17">
        <v>0</v>
      </c>
      <c r="E34" s="17">
        <f t="shared" si="0"/>
        <v>2967</v>
      </c>
      <c r="G34" s="349">
        <f>'- 7 -'!G34</f>
        <v>2960</v>
      </c>
      <c r="H34" s="308"/>
      <c r="I34" s="349">
        <v>2843.1</v>
      </c>
    </row>
    <row r="35" spans="1:9" ht="12.75">
      <c r="A35" s="14">
        <v>28</v>
      </c>
      <c r="B35" s="15" t="s">
        <v>139</v>
      </c>
      <c r="C35" s="15">
        <v>1056</v>
      </c>
      <c r="D35" s="15">
        <v>0</v>
      </c>
      <c r="E35" s="15">
        <f t="shared" si="0"/>
        <v>1056</v>
      </c>
      <c r="G35" s="348">
        <f>'- 7 -'!G35</f>
        <v>819.5</v>
      </c>
      <c r="H35" s="308"/>
      <c r="I35" s="348">
        <v>866.6</v>
      </c>
    </row>
    <row r="36" spans="1:9" ht="12.75">
      <c r="A36" s="16">
        <v>30</v>
      </c>
      <c r="B36" s="17" t="s">
        <v>140</v>
      </c>
      <c r="C36" s="17">
        <v>1380</v>
      </c>
      <c r="D36" s="17">
        <v>0</v>
      </c>
      <c r="E36" s="17">
        <f t="shared" si="0"/>
        <v>1380</v>
      </c>
      <c r="G36" s="349">
        <f>'- 7 -'!G36</f>
        <v>1301.6</v>
      </c>
      <c r="H36" s="308"/>
      <c r="I36" s="349">
        <v>1307.8</v>
      </c>
    </row>
    <row r="37" spans="1:9" ht="12.75">
      <c r="A37" s="14">
        <v>31</v>
      </c>
      <c r="B37" s="15" t="s">
        <v>141</v>
      </c>
      <c r="C37" s="15">
        <v>1698</v>
      </c>
      <c r="D37" s="15">
        <v>0</v>
      </c>
      <c r="E37" s="15">
        <f t="shared" si="0"/>
        <v>1698</v>
      </c>
      <c r="G37" s="348">
        <f>'- 7 -'!G37</f>
        <v>1620</v>
      </c>
      <c r="H37" s="308"/>
      <c r="I37" s="348">
        <v>1647.2</v>
      </c>
    </row>
    <row r="38" spans="1:9" ht="12.75">
      <c r="A38" s="16">
        <v>32</v>
      </c>
      <c r="B38" s="17" t="s">
        <v>142</v>
      </c>
      <c r="C38" s="17">
        <v>862</v>
      </c>
      <c r="D38" s="17">
        <v>0</v>
      </c>
      <c r="E38" s="17">
        <f t="shared" si="0"/>
        <v>862</v>
      </c>
      <c r="G38" s="349">
        <f>'- 7 -'!G38</f>
        <v>839.5</v>
      </c>
      <c r="H38" s="308"/>
      <c r="I38" s="349">
        <v>824</v>
      </c>
    </row>
    <row r="39" spans="1:9" ht="12.75">
      <c r="A39" s="14">
        <v>33</v>
      </c>
      <c r="B39" s="15" t="s">
        <v>143</v>
      </c>
      <c r="C39" s="15">
        <v>1979</v>
      </c>
      <c r="D39" s="15">
        <v>0</v>
      </c>
      <c r="E39" s="15">
        <f t="shared" si="0"/>
        <v>1979</v>
      </c>
      <c r="G39" s="348">
        <f>'- 7 -'!G39</f>
        <v>1870.1</v>
      </c>
      <c r="H39" s="308"/>
      <c r="I39" s="348">
        <v>1870.1</v>
      </c>
    </row>
    <row r="40" spans="1:9" ht="12.75">
      <c r="A40" s="16">
        <v>34</v>
      </c>
      <c r="B40" s="17" t="s">
        <v>144</v>
      </c>
      <c r="C40" s="17">
        <v>751</v>
      </c>
      <c r="D40" s="17">
        <v>0</v>
      </c>
      <c r="E40" s="17">
        <f t="shared" si="0"/>
        <v>751</v>
      </c>
      <c r="G40" s="349">
        <f>'- 7 -'!G40</f>
        <v>730.5</v>
      </c>
      <c r="H40" s="308"/>
      <c r="I40" s="349">
        <v>674.2</v>
      </c>
    </row>
    <row r="41" spans="1:9" ht="12.75">
      <c r="A41" s="14">
        <v>35</v>
      </c>
      <c r="B41" s="15" t="s">
        <v>145</v>
      </c>
      <c r="C41" s="15">
        <v>1988</v>
      </c>
      <c r="D41" s="15">
        <v>0</v>
      </c>
      <c r="E41" s="15">
        <f t="shared" si="0"/>
        <v>1988</v>
      </c>
      <c r="G41" s="348">
        <f>'- 7 -'!G41</f>
        <v>1914.8</v>
      </c>
      <c r="H41" s="308"/>
      <c r="I41" s="348">
        <v>1835.5</v>
      </c>
    </row>
    <row r="42" spans="1:9" ht="12.75">
      <c r="A42" s="16">
        <v>36</v>
      </c>
      <c r="B42" s="17" t="s">
        <v>146</v>
      </c>
      <c r="C42" s="17">
        <v>1045</v>
      </c>
      <c r="D42" s="17">
        <v>0</v>
      </c>
      <c r="E42" s="17">
        <f t="shared" si="0"/>
        <v>1045</v>
      </c>
      <c r="G42" s="349">
        <f>'- 7 -'!G42</f>
        <v>935</v>
      </c>
      <c r="H42" s="308"/>
      <c r="I42" s="349">
        <v>979.2</v>
      </c>
    </row>
    <row r="43" spans="1:9" ht="12.75">
      <c r="A43" s="14">
        <v>37</v>
      </c>
      <c r="B43" s="15" t="s">
        <v>147</v>
      </c>
      <c r="C43" s="15">
        <v>997</v>
      </c>
      <c r="D43" s="15">
        <v>0</v>
      </c>
      <c r="E43" s="15">
        <f t="shared" si="0"/>
        <v>997</v>
      </c>
      <c r="G43" s="348">
        <f>'- 7 -'!G43</f>
        <v>922.03</v>
      </c>
      <c r="H43" s="308"/>
      <c r="I43" s="348">
        <v>907.7</v>
      </c>
    </row>
    <row r="44" spans="1:9" ht="12.75">
      <c r="A44" s="16">
        <v>38</v>
      </c>
      <c r="B44" s="17" t="s">
        <v>148</v>
      </c>
      <c r="C44" s="17">
        <v>1200</v>
      </c>
      <c r="D44" s="17">
        <v>0</v>
      </c>
      <c r="E44" s="17">
        <f t="shared" si="0"/>
        <v>1200</v>
      </c>
      <c r="G44" s="349">
        <f>'- 7 -'!G44</f>
        <v>1168</v>
      </c>
      <c r="H44" s="308"/>
      <c r="I44" s="349">
        <v>1091.6</v>
      </c>
    </row>
    <row r="45" spans="1:9" ht="12.75">
      <c r="A45" s="14">
        <v>39</v>
      </c>
      <c r="B45" s="15" t="s">
        <v>149</v>
      </c>
      <c r="C45" s="15">
        <v>2213</v>
      </c>
      <c r="D45" s="15">
        <v>0</v>
      </c>
      <c r="E45" s="15">
        <f t="shared" si="0"/>
        <v>2213</v>
      </c>
      <c r="G45" s="348">
        <f>'- 7 -'!G45</f>
        <v>2100</v>
      </c>
      <c r="H45" s="308"/>
      <c r="I45" s="348">
        <v>2035.6</v>
      </c>
    </row>
    <row r="46" spans="1:9" ht="12.75">
      <c r="A46" s="16">
        <v>40</v>
      </c>
      <c r="B46" s="17" t="s">
        <v>150</v>
      </c>
      <c r="C46" s="17">
        <v>7667</v>
      </c>
      <c r="D46" s="17">
        <v>0</v>
      </c>
      <c r="E46" s="17">
        <f t="shared" si="0"/>
        <v>7667</v>
      </c>
      <c r="G46" s="349">
        <f>'- 7 -'!G46</f>
        <v>7401.5</v>
      </c>
      <c r="H46" s="308"/>
      <c r="I46" s="349">
        <v>7304.3</v>
      </c>
    </row>
    <row r="47" spans="1:9" ht="12.75">
      <c r="A47" s="14">
        <v>41</v>
      </c>
      <c r="B47" s="15" t="s">
        <v>151</v>
      </c>
      <c r="C47" s="15">
        <v>1699</v>
      </c>
      <c r="D47" s="15">
        <v>0</v>
      </c>
      <c r="E47" s="15">
        <f t="shared" si="0"/>
        <v>1699</v>
      </c>
      <c r="G47" s="348">
        <f>'- 7 -'!G47</f>
        <v>1578.5</v>
      </c>
      <c r="H47" s="308"/>
      <c r="I47" s="348">
        <v>1559</v>
      </c>
    </row>
    <row r="48" spans="1:9" ht="12.75">
      <c r="A48" s="16">
        <v>42</v>
      </c>
      <c r="B48" s="17" t="s">
        <v>152</v>
      </c>
      <c r="C48" s="17">
        <v>1128</v>
      </c>
      <c r="D48" s="17">
        <v>0</v>
      </c>
      <c r="E48" s="17">
        <f t="shared" si="0"/>
        <v>1128</v>
      </c>
      <c r="G48" s="349">
        <f>'- 7 -'!G48</f>
        <v>1040.5</v>
      </c>
      <c r="H48" s="308"/>
      <c r="I48" s="349">
        <v>1065.2</v>
      </c>
    </row>
    <row r="49" spans="1:9" ht="12.75">
      <c r="A49" s="14">
        <v>43</v>
      </c>
      <c r="B49" s="15" t="s">
        <v>153</v>
      </c>
      <c r="C49" s="15">
        <v>800</v>
      </c>
      <c r="D49" s="15">
        <v>0</v>
      </c>
      <c r="E49" s="15">
        <f t="shared" si="0"/>
        <v>800</v>
      </c>
      <c r="G49" s="348">
        <f>'- 7 -'!G49</f>
        <v>776.5</v>
      </c>
      <c r="H49" s="308"/>
      <c r="I49" s="348">
        <v>776.5</v>
      </c>
    </row>
    <row r="50" spans="1:9" ht="12.75">
      <c r="A50" s="16">
        <v>44</v>
      </c>
      <c r="B50" s="17" t="s">
        <v>154</v>
      </c>
      <c r="C50" s="17">
        <v>1286</v>
      </c>
      <c r="D50" s="17">
        <v>0</v>
      </c>
      <c r="E50" s="17">
        <f t="shared" si="0"/>
        <v>1286</v>
      </c>
      <c r="G50" s="349">
        <f>'- 7 -'!G50</f>
        <v>1215.5</v>
      </c>
      <c r="H50" s="308"/>
      <c r="I50" s="349">
        <v>1240.6</v>
      </c>
    </row>
    <row r="51" spans="1:9" ht="12.75">
      <c r="A51" s="14">
        <v>45</v>
      </c>
      <c r="B51" s="15" t="s">
        <v>155</v>
      </c>
      <c r="C51" s="15">
        <v>2024</v>
      </c>
      <c r="D51" s="15">
        <v>0</v>
      </c>
      <c r="E51" s="15">
        <f t="shared" si="0"/>
        <v>2024</v>
      </c>
      <c r="G51" s="348">
        <f>'- 7 -'!G51</f>
        <v>1889</v>
      </c>
      <c r="H51" s="308"/>
      <c r="I51" s="348">
        <v>1812.4</v>
      </c>
    </row>
    <row r="52" spans="1:9" ht="12.75">
      <c r="A52" s="16">
        <v>46</v>
      </c>
      <c r="B52" s="17" t="s">
        <v>156</v>
      </c>
      <c r="C52" s="17">
        <v>1502</v>
      </c>
      <c r="D52" s="17">
        <v>0</v>
      </c>
      <c r="E52" s="17">
        <f t="shared" si="0"/>
        <v>1502</v>
      </c>
      <c r="G52" s="349">
        <f>'- 7 -'!G52</f>
        <v>1501</v>
      </c>
      <c r="H52" s="308"/>
      <c r="I52" s="349">
        <v>1286</v>
      </c>
    </row>
    <row r="53" spans="1:9" ht="12.75">
      <c r="A53" s="14">
        <v>47</v>
      </c>
      <c r="B53" s="15" t="s">
        <v>157</v>
      </c>
      <c r="C53" s="15">
        <v>1494</v>
      </c>
      <c r="D53" s="15">
        <v>0</v>
      </c>
      <c r="E53" s="15">
        <f t="shared" si="0"/>
        <v>1494</v>
      </c>
      <c r="G53" s="348">
        <f>'- 7 -'!G53</f>
        <v>1419</v>
      </c>
      <c r="H53" s="308"/>
      <c r="I53" s="348">
        <v>1443.6</v>
      </c>
    </row>
    <row r="54" spans="1:9" ht="12.75">
      <c r="A54" s="16">
        <v>48</v>
      </c>
      <c r="B54" s="17" t="s">
        <v>158</v>
      </c>
      <c r="C54" s="17">
        <v>5829</v>
      </c>
      <c r="D54" s="17">
        <v>358</v>
      </c>
      <c r="E54" s="17">
        <f t="shared" si="0"/>
        <v>5471</v>
      </c>
      <c r="G54" s="349">
        <f>'- 7 -'!G54</f>
        <v>5190</v>
      </c>
      <c r="H54" s="308"/>
      <c r="I54" s="349">
        <v>2448.4</v>
      </c>
    </row>
    <row r="55" spans="1:9" ht="12.75">
      <c r="A55" s="14">
        <v>49</v>
      </c>
      <c r="B55" s="15" t="s">
        <v>159</v>
      </c>
      <c r="C55" s="15">
        <v>4435</v>
      </c>
      <c r="D55" s="15">
        <v>0</v>
      </c>
      <c r="E55" s="15">
        <f t="shared" si="0"/>
        <v>4435</v>
      </c>
      <c r="G55" s="348">
        <f>'- 7 -'!G55</f>
        <v>4330</v>
      </c>
      <c r="H55" s="308"/>
      <c r="I55" s="348">
        <v>4254.8</v>
      </c>
    </row>
    <row r="56" spans="1:9" ht="12.75">
      <c r="A56" s="16">
        <v>50</v>
      </c>
      <c r="B56" s="17" t="s">
        <v>340</v>
      </c>
      <c r="C56" s="17">
        <v>1860</v>
      </c>
      <c r="D56" s="17">
        <v>0</v>
      </c>
      <c r="E56" s="17">
        <f t="shared" si="0"/>
        <v>1860</v>
      </c>
      <c r="G56" s="349">
        <f>'- 7 -'!G56</f>
        <v>1721.5</v>
      </c>
      <c r="H56" s="308"/>
      <c r="I56" s="349">
        <v>1759.8</v>
      </c>
    </row>
    <row r="57" spans="1:9" ht="12.75">
      <c r="A57" s="14">
        <v>2264</v>
      </c>
      <c r="B57" s="15" t="s">
        <v>160</v>
      </c>
      <c r="C57" s="15">
        <v>207</v>
      </c>
      <c r="D57" s="15">
        <v>0</v>
      </c>
      <c r="E57" s="15">
        <f t="shared" si="0"/>
        <v>207</v>
      </c>
      <c r="G57" s="348">
        <f>'- 7 -'!G57</f>
        <v>206</v>
      </c>
      <c r="H57" s="308"/>
      <c r="I57" s="348">
        <v>196.5</v>
      </c>
    </row>
    <row r="58" spans="1:9" ht="12.75">
      <c r="A58" s="16">
        <v>2309</v>
      </c>
      <c r="B58" s="17" t="s">
        <v>161</v>
      </c>
      <c r="C58" s="17">
        <v>273</v>
      </c>
      <c r="D58" s="17">
        <v>0</v>
      </c>
      <c r="E58" s="17">
        <f t="shared" si="0"/>
        <v>273</v>
      </c>
      <c r="G58" s="349">
        <f>'- 7 -'!G58</f>
        <v>261.7</v>
      </c>
      <c r="H58" s="308"/>
      <c r="I58" s="349">
        <v>261.7</v>
      </c>
    </row>
    <row r="59" spans="1:9" ht="12.75">
      <c r="A59" s="14">
        <v>2312</v>
      </c>
      <c r="B59" s="15" t="s">
        <v>162</v>
      </c>
      <c r="C59" s="15">
        <v>186</v>
      </c>
      <c r="D59" s="15">
        <v>0</v>
      </c>
      <c r="E59" s="15">
        <f t="shared" si="0"/>
        <v>186</v>
      </c>
      <c r="G59" s="348">
        <f>'- 7 -'!G59</f>
        <v>173.5</v>
      </c>
      <c r="H59" s="308"/>
      <c r="I59" s="348">
        <v>173.5</v>
      </c>
    </row>
    <row r="60" spans="1:9" ht="12.75">
      <c r="A60" s="16">
        <v>2355</v>
      </c>
      <c r="B60" s="17" t="s">
        <v>163</v>
      </c>
      <c r="C60" s="17">
        <v>3466</v>
      </c>
      <c r="D60" s="17">
        <v>0</v>
      </c>
      <c r="E60" s="17">
        <f t="shared" si="0"/>
        <v>3466</v>
      </c>
      <c r="G60" s="349">
        <f>'- 7 -'!G60</f>
        <v>3349.5</v>
      </c>
      <c r="H60" s="308"/>
      <c r="I60" s="349">
        <v>3268.2</v>
      </c>
    </row>
    <row r="61" spans="1:9" ht="12.75">
      <c r="A61" s="14">
        <v>2439</v>
      </c>
      <c r="B61" s="15" t="s">
        <v>164</v>
      </c>
      <c r="C61" s="15">
        <v>163</v>
      </c>
      <c r="D61" s="15">
        <v>0</v>
      </c>
      <c r="E61" s="15">
        <f t="shared" si="0"/>
        <v>163</v>
      </c>
      <c r="G61" s="348">
        <f>'- 7 -'!G61</f>
        <v>158.5</v>
      </c>
      <c r="H61" s="308"/>
      <c r="I61" s="348">
        <v>141.5</v>
      </c>
    </row>
    <row r="62" spans="1:9" ht="12.75">
      <c r="A62" s="16">
        <v>2460</v>
      </c>
      <c r="B62" s="17" t="s">
        <v>165</v>
      </c>
      <c r="C62" s="17">
        <v>284</v>
      </c>
      <c r="D62" s="17">
        <v>0</v>
      </c>
      <c r="E62" s="17">
        <f t="shared" si="0"/>
        <v>284</v>
      </c>
      <c r="G62" s="349">
        <f>'- 7 -'!G62</f>
        <v>272.2</v>
      </c>
      <c r="H62" s="308"/>
      <c r="I62" s="349">
        <v>272.2</v>
      </c>
    </row>
    <row r="63" spans="1:9" ht="12.75">
      <c r="A63" s="14">
        <v>3000</v>
      </c>
      <c r="B63" s="15" t="s">
        <v>363</v>
      </c>
      <c r="C63" s="15">
        <v>0</v>
      </c>
      <c r="D63" s="15">
        <v>0</v>
      </c>
      <c r="E63" s="15">
        <f t="shared" si="0"/>
        <v>0</v>
      </c>
      <c r="G63" s="348">
        <f>'- 7 -'!G63</f>
        <v>800.2</v>
      </c>
      <c r="H63" s="308"/>
      <c r="I63" s="348">
        <v>0</v>
      </c>
    </row>
    <row r="64" spans="1:9" ht="4.5" customHeight="1">
      <c r="A64" s="18"/>
      <c r="B64" s="18"/>
      <c r="C64" s="18"/>
      <c r="D64" s="18"/>
      <c r="E64" s="18"/>
      <c r="G64" s="350"/>
      <c r="I64" s="350"/>
    </row>
    <row r="65" spans="1:9" ht="12.75">
      <c r="A65" s="20"/>
      <c r="B65" s="21" t="s">
        <v>166</v>
      </c>
      <c r="C65" s="390">
        <f>SUM(C11:C63)</f>
        <v>190693</v>
      </c>
      <c r="D65" s="390">
        <f>SUM(D11:D63)</f>
        <v>2195</v>
      </c>
      <c r="E65" s="390">
        <f>SUM(E11:E63)</f>
        <v>188498</v>
      </c>
      <c r="F65" s="77"/>
      <c r="G65" s="351">
        <f>SUM(G11:G63)</f>
        <v>180894.53000000003</v>
      </c>
      <c r="H65" s="309"/>
      <c r="I65" s="351">
        <f>SUM(I11:I63)</f>
        <v>176322.30000000005</v>
      </c>
    </row>
    <row r="66" spans="1:9" ht="4.5" customHeight="1">
      <c r="A66" s="18"/>
      <c r="B66" s="18"/>
      <c r="C66" s="18"/>
      <c r="D66" s="18"/>
      <c r="E66" s="18"/>
      <c r="G66" s="350"/>
      <c r="I66" s="350"/>
    </row>
    <row r="67" spans="1:9" ht="12.75">
      <c r="A67" s="16">
        <v>2155</v>
      </c>
      <c r="B67" s="17" t="s">
        <v>167</v>
      </c>
      <c r="C67" s="17">
        <v>147</v>
      </c>
      <c r="D67" s="17">
        <v>0</v>
      </c>
      <c r="E67" s="17">
        <f>C67-D67</f>
        <v>147</v>
      </c>
      <c r="G67" s="349">
        <f>'- 7 -'!G67</f>
        <v>142</v>
      </c>
      <c r="H67" s="308"/>
      <c r="I67" s="349">
        <v>66.5</v>
      </c>
    </row>
    <row r="68" spans="1:9" ht="12.75">
      <c r="A68" s="14">
        <v>2408</v>
      </c>
      <c r="B68" s="15" t="s">
        <v>169</v>
      </c>
      <c r="C68" s="15">
        <v>262</v>
      </c>
      <c r="D68" s="15">
        <v>0</v>
      </c>
      <c r="E68" s="15">
        <f>C68-D68</f>
        <v>262</v>
      </c>
      <c r="G68" s="348">
        <f>'- 7 -'!G68</f>
        <v>244</v>
      </c>
      <c r="H68" s="308"/>
      <c r="I68" s="348">
        <v>238</v>
      </c>
    </row>
    <row r="69" spans="8:9" ht="6.75" customHeight="1">
      <c r="H69" s="308"/>
      <c r="I69" s="308"/>
    </row>
    <row r="70" spans="1:9" ht="12" customHeight="1">
      <c r="A70" s="396" t="s">
        <v>351</v>
      </c>
      <c r="B70" s="272" t="s">
        <v>498</v>
      </c>
      <c r="D70" s="129"/>
      <c r="E70" s="129"/>
      <c r="F70" s="129"/>
      <c r="G70" s="129"/>
      <c r="H70" s="129"/>
      <c r="I70" s="129"/>
    </row>
    <row r="71" spans="1:9" ht="12" customHeight="1">
      <c r="A71" s="396" t="s">
        <v>352</v>
      </c>
      <c r="B71" s="272" t="s">
        <v>446</v>
      </c>
      <c r="D71" s="129"/>
      <c r="E71" s="129"/>
      <c r="F71" s="129"/>
      <c r="G71" s="129"/>
      <c r="H71" s="129"/>
      <c r="I71" s="129"/>
    </row>
    <row r="72" spans="1:9" ht="12" customHeight="1">
      <c r="A72" s="55"/>
      <c r="B72" s="272" t="s">
        <v>447</v>
      </c>
      <c r="D72" s="129"/>
      <c r="E72" s="129"/>
      <c r="F72" s="129"/>
      <c r="G72" s="129"/>
      <c r="H72" s="129"/>
      <c r="I72" s="129"/>
    </row>
    <row r="73" spans="2:9" ht="12" customHeight="1">
      <c r="B73" s="272" t="s">
        <v>500</v>
      </c>
      <c r="D73" s="129"/>
      <c r="E73" s="129"/>
      <c r="F73" s="129"/>
      <c r="G73" s="129"/>
      <c r="H73" s="129"/>
      <c r="I73" s="310"/>
    </row>
    <row r="74" spans="1:9" ht="12" customHeight="1">
      <c r="A74" s="396" t="s">
        <v>353</v>
      </c>
      <c r="B74" s="272" t="s">
        <v>499</v>
      </c>
      <c r="C74" s="129"/>
      <c r="D74" s="129"/>
      <c r="E74" s="129"/>
      <c r="F74" s="129"/>
      <c r="G74" s="129"/>
      <c r="H74" s="129"/>
      <c r="I74" s="129"/>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E76"/>
  <sheetViews>
    <sheetView showGridLines="0" showZeros="0" workbookViewId="0" topLeftCell="A1">
      <selection activeCell="A1" sqref="A1"/>
    </sheetView>
  </sheetViews>
  <sheetFormatPr defaultColWidth="9.33203125" defaultRowHeight="12"/>
  <cols>
    <col min="1" max="1" width="6.83203125" style="82" customWidth="1"/>
    <col min="2" max="2" width="35.83203125" style="82" customWidth="1"/>
    <col min="3" max="4" width="31.83203125" style="82" customWidth="1"/>
    <col min="5" max="5" width="28.83203125" style="82" customWidth="1"/>
    <col min="6" max="16384" width="9.33203125" style="82" customWidth="1"/>
  </cols>
  <sheetData>
    <row r="1" spans="2:5" ht="6.75" customHeight="1">
      <c r="B1" s="80"/>
      <c r="C1" s="142"/>
      <c r="D1" s="142"/>
      <c r="E1" s="142"/>
    </row>
    <row r="2" spans="1:5" ht="12.75">
      <c r="A2" s="9"/>
      <c r="B2" s="83"/>
      <c r="C2" s="200" t="s">
        <v>311</v>
      </c>
      <c r="D2" s="200"/>
      <c r="E2" s="303"/>
    </row>
    <row r="3" spans="1:5" ht="12.75">
      <c r="A3" s="10"/>
      <c r="B3" s="86"/>
      <c r="C3" s="203" t="str">
        <f>STATDATE</f>
        <v>ESTIMATE SEPTEMBER 30, 2002</v>
      </c>
      <c r="D3" s="203"/>
      <c r="E3" s="220"/>
    </row>
    <row r="4" spans="1:5" ht="6" customHeight="1">
      <c r="A4" s="11"/>
      <c r="C4" s="142"/>
      <c r="D4" s="142"/>
      <c r="E4" s="142"/>
    </row>
    <row r="5" spans="1:5" ht="6" customHeight="1">
      <c r="A5" s="11"/>
      <c r="C5" s="142"/>
      <c r="D5" s="142"/>
      <c r="E5" s="142"/>
    </row>
    <row r="6" spans="1:5" ht="6" customHeight="1">
      <c r="A6" s="11"/>
      <c r="C6" s="142"/>
      <c r="D6" s="142"/>
      <c r="E6" s="142"/>
    </row>
    <row r="7" spans="3:5" ht="12.75">
      <c r="C7" s="190" t="s">
        <v>310</v>
      </c>
      <c r="D7" s="267"/>
      <c r="E7" s="142"/>
    </row>
    <row r="8" spans="1:5" ht="12.75">
      <c r="A8" s="94"/>
      <c r="B8" s="46"/>
      <c r="C8" s="304" t="s">
        <v>91</v>
      </c>
      <c r="D8" s="228"/>
      <c r="E8" s="182"/>
    </row>
    <row r="9" spans="1:4" ht="16.5">
      <c r="A9" s="52" t="s">
        <v>100</v>
      </c>
      <c r="B9" s="53" t="s">
        <v>101</v>
      </c>
      <c r="C9" s="52" t="s">
        <v>396</v>
      </c>
      <c r="D9" s="270" t="s">
        <v>397</v>
      </c>
    </row>
    <row r="10" spans="1:2" ht="4.5" customHeight="1">
      <c r="A10" s="77"/>
      <c r="B10" s="77"/>
    </row>
    <row r="11" spans="1:4" ht="12.75">
      <c r="A11" s="14">
        <v>1</v>
      </c>
      <c r="B11" s="15" t="s">
        <v>115</v>
      </c>
      <c r="C11" s="348">
        <v>18.703820719599097</v>
      </c>
      <c r="D11" s="348">
        <v>14.337785197551474</v>
      </c>
    </row>
    <row r="12" spans="1:4" ht="12.75">
      <c r="A12" s="16">
        <v>2</v>
      </c>
      <c r="B12" s="17" t="s">
        <v>116</v>
      </c>
      <c r="C12" s="349">
        <v>18.30832572761383</v>
      </c>
      <c r="D12" s="349">
        <v>15.110031720856462</v>
      </c>
    </row>
    <row r="13" spans="1:4" ht="12.75">
      <c r="A13" s="14">
        <v>3</v>
      </c>
      <c r="B13" s="15" t="s">
        <v>117</v>
      </c>
      <c r="C13" s="348">
        <v>18.394959355319987</v>
      </c>
      <c r="D13" s="348">
        <v>14.405417670612245</v>
      </c>
    </row>
    <row r="14" spans="1:4" ht="12.75">
      <c r="A14" s="16">
        <v>4</v>
      </c>
      <c r="B14" s="17" t="s">
        <v>118</v>
      </c>
      <c r="C14" s="349">
        <v>19.925081433224754</v>
      </c>
      <c r="D14" s="349">
        <v>15.458493609628986</v>
      </c>
    </row>
    <row r="15" spans="1:4" ht="12.75">
      <c r="A15" s="14">
        <v>5</v>
      </c>
      <c r="B15" s="15" t="s">
        <v>119</v>
      </c>
      <c r="C15" s="348">
        <v>18.686277569704536</v>
      </c>
      <c r="D15" s="348">
        <v>15.049968769519053</v>
      </c>
    </row>
    <row r="16" spans="1:4" ht="12.75">
      <c r="A16" s="16">
        <v>6</v>
      </c>
      <c r="B16" s="17" t="s">
        <v>120</v>
      </c>
      <c r="C16" s="349">
        <v>19.770494009960963</v>
      </c>
      <c r="D16" s="349">
        <v>15.76412785128951</v>
      </c>
    </row>
    <row r="17" spans="1:4" ht="12.75">
      <c r="A17" s="14">
        <v>9</v>
      </c>
      <c r="B17" s="15" t="s">
        <v>121</v>
      </c>
      <c r="C17" s="348">
        <v>18.492850117273207</v>
      </c>
      <c r="D17" s="348">
        <v>15.02725620835857</v>
      </c>
    </row>
    <row r="18" spans="1:4" ht="12.75">
      <c r="A18" s="16">
        <v>10</v>
      </c>
      <c r="B18" s="17" t="s">
        <v>122</v>
      </c>
      <c r="C18" s="349">
        <v>18.23113508004586</v>
      </c>
      <c r="D18" s="349">
        <v>15.469955156950673</v>
      </c>
    </row>
    <row r="19" spans="1:4" ht="12.75">
      <c r="A19" s="14">
        <v>11</v>
      </c>
      <c r="B19" s="15" t="s">
        <v>123</v>
      </c>
      <c r="C19" s="348">
        <v>18.36862745098039</v>
      </c>
      <c r="D19" s="348">
        <v>15.225283630470017</v>
      </c>
    </row>
    <row r="20" spans="1:4" ht="12.75">
      <c r="A20" s="16">
        <v>12</v>
      </c>
      <c r="B20" s="17" t="s">
        <v>124</v>
      </c>
      <c r="C20" s="349">
        <v>19.108184194651116</v>
      </c>
      <c r="D20" s="349">
        <v>15.236004390779364</v>
      </c>
    </row>
    <row r="21" spans="1:4" ht="12.75">
      <c r="A21" s="14">
        <v>13</v>
      </c>
      <c r="B21" s="15" t="s">
        <v>125</v>
      </c>
      <c r="C21" s="348">
        <v>17.293882978723406</v>
      </c>
      <c r="D21" s="348">
        <v>13.89183457051962</v>
      </c>
    </row>
    <row r="22" spans="1:4" ht="12.75">
      <c r="A22" s="16">
        <v>14</v>
      </c>
      <c r="B22" s="17" t="s">
        <v>126</v>
      </c>
      <c r="C22" s="349">
        <v>19.965014577259474</v>
      </c>
      <c r="D22" s="349">
        <v>16.497229583232954</v>
      </c>
    </row>
    <row r="23" spans="1:4" ht="12.75">
      <c r="A23" s="14">
        <v>15</v>
      </c>
      <c r="B23" s="15" t="s">
        <v>127</v>
      </c>
      <c r="C23" s="348">
        <v>20.742663888224644</v>
      </c>
      <c r="D23" s="348">
        <v>17.74608370353051</v>
      </c>
    </row>
    <row r="24" spans="1:4" ht="12.75">
      <c r="A24" s="16">
        <v>16</v>
      </c>
      <c r="B24" s="17" t="s">
        <v>128</v>
      </c>
      <c r="C24" s="349">
        <v>16.517768513003773</v>
      </c>
      <c r="D24" s="349">
        <v>14.64015484779166</v>
      </c>
    </row>
    <row r="25" spans="1:4" ht="12.75">
      <c r="A25" s="14">
        <v>17</v>
      </c>
      <c r="B25" s="15" t="s">
        <v>129</v>
      </c>
      <c r="C25" s="348">
        <v>14.958268933539411</v>
      </c>
      <c r="D25" s="348">
        <v>12.564760194921774</v>
      </c>
    </row>
    <row r="26" spans="1:4" ht="12.75">
      <c r="A26" s="16">
        <v>18</v>
      </c>
      <c r="B26" s="17" t="s">
        <v>130</v>
      </c>
      <c r="C26" s="349">
        <v>18.42105263157895</v>
      </c>
      <c r="D26" s="349">
        <v>14.9508756941478</v>
      </c>
    </row>
    <row r="27" spans="1:4" ht="12.75">
      <c r="A27" s="14">
        <v>19</v>
      </c>
      <c r="B27" s="15" t="s">
        <v>131</v>
      </c>
      <c r="C27" s="348">
        <v>18.24446680080483</v>
      </c>
      <c r="D27" s="348">
        <v>15.674157303370785</v>
      </c>
    </row>
    <row r="28" spans="1:4" ht="12.75">
      <c r="A28" s="16">
        <v>20</v>
      </c>
      <c r="B28" s="17" t="s">
        <v>132</v>
      </c>
      <c r="C28" s="349">
        <v>15.49900530503979</v>
      </c>
      <c r="D28" s="349">
        <v>13.445745731621281</v>
      </c>
    </row>
    <row r="29" spans="1:4" ht="12.75">
      <c r="A29" s="14">
        <v>21</v>
      </c>
      <c r="B29" s="15" t="s">
        <v>133</v>
      </c>
      <c r="C29" s="348">
        <v>18.02001622937517</v>
      </c>
      <c r="D29" s="348">
        <v>14.569565217391304</v>
      </c>
    </row>
    <row r="30" spans="1:4" ht="12.75">
      <c r="A30" s="16">
        <v>22</v>
      </c>
      <c r="B30" s="17" t="s">
        <v>134</v>
      </c>
      <c r="C30" s="349">
        <v>19.704933699677458</v>
      </c>
      <c r="D30" s="349">
        <v>16.24482962379358</v>
      </c>
    </row>
    <row r="31" spans="1:4" ht="12.75">
      <c r="A31" s="14">
        <v>23</v>
      </c>
      <c r="B31" s="15" t="s">
        <v>135</v>
      </c>
      <c r="C31" s="348">
        <v>18.109631147540984</v>
      </c>
      <c r="D31" s="348">
        <v>14.940828402366867</v>
      </c>
    </row>
    <row r="32" spans="1:4" ht="12.75">
      <c r="A32" s="16">
        <v>24</v>
      </c>
      <c r="B32" s="17" t="s">
        <v>136</v>
      </c>
      <c r="C32" s="349">
        <v>18.13865096359743</v>
      </c>
      <c r="D32" s="349">
        <v>15.0869246365558</v>
      </c>
    </row>
    <row r="33" spans="1:4" ht="12.75">
      <c r="A33" s="14">
        <v>25</v>
      </c>
      <c r="B33" s="15" t="s">
        <v>137</v>
      </c>
      <c r="C33" s="348">
        <v>17.153374233128833</v>
      </c>
      <c r="D33" s="348">
        <v>14.983922829581992</v>
      </c>
    </row>
    <row r="34" spans="1:4" ht="12.75">
      <c r="A34" s="16">
        <v>26</v>
      </c>
      <c r="B34" s="17" t="s">
        <v>138</v>
      </c>
      <c r="C34" s="349">
        <v>18.74636885933768</v>
      </c>
      <c r="D34" s="349">
        <v>16.24766714238665</v>
      </c>
    </row>
    <row r="35" spans="1:4" ht="12.75">
      <c r="A35" s="14">
        <v>28</v>
      </c>
      <c r="B35" s="15" t="s">
        <v>139</v>
      </c>
      <c r="C35" s="348">
        <v>15.26639344262295</v>
      </c>
      <c r="D35" s="348">
        <v>13.294938351719663</v>
      </c>
    </row>
    <row r="36" spans="1:4" ht="12.75">
      <c r="A36" s="16">
        <v>30</v>
      </c>
      <c r="B36" s="17" t="s">
        <v>140</v>
      </c>
      <c r="C36" s="349">
        <v>16.987731662751237</v>
      </c>
      <c r="D36" s="349">
        <v>14.697380307136402</v>
      </c>
    </row>
    <row r="37" spans="1:4" ht="12.75">
      <c r="A37" s="14">
        <v>31</v>
      </c>
      <c r="B37" s="15" t="s">
        <v>141</v>
      </c>
      <c r="C37" s="348">
        <v>17.666815942678014</v>
      </c>
      <c r="D37" s="348">
        <v>15.272932968794194</v>
      </c>
    </row>
    <row r="38" spans="1:4" ht="12.75">
      <c r="A38" s="16">
        <v>32</v>
      </c>
      <c r="B38" s="17" t="s">
        <v>142</v>
      </c>
      <c r="C38" s="349">
        <v>16.769876148621652</v>
      </c>
      <c r="D38" s="349">
        <v>13.963739188290086</v>
      </c>
    </row>
    <row r="39" spans="1:4" ht="12.75">
      <c r="A39" s="14">
        <v>33</v>
      </c>
      <c r="B39" s="15" t="s">
        <v>143</v>
      </c>
      <c r="C39" s="348">
        <v>17.940009675858732</v>
      </c>
      <c r="D39" s="348">
        <v>14.48006194347658</v>
      </c>
    </row>
    <row r="40" spans="1:4" ht="12.75">
      <c r="A40" s="16">
        <v>34</v>
      </c>
      <c r="B40" s="17" t="s">
        <v>144</v>
      </c>
      <c r="C40" s="349">
        <v>15.378947368421052</v>
      </c>
      <c r="D40" s="349">
        <v>13.138489208633093</v>
      </c>
    </row>
    <row r="41" spans="1:4" ht="12.75">
      <c r="A41" s="14">
        <v>35</v>
      </c>
      <c r="B41" s="15" t="s">
        <v>145</v>
      </c>
      <c r="C41" s="348">
        <v>18.305927342256215</v>
      </c>
      <c r="D41" s="348">
        <v>15.646347442392548</v>
      </c>
    </row>
    <row r="42" spans="1:4" ht="12.75">
      <c r="A42" s="16">
        <v>36</v>
      </c>
      <c r="B42" s="17" t="s">
        <v>146</v>
      </c>
      <c r="C42" s="349">
        <v>15.163801492053196</v>
      </c>
      <c r="D42" s="349">
        <v>12.808219178082192</v>
      </c>
    </row>
    <row r="43" spans="1:4" ht="12.75">
      <c r="A43" s="14">
        <v>37</v>
      </c>
      <c r="B43" s="15" t="s">
        <v>147</v>
      </c>
      <c r="C43" s="348">
        <v>16.038093581492433</v>
      </c>
      <c r="D43" s="348">
        <v>14.185076923076922</v>
      </c>
    </row>
    <row r="44" spans="1:4" ht="12.75">
      <c r="A44" s="16">
        <v>38</v>
      </c>
      <c r="B44" s="17" t="s">
        <v>148</v>
      </c>
      <c r="C44" s="349">
        <v>16.71436748712078</v>
      </c>
      <c r="D44" s="349">
        <v>14.113098115031415</v>
      </c>
    </row>
    <row r="45" spans="1:4" ht="12.75">
      <c r="A45" s="14">
        <v>39</v>
      </c>
      <c r="B45" s="15" t="s">
        <v>149</v>
      </c>
      <c r="C45" s="348">
        <v>16.653449643140366</v>
      </c>
      <c r="D45" s="348">
        <v>14.253716147424152</v>
      </c>
    </row>
    <row r="46" spans="1:4" ht="12.75">
      <c r="A46" s="16">
        <v>40</v>
      </c>
      <c r="B46" s="17" t="s">
        <v>150</v>
      </c>
      <c r="C46" s="349">
        <v>19.13419337677883</v>
      </c>
      <c r="D46" s="349">
        <v>15.353579355695231</v>
      </c>
    </row>
    <row r="47" spans="1:4" ht="12.75">
      <c r="A47" s="14">
        <v>41</v>
      </c>
      <c r="B47" s="15" t="s">
        <v>151</v>
      </c>
      <c r="C47" s="348">
        <v>16.579140846549734</v>
      </c>
      <c r="D47" s="348">
        <v>13.845276730111395</v>
      </c>
    </row>
    <row r="48" spans="1:4" ht="12.75">
      <c r="A48" s="16">
        <v>42</v>
      </c>
      <c r="B48" s="17" t="s">
        <v>152</v>
      </c>
      <c r="C48" s="349">
        <v>17.478582227448346</v>
      </c>
      <c r="D48" s="349">
        <v>14.870658853794483</v>
      </c>
    </row>
    <row r="49" spans="1:4" ht="12.75">
      <c r="A49" s="14">
        <v>43</v>
      </c>
      <c r="B49" s="15" t="s">
        <v>153</v>
      </c>
      <c r="C49" s="348">
        <v>16.347368421052632</v>
      </c>
      <c r="D49" s="348">
        <v>13.804444444444444</v>
      </c>
    </row>
    <row r="50" spans="1:4" ht="12.75">
      <c r="A50" s="16">
        <v>44</v>
      </c>
      <c r="B50" s="17" t="s">
        <v>154</v>
      </c>
      <c r="C50" s="349">
        <v>15.608346709470306</v>
      </c>
      <c r="D50" s="349">
        <v>13.569634384593915</v>
      </c>
    </row>
    <row r="51" spans="1:4" ht="12.75">
      <c r="A51" s="14">
        <v>45</v>
      </c>
      <c r="B51" s="15" t="s">
        <v>155</v>
      </c>
      <c r="C51" s="348">
        <v>20.424168783828566</v>
      </c>
      <c r="D51" s="348">
        <v>16.8615549406409</v>
      </c>
    </row>
    <row r="52" spans="1:4" ht="12.75">
      <c r="A52" s="16">
        <v>46</v>
      </c>
      <c r="B52" s="17" t="s">
        <v>156</v>
      </c>
      <c r="C52" s="349">
        <v>18.990415335463258</v>
      </c>
      <c r="D52" s="349">
        <v>16.183288409703504</v>
      </c>
    </row>
    <row r="53" spans="1:4" ht="12.75">
      <c r="A53" s="14">
        <v>47</v>
      </c>
      <c r="B53" s="15" t="s">
        <v>157</v>
      </c>
      <c r="C53" s="348">
        <v>19.690419746199975</v>
      </c>
      <c r="D53" s="348">
        <v>16.45408163265306</v>
      </c>
    </row>
    <row r="54" spans="1:4" ht="12.75">
      <c r="A54" s="16">
        <v>48</v>
      </c>
      <c r="B54" s="17" t="s">
        <v>158</v>
      </c>
      <c r="C54" s="349">
        <v>15.303710706688726</v>
      </c>
      <c r="D54" s="349">
        <v>12.63019565852234</v>
      </c>
    </row>
    <row r="55" spans="1:4" ht="12.75">
      <c r="A55" s="14">
        <v>49</v>
      </c>
      <c r="B55" s="15" t="s">
        <v>159</v>
      </c>
      <c r="C55" s="348">
        <v>15.972196270413693</v>
      </c>
      <c r="D55" s="348">
        <v>12.645658713238518</v>
      </c>
    </row>
    <row r="56" spans="1:4" ht="12.75">
      <c r="A56" s="16">
        <v>50</v>
      </c>
      <c r="B56" s="17" t="s">
        <v>340</v>
      </c>
      <c r="C56" s="349">
        <v>16.568816169393646</v>
      </c>
      <c r="D56" s="349">
        <v>13.799599198396791</v>
      </c>
    </row>
    <row r="57" spans="1:4" ht="12.75">
      <c r="A57" s="14">
        <v>2264</v>
      </c>
      <c r="B57" s="15" t="s">
        <v>160</v>
      </c>
      <c r="C57" s="348">
        <v>15.25925925925926</v>
      </c>
      <c r="D57" s="348">
        <v>12.599388379204894</v>
      </c>
    </row>
    <row r="58" spans="1:4" ht="12.75">
      <c r="A58" s="16">
        <v>2309</v>
      </c>
      <c r="B58" s="17" t="s">
        <v>161</v>
      </c>
      <c r="C58" s="349">
        <v>15.623880597014924</v>
      </c>
      <c r="D58" s="349">
        <v>13.957333333333333</v>
      </c>
    </row>
    <row r="59" spans="1:4" ht="12.75">
      <c r="A59" s="14">
        <v>2312</v>
      </c>
      <c r="B59" s="15" t="s">
        <v>162</v>
      </c>
      <c r="C59" s="348">
        <v>14.458333333333334</v>
      </c>
      <c r="D59" s="348">
        <v>12.392857142857142</v>
      </c>
    </row>
    <row r="60" spans="1:4" ht="12.75">
      <c r="A60" s="16">
        <v>2355</v>
      </c>
      <c r="B60" s="17" t="s">
        <v>163</v>
      </c>
      <c r="C60" s="349">
        <v>18.46914695421442</v>
      </c>
      <c r="D60" s="349">
        <v>14.301878736122971</v>
      </c>
    </row>
    <row r="61" spans="1:4" ht="12.75">
      <c r="A61" s="14">
        <v>2439</v>
      </c>
      <c r="B61" s="15" t="s">
        <v>164</v>
      </c>
      <c r="C61" s="348">
        <v>14.785447761194028</v>
      </c>
      <c r="D61" s="348">
        <v>13.489361702127658</v>
      </c>
    </row>
    <row r="62" spans="1:4" ht="12.75">
      <c r="A62" s="16">
        <v>2460</v>
      </c>
      <c r="B62" s="17" t="s">
        <v>165</v>
      </c>
      <c r="C62" s="349">
        <v>22.683333333333334</v>
      </c>
      <c r="D62" s="349">
        <v>19.442857142857143</v>
      </c>
    </row>
    <row r="63" spans="1:4" ht="12.75">
      <c r="A63" s="14">
        <v>3000</v>
      </c>
      <c r="B63" s="15" t="s">
        <v>363</v>
      </c>
      <c r="C63" s="348">
        <v>20.784415584415587</v>
      </c>
      <c r="D63" s="348">
        <v>18.939644970414204</v>
      </c>
    </row>
    <row r="64" spans="1:4" ht="4.5" customHeight="1">
      <c r="A64" s="18"/>
      <c r="B64" s="18"/>
      <c r="C64" s="350"/>
      <c r="D64" s="350"/>
    </row>
    <row r="65" spans="1:5" ht="12.75">
      <c r="A65" s="20"/>
      <c r="B65" s="21" t="s">
        <v>166</v>
      </c>
      <c r="C65" s="351">
        <v>18.302176020113215</v>
      </c>
      <c r="D65" s="351">
        <v>14.861775556906222</v>
      </c>
      <c r="E65" s="77"/>
    </row>
    <row r="66" spans="1:4" ht="4.5" customHeight="1">
      <c r="A66" s="18"/>
      <c r="B66" s="18"/>
      <c r="C66" s="350"/>
      <c r="D66" s="350"/>
    </row>
    <row r="67" spans="1:4" ht="12.75">
      <c r="A67" s="16">
        <v>2155</v>
      </c>
      <c r="B67" s="17" t="s">
        <v>167</v>
      </c>
      <c r="C67" s="349">
        <v>14.2</v>
      </c>
      <c r="D67" s="349">
        <v>12.347826086956522</v>
      </c>
    </row>
    <row r="68" spans="1:4" ht="12.75">
      <c r="A68" s="14">
        <v>2408</v>
      </c>
      <c r="B68" s="15" t="s">
        <v>169</v>
      </c>
      <c r="C68" s="348">
        <v>11.48235294117647</v>
      </c>
      <c r="D68" s="348">
        <v>9.179834462001505</v>
      </c>
    </row>
    <row r="69" ht="6.75" customHeight="1"/>
    <row r="70" spans="1:5" ht="12" customHeight="1">
      <c r="A70" s="396" t="s">
        <v>351</v>
      </c>
      <c r="B70" s="271" t="s">
        <v>502</v>
      </c>
      <c r="C70" s="124"/>
      <c r="D70" s="123"/>
      <c r="E70" s="123"/>
    </row>
    <row r="71" spans="2:5" ht="12" customHeight="1">
      <c r="B71" s="271" t="s">
        <v>317</v>
      </c>
      <c r="C71" s="124"/>
      <c r="D71" s="123"/>
      <c r="E71" s="123"/>
    </row>
    <row r="72" spans="1:5" ht="12" customHeight="1">
      <c r="A72" s="7"/>
      <c r="B72" s="7" t="s">
        <v>316</v>
      </c>
      <c r="D72" s="123"/>
      <c r="E72" s="123"/>
    </row>
    <row r="73" spans="1:5" ht="12" customHeight="1">
      <c r="A73" s="396" t="s">
        <v>352</v>
      </c>
      <c r="B73" s="271" t="s">
        <v>456</v>
      </c>
      <c r="D73" s="123"/>
      <c r="E73" s="123"/>
    </row>
    <row r="74" spans="1:5" ht="12" customHeight="1">
      <c r="A74" s="7"/>
      <c r="B74" s="271" t="s">
        <v>457</v>
      </c>
      <c r="C74" s="124"/>
      <c r="D74" s="123"/>
      <c r="E74" s="123"/>
    </row>
    <row r="75" spans="1:5" ht="12" customHeight="1">
      <c r="A75" s="7"/>
      <c r="B75" s="271" t="s">
        <v>503</v>
      </c>
      <c r="C75" s="124"/>
      <c r="D75" s="123"/>
      <c r="E75" s="123"/>
    </row>
    <row r="76" ht="12.75">
      <c r="B76" s="271" t="s">
        <v>504</v>
      </c>
    </row>
  </sheetData>
  <printOptions horizontalCentered="1"/>
  <pageMargins left="0.5" right="0.5" top="0.6" bottom="0" header="0.3" footer="0"/>
  <pageSetup fitToHeight="1" fitToWidth="1" horizontalDpi="300" verticalDpi="300" orientation="portrait" scale="81"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4:K35"/>
  <sheetViews>
    <sheetView showGridLines="0" showZeros="0" workbookViewId="0" topLeftCell="A1">
      <selection activeCell="A1" sqref="A1"/>
    </sheetView>
  </sheetViews>
  <sheetFormatPr defaultColWidth="15.83203125" defaultRowHeight="12"/>
  <cols>
    <col min="1" max="1" width="5.83203125" style="82" customWidth="1"/>
    <col min="2" max="2" width="45.83203125" style="82" customWidth="1"/>
    <col min="3" max="7" width="17.83203125" style="82" customWidth="1"/>
    <col min="8" max="8" width="15.83203125" style="82" customWidth="1"/>
    <col min="9" max="9" width="2.83203125" style="82" customWidth="1"/>
    <col min="10" max="10" width="17.83203125" style="82" customWidth="1"/>
    <col min="11" max="11" width="16.83203125" style="82" customWidth="1"/>
    <col min="12" max="16384" width="15.83203125" style="82" customWidth="1"/>
  </cols>
  <sheetData>
    <row r="4" spans="1:10" ht="12.75">
      <c r="A4" s="175"/>
      <c r="B4" s="175"/>
      <c r="C4" s="175"/>
      <c r="D4" s="175"/>
      <c r="E4" s="175"/>
      <c r="F4" s="175"/>
      <c r="G4" s="175"/>
      <c r="H4" s="175"/>
      <c r="I4" s="175"/>
      <c r="J4" s="175"/>
    </row>
    <row r="6" ht="12.75">
      <c r="B6"/>
    </row>
    <row r="7" spans="3:10" ht="12.75">
      <c r="C7" s="142"/>
      <c r="D7" s="142"/>
      <c r="E7" s="142"/>
      <c r="F7" s="142"/>
      <c r="G7" s="142"/>
      <c r="H7" s="142"/>
      <c r="I7" s="142"/>
      <c r="J7" s="142"/>
    </row>
    <row r="8" spans="3:10" ht="12.75">
      <c r="C8" s="142"/>
      <c r="D8" s="142"/>
      <c r="E8" s="142"/>
      <c r="F8" s="142"/>
      <c r="G8" s="142"/>
      <c r="H8" s="142"/>
      <c r="I8" s="142"/>
      <c r="J8" s="142"/>
    </row>
    <row r="9" spans="3:10" ht="15.75">
      <c r="C9" s="322" t="str">
        <f>YEAR</f>
        <v>OPERATING FUND BUDGET 2002/2003</v>
      </c>
      <c r="D9" s="153"/>
      <c r="E9" s="153"/>
      <c r="F9" s="153"/>
      <c r="G9" s="153"/>
      <c r="H9" s="153"/>
      <c r="I9" s="142"/>
      <c r="J9" s="142"/>
    </row>
    <row r="10" spans="3:10" ht="15.75">
      <c r="C10" s="323" t="s">
        <v>249</v>
      </c>
      <c r="D10" s="153"/>
      <c r="E10" s="153"/>
      <c r="F10" s="153"/>
      <c r="G10" s="153"/>
      <c r="H10" s="153"/>
      <c r="I10" s="142"/>
      <c r="J10" s="142"/>
    </row>
    <row r="11" spans="3:10" ht="12.75">
      <c r="C11" s="142"/>
      <c r="D11" s="142"/>
      <c r="E11" s="142"/>
      <c r="F11" s="142"/>
      <c r="G11" s="142"/>
      <c r="H11" s="142"/>
      <c r="I11" s="142"/>
      <c r="J11" s="142"/>
    </row>
    <row r="12" spans="3:10" ht="12.75">
      <c r="C12" s="142"/>
      <c r="D12" s="142"/>
      <c r="E12" s="142"/>
      <c r="F12" s="142"/>
      <c r="G12" s="142"/>
      <c r="H12" s="142"/>
      <c r="I12" s="142"/>
      <c r="J12" s="142"/>
    </row>
    <row r="13" spans="3:10" ht="12.75">
      <c r="C13" s="190" t="s">
        <v>250</v>
      </c>
      <c r="D13" s="191"/>
      <c r="E13" s="191"/>
      <c r="F13" s="191"/>
      <c r="G13" s="191"/>
      <c r="H13" s="194"/>
      <c r="I13" s="142"/>
      <c r="J13" s="142"/>
    </row>
    <row r="14" spans="3:10" ht="12.75">
      <c r="C14" s="142"/>
      <c r="D14" s="142"/>
      <c r="E14" s="142"/>
      <c r="F14" s="142"/>
      <c r="G14" s="142"/>
      <c r="H14" s="142"/>
      <c r="I14" s="142"/>
      <c r="J14" s="142"/>
    </row>
    <row r="15" spans="3:10" ht="12.75">
      <c r="C15" s="143"/>
      <c r="D15" s="143" t="s">
        <v>251</v>
      </c>
      <c r="E15" s="294"/>
      <c r="F15" s="143" t="s">
        <v>252</v>
      </c>
      <c r="G15" s="143" t="s">
        <v>218</v>
      </c>
      <c r="H15" s="295"/>
      <c r="I15" s="206"/>
      <c r="J15" s="206"/>
    </row>
    <row r="16" spans="3:10" ht="12.75">
      <c r="C16" s="147" t="s">
        <v>253</v>
      </c>
      <c r="D16" s="147" t="s">
        <v>254</v>
      </c>
      <c r="E16" s="71" t="s">
        <v>228</v>
      </c>
      <c r="F16" s="147" t="s">
        <v>255</v>
      </c>
      <c r="G16" s="147" t="s">
        <v>228</v>
      </c>
      <c r="H16" s="70" t="s">
        <v>114</v>
      </c>
      <c r="I16" s="217"/>
      <c r="J16" s="147" t="s">
        <v>256</v>
      </c>
    </row>
    <row r="18" spans="1:10" ht="12.75">
      <c r="A18" s="77">
        <v>100</v>
      </c>
      <c r="B18" s="77" t="s">
        <v>62</v>
      </c>
      <c r="C18" s="188">
        <f>'- 12 -'!C13</f>
        <v>678524100</v>
      </c>
      <c r="D18" s="290">
        <f>'- 12 -'!C23</f>
        <v>44348530.74</v>
      </c>
      <c r="E18" s="290">
        <f>'- 12 -'!C25</f>
        <v>17317389</v>
      </c>
      <c r="F18" s="290">
        <f>'- 12 -'!C42</f>
        <v>51812710</v>
      </c>
      <c r="G18" s="289"/>
      <c r="H18" s="296"/>
      <c r="J18" s="188">
        <f>SUM(C18:F18)</f>
        <v>792002729.74</v>
      </c>
    </row>
    <row r="19" spans="1:10" ht="24" customHeight="1">
      <c r="A19" s="77">
        <v>200</v>
      </c>
      <c r="B19" s="77" t="s">
        <v>63</v>
      </c>
      <c r="C19" s="188">
        <f>'- 12 -'!E13</f>
        <v>162915912.25</v>
      </c>
      <c r="D19" s="290">
        <f>'- 12 -'!E23</f>
        <v>14823292.1175</v>
      </c>
      <c r="E19" s="290">
        <f>'- 12 -'!E25</f>
        <v>8435339</v>
      </c>
      <c r="F19" s="290">
        <f>'- 12 -'!E42</f>
        <v>3410305</v>
      </c>
      <c r="G19" s="289"/>
      <c r="H19" s="296"/>
      <c r="J19" s="188">
        <f>SUM(C19:F19)</f>
        <v>189584848.3675</v>
      </c>
    </row>
    <row r="20" spans="1:10" ht="24" customHeight="1">
      <c r="A20" s="77">
        <v>300</v>
      </c>
      <c r="B20" s="77" t="s">
        <v>445</v>
      </c>
      <c r="C20" s="188">
        <f>'- 12 -'!G13</f>
        <v>2677070</v>
      </c>
      <c r="D20" s="290">
        <f>'- 12 -'!G23</f>
        <v>109236.2</v>
      </c>
      <c r="E20" s="290">
        <f>'- 12 -'!G25</f>
        <v>261512</v>
      </c>
      <c r="F20" s="290">
        <f>'- 12 -'!G42</f>
        <v>147639</v>
      </c>
      <c r="G20" s="289"/>
      <c r="H20" s="296"/>
      <c r="J20" s="188">
        <f>SUM(C20:F20)</f>
        <v>3195457.2</v>
      </c>
    </row>
    <row r="21" spans="1:10" ht="24" customHeight="1">
      <c r="A21" s="77">
        <v>400</v>
      </c>
      <c r="B21" s="77" t="s">
        <v>257</v>
      </c>
      <c r="C21" s="188">
        <f>'- 12 -'!I13</f>
        <v>7090281</v>
      </c>
      <c r="D21" s="290">
        <f>'- 12 -'!I23</f>
        <v>540730</v>
      </c>
      <c r="E21" s="290">
        <f>'- 12 -'!I25</f>
        <v>957308</v>
      </c>
      <c r="F21" s="290">
        <f>'- 12 -'!I42</f>
        <v>391271</v>
      </c>
      <c r="G21" s="289"/>
      <c r="H21" s="296"/>
      <c r="J21" s="188">
        <f>SUM(C21:F21)</f>
        <v>8979590</v>
      </c>
    </row>
    <row r="22" spans="1:10" ht="24" customHeight="1">
      <c r="A22" s="77">
        <v>500</v>
      </c>
      <c r="B22" s="77" t="s">
        <v>335</v>
      </c>
      <c r="C22" s="188">
        <f>'- 12 -'!K13</f>
        <v>29567495</v>
      </c>
      <c r="D22" s="290">
        <f>'- 12 -'!K23</f>
        <v>3551828.25</v>
      </c>
      <c r="E22" s="290">
        <f>'- 12 -'!K25</f>
        <v>12542385</v>
      </c>
      <c r="F22" s="290">
        <f>'- 12 -'!K42</f>
        <v>2634944</v>
      </c>
      <c r="G22" s="289"/>
      <c r="H22" s="296"/>
      <c r="J22" s="188">
        <f>SUM(C22:F22)</f>
        <v>48296652.25</v>
      </c>
    </row>
    <row r="23" spans="1:11" ht="12" customHeight="1">
      <c r="A23" s="77"/>
      <c r="B23" s="77"/>
      <c r="C23" s="188"/>
      <c r="D23" s="290"/>
      <c r="E23" s="290"/>
      <c r="F23" s="290"/>
      <c r="G23" s="289"/>
      <c r="H23" s="296"/>
      <c r="J23" s="188"/>
      <c r="K23" s="437" t="s">
        <v>357</v>
      </c>
    </row>
    <row r="24" spans="1:11" ht="24" customHeight="1">
      <c r="A24" s="297">
        <v>600</v>
      </c>
      <c r="B24" s="298" t="s">
        <v>312</v>
      </c>
      <c r="C24" s="188">
        <f>'- 13 -'!C13</f>
        <v>49055342</v>
      </c>
      <c r="D24" s="290">
        <f>'- 13 -'!C23</f>
        <v>3885148.76</v>
      </c>
      <c r="E24" s="290">
        <f>'- 13 -'!C25</f>
        <v>8257490</v>
      </c>
      <c r="F24" s="290">
        <f>'- 13 -'!C42</f>
        <v>6964334</v>
      </c>
      <c r="G24" s="289"/>
      <c r="H24" s="296"/>
      <c r="J24" s="188">
        <f>SUM(C24:F24)</f>
        <v>68162314.75999999</v>
      </c>
      <c r="K24" s="438"/>
    </row>
    <row r="25" spans="1:11" ht="24" customHeight="1">
      <c r="A25" s="77">
        <v>700</v>
      </c>
      <c r="B25" s="77" t="s">
        <v>258</v>
      </c>
      <c r="C25" s="188">
        <f>'- 13 -'!E13</f>
        <v>24546595</v>
      </c>
      <c r="D25" s="290">
        <f>'- 13 -'!E23</f>
        <v>3264698.19</v>
      </c>
      <c r="E25" s="290">
        <f>'- 13 -'!E25</f>
        <v>15211206</v>
      </c>
      <c r="F25" s="290">
        <f>'- 13 -'!E42</f>
        <v>11098645</v>
      </c>
      <c r="G25" s="289"/>
      <c r="H25" s="296"/>
      <c r="J25" s="188">
        <f>SUM(C25:F25)</f>
        <v>54121144.19</v>
      </c>
      <c r="K25" s="416"/>
    </row>
    <row r="26" spans="1:10" ht="24" customHeight="1">
      <c r="A26" s="77">
        <v>800</v>
      </c>
      <c r="B26" s="77" t="s">
        <v>259</v>
      </c>
      <c r="C26" s="188">
        <f>'- 13 -'!G13</f>
        <v>68945904</v>
      </c>
      <c r="D26" s="290">
        <f>'- 13 -'!G23</f>
        <v>10213374.21</v>
      </c>
      <c r="E26" s="290">
        <f>'- 13 -'!G25</f>
        <v>69168245</v>
      </c>
      <c r="F26" s="290">
        <f>'- 13 -'!G42</f>
        <v>14742580</v>
      </c>
      <c r="G26" s="289"/>
      <c r="H26" s="255"/>
      <c r="J26" s="188">
        <f>SUM(C26:F26)</f>
        <v>163070103.21</v>
      </c>
    </row>
    <row r="27" spans="1:10" ht="24" customHeight="1">
      <c r="A27" s="77">
        <v>900</v>
      </c>
      <c r="B27" s="77" t="s">
        <v>68</v>
      </c>
      <c r="C27" s="188"/>
      <c r="D27" s="290"/>
      <c r="E27" s="290"/>
      <c r="F27" s="290"/>
      <c r="G27" s="290">
        <v>2661092</v>
      </c>
      <c r="H27" s="151">
        <v>21261859</v>
      </c>
      <c r="I27" s="406" t="s">
        <v>351</v>
      </c>
      <c r="J27" s="188">
        <f>SUM(G27:H27)</f>
        <v>23922951</v>
      </c>
    </row>
    <row r="28" spans="1:10" ht="12.75">
      <c r="A28" s="77"/>
      <c r="B28" s="77"/>
      <c r="C28" s="188"/>
      <c r="D28" s="290"/>
      <c r="E28" s="290"/>
      <c r="F28" s="290"/>
      <c r="G28" s="290"/>
      <c r="H28" s="299"/>
      <c r="J28" s="188"/>
    </row>
    <row r="29" spans="2:10" ht="12.75">
      <c r="B29" s="77"/>
      <c r="C29" s="151"/>
      <c r="D29" s="151"/>
      <c r="E29" s="151"/>
      <c r="F29" s="151"/>
      <c r="G29" s="151"/>
      <c r="H29" s="151"/>
      <c r="J29" s="151"/>
    </row>
    <row r="30" spans="2:10" ht="12.75">
      <c r="B30" s="77" t="s">
        <v>256</v>
      </c>
      <c r="C30" s="292">
        <f>SUM(C18:C27)</f>
        <v>1023322699.25</v>
      </c>
      <c r="D30" s="300">
        <f>SUM(D18:D27)</f>
        <v>80736838.4675</v>
      </c>
      <c r="E30" s="300">
        <f>SUM(E18:E27)</f>
        <v>132150874</v>
      </c>
      <c r="F30" s="300">
        <f>SUM(F18:F27)</f>
        <v>91202428</v>
      </c>
      <c r="G30" s="300">
        <f>G27</f>
        <v>2661092</v>
      </c>
      <c r="H30" s="301">
        <f>H27</f>
        <v>21261859</v>
      </c>
      <c r="I30" s="302"/>
      <c r="J30" s="292">
        <f>SUM(J18:J27)</f>
        <v>1351335790.7175002</v>
      </c>
    </row>
    <row r="31" spans="3:8" ht="12.75">
      <c r="C31" s="151"/>
      <c r="D31" s="151"/>
      <c r="E31" s="151"/>
      <c r="F31" s="151"/>
      <c r="G31" s="151"/>
      <c r="H31" s="151"/>
    </row>
    <row r="32" ht="60" customHeight="1"/>
    <row r="33" spans="1:3" ht="12.75">
      <c r="A33" s="396" t="s">
        <v>351</v>
      </c>
      <c r="B33" s="7" t="s">
        <v>493</v>
      </c>
      <c r="C33" s="77"/>
    </row>
    <row r="34" spans="1:10" ht="12.75">
      <c r="A34"/>
      <c r="B34"/>
      <c r="C34" s="151"/>
      <c r="J34" s="151"/>
    </row>
    <row r="35" spans="2:3" ht="12.75">
      <c r="B35" s="7"/>
      <c r="C35" s="151"/>
    </row>
    <row r="36" ht="12.75" customHeight="1"/>
    <row r="37" ht="12.75" customHeight="1"/>
    <row r="38" ht="12.75" customHeight="1"/>
    <row r="39" ht="12.75" customHeight="1"/>
    <row r="40" ht="12.75" customHeight="1"/>
    <row r="41" ht="12.75" customHeight="1"/>
    <row r="42" ht="12.75" customHeight="1"/>
    <row r="43" ht="12.75" customHeight="1"/>
  </sheetData>
  <mergeCells count="1">
    <mergeCell ref="K23:K24"/>
  </mergeCells>
  <printOptions verticalCentered="1"/>
  <pageMargins left="0.4" right="0" top="0.3" bottom="0.3" header="0" footer="0"/>
  <pageSetup fitToHeight="1" fitToWidth="1" horizontalDpi="300" verticalDpi="300" orientation="landscape" scale="83"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M56"/>
  <sheetViews>
    <sheetView showGridLines="0" showZeros="0" workbookViewId="0" topLeftCell="A1">
      <selection activeCell="A1" sqref="A1"/>
    </sheetView>
  </sheetViews>
  <sheetFormatPr defaultColWidth="15.83203125" defaultRowHeight="12"/>
  <cols>
    <col min="1" max="1" width="6.83203125" style="82" customWidth="1"/>
    <col min="2" max="2" width="52.83203125" style="82" customWidth="1"/>
    <col min="3" max="3" width="15.83203125" style="82" customWidth="1"/>
    <col min="4" max="4" width="8.83203125" style="82" customWidth="1"/>
    <col min="5" max="5" width="15.83203125" style="82" customWidth="1"/>
    <col min="6" max="6" width="8.83203125" style="82" customWidth="1"/>
    <col min="7" max="7" width="15.83203125" style="82" customWidth="1"/>
    <col min="8" max="8" width="8.83203125" style="82" customWidth="1"/>
    <col min="9" max="9" width="15.83203125" style="82" customWidth="1"/>
    <col min="10" max="10" width="8.83203125" style="82" customWidth="1"/>
    <col min="11" max="11" width="15.83203125" style="82" customWidth="1"/>
    <col min="12" max="12" width="8.83203125" style="82" customWidth="1"/>
    <col min="13" max="13" width="10.83203125" style="82" customWidth="1"/>
    <col min="14" max="16384" width="15.83203125" style="82" customWidth="1"/>
  </cols>
  <sheetData>
    <row r="2" spans="1:12" ht="12.75">
      <c r="A2" s="175"/>
      <c r="B2" s="175"/>
      <c r="C2" s="175"/>
      <c r="D2" s="175"/>
      <c r="E2" s="126" t="str">
        <f>YEAR</f>
        <v>OPERATING FUND BUDGET 2002/2003</v>
      </c>
      <c r="F2" s="126"/>
      <c r="G2" s="126"/>
      <c r="H2" s="126"/>
      <c r="I2" s="107"/>
      <c r="J2" s="107"/>
      <c r="K2" s="286"/>
      <c r="L2" s="108" t="s">
        <v>7</v>
      </c>
    </row>
    <row r="3" spans="11:12" ht="12.75">
      <c r="K3" s="174"/>
      <c r="L3" s="174"/>
    </row>
    <row r="4" spans="3:12" ht="15.75">
      <c r="C4" s="324" t="s">
        <v>261</v>
      </c>
      <c r="D4" s="174"/>
      <c r="E4" s="174"/>
      <c r="F4" s="174"/>
      <c r="G4" s="174"/>
      <c r="H4" s="174"/>
      <c r="I4" s="174"/>
      <c r="J4" s="174"/>
      <c r="K4" s="174"/>
      <c r="L4" s="174"/>
    </row>
    <row r="5" spans="3:12" ht="15.75">
      <c r="C5" s="324" t="s">
        <v>262</v>
      </c>
      <c r="D5" s="174"/>
      <c r="E5" s="174"/>
      <c r="F5" s="174"/>
      <c r="G5" s="174"/>
      <c r="H5" s="174"/>
      <c r="I5" s="174"/>
      <c r="J5" s="174"/>
      <c r="K5" s="174"/>
      <c r="L5" s="174"/>
    </row>
    <row r="7" spans="3:12" ht="12.75">
      <c r="C7" s="125" t="s">
        <v>263</v>
      </c>
      <c r="D7" s="107"/>
      <c r="E7" s="107"/>
      <c r="F7" s="107"/>
      <c r="G7" s="107"/>
      <c r="H7" s="107"/>
      <c r="I7" s="107"/>
      <c r="J7" s="107"/>
      <c r="K7" s="107"/>
      <c r="L7" s="132"/>
    </row>
    <row r="8" ht="9" customHeight="1"/>
    <row r="9" spans="1:12" ht="12.75">
      <c r="A9" s="142"/>
      <c r="B9" s="142"/>
      <c r="C9" s="68" t="s">
        <v>78</v>
      </c>
      <c r="D9" s="67"/>
      <c r="E9" s="184"/>
      <c r="F9" s="67"/>
      <c r="G9" s="66" t="s">
        <v>420</v>
      </c>
      <c r="H9" s="67"/>
      <c r="I9" s="66" t="s">
        <v>73</v>
      </c>
      <c r="J9" s="67"/>
      <c r="K9" s="66" t="s">
        <v>332</v>
      </c>
      <c r="L9" s="67"/>
    </row>
    <row r="10" spans="1:12" ht="16.5">
      <c r="A10" s="142"/>
      <c r="B10" s="142"/>
      <c r="C10" s="69" t="s">
        <v>264</v>
      </c>
      <c r="D10" s="71"/>
      <c r="E10" s="70" t="s">
        <v>63</v>
      </c>
      <c r="F10" s="71"/>
      <c r="G10" s="70" t="s">
        <v>460</v>
      </c>
      <c r="H10" s="71"/>
      <c r="I10" s="70" t="s">
        <v>97</v>
      </c>
      <c r="J10" s="71"/>
      <c r="K10" s="70" t="s">
        <v>38</v>
      </c>
      <c r="L10" s="71"/>
    </row>
    <row r="11" spans="1:12" ht="12.75">
      <c r="A11" s="142"/>
      <c r="B11" s="142"/>
      <c r="C11" s="288" t="s">
        <v>102</v>
      </c>
      <c r="D11" s="288" t="s">
        <v>103</v>
      </c>
      <c r="E11" s="288" t="s">
        <v>102</v>
      </c>
      <c r="F11" s="288" t="s">
        <v>103</v>
      </c>
      <c r="G11" s="288" t="s">
        <v>102</v>
      </c>
      <c r="H11" s="288" t="s">
        <v>103</v>
      </c>
      <c r="I11" s="288" t="s">
        <v>102</v>
      </c>
      <c r="J11" s="288" t="s">
        <v>103</v>
      </c>
      <c r="K11" s="288" t="s">
        <v>102</v>
      </c>
      <c r="L11" s="259" t="s">
        <v>103</v>
      </c>
    </row>
    <row r="12" spans="1:12" ht="4.5" customHeight="1">
      <c r="A12" s="142"/>
      <c r="B12" s="142"/>
      <c r="C12" s="142"/>
      <c r="D12" s="142"/>
      <c r="E12" s="142"/>
      <c r="F12" s="142"/>
      <c r="G12" s="142"/>
      <c r="H12" s="142"/>
      <c r="I12" s="142"/>
      <c r="J12" s="142"/>
      <c r="K12" s="142"/>
      <c r="L12" s="142"/>
    </row>
    <row r="13" spans="1:12" ht="12.75">
      <c r="A13" s="182">
        <v>300</v>
      </c>
      <c r="B13" s="334" t="s">
        <v>253</v>
      </c>
      <c r="C13" s="329">
        <f>SUM(C14:C21)</f>
        <v>678524100</v>
      </c>
      <c r="D13" s="330">
        <f>C13/'- 13 -'!$K$54</f>
        <v>0.5021136157725339</v>
      </c>
      <c r="E13" s="329">
        <f>SUM(E14:E21)</f>
        <v>162915912.25</v>
      </c>
      <c r="F13" s="330">
        <f>E13/'- 13 -'!$K$54</f>
        <v>0.12055916328797804</v>
      </c>
      <c r="G13" s="329">
        <f>SUM(G14:G21)</f>
        <v>2677070</v>
      </c>
      <c r="H13" s="330">
        <f>G13/'- 13 -'!$K$54</f>
        <v>0.001981054611584433</v>
      </c>
      <c r="I13" s="329">
        <f>SUM(I14:I21)</f>
        <v>7090281</v>
      </c>
      <c r="J13" s="330">
        <f>I13/'- 13 -'!$K$54</f>
        <v>0.005246868357002054</v>
      </c>
      <c r="K13" s="329">
        <f>SUM(K14:K21)</f>
        <v>29567495</v>
      </c>
      <c r="L13" s="330">
        <f>K13/'- 13 -'!$K$54</f>
        <v>0.02188019824761761</v>
      </c>
    </row>
    <row r="14" spans="1:12" ht="12.75">
      <c r="A14" s="142"/>
      <c r="B14" s="311" t="s">
        <v>265</v>
      </c>
      <c r="C14" s="329"/>
      <c r="D14" s="330"/>
      <c r="E14" s="329"/>
      <c r="F14" s="330"/>
      <c r="G14" s="329"/>
      <c r="H14" s="330"/>
      <c r="I14" s="329"/>
      <c r="J14" s="330"/>
      <c r="K14" s="329">
        <v>3092988</v>
      </c>
      <c r="L14" s="330"/>
    </row>
    <row r="15" spans="1:12" ht="12.75">
      <c r="A15" s="142"/>
      <c r="B15" s="311" t="s">
        <v>266</v>
      </c>
      <c r="C15" s="329">
        <v>52275378</v>
      </c>
      <c r="D15" s="330">
        <f>C15/'- 13 -'!$K$54</f>
        <v>0.03868422516378706</v>
      </c>
      <c r="E15" s="329">
        <v>5661429.25</v>
      </c>
      <c r="F15" s="330">
        <f>E15/'- 13 -'!$K$54</f>
        <v>0.004189505886611668</v>
      </c>
      <c r="G15" s="329">
        <v>1399946</v>
      </c>
      <c r="H15" s="330">
        <f>G15/'- 13 -'!$K$54</f>
        <v>0.0010359719690815634</v>
      </c>
      <c r="I15" s="329">
        <v>561438</v>
      </c>
      <c r="J15" s="330">
        <f>I15/'- 13 -'!$K$54</f>
        <v>0.00041546890407002474</v>
      </c>
      <c r="K15" s="329">
        <v>13476024</v>
      </c>
      <c r="L15" s="330">
        <f>K15/'- 13 -'!$K$54</f>
        <v>0.009972372590564499</v>
      </c>
    </row>
    <row r="16" spans="1:12" ht="12.75">
      <c r="A16" s="142"/>
      <c r="B16" s="311" t="s">
        <v>267</v>
      </c>
      <c r="C16" s="329">
        <v>579429288</v>
      </c>
      <c r="D16" s="330">
        <f>C16/'- 13 -'!$K$54</f>
        <v>0.4287826104956108</v>
      </c>
      <c r="E16" s="329">
        <v>67421664</v>
      </c>
      <c r="F16" s="330">
        <f>E16/'- 13 -'!$K$54</f>
        <v>0.04989260586682312</v>
      </c>
      <c r="G16" s="329">
        <v>1029759</v>
      </c>
      <c r="H16" s="330">
        <f>G16/'- 13 -'!$K$54</f>
        <v>0.0007620304346806675</v>
      </c>
      <c r="I16" s="329">
        <v>4670162</v>
      </c>
      <c r="J16" s="330">
        <f>I16/'- 13 -'!$K$54</f>
        <v>0.003455959674923099</v>
      </c>
      <c r="K16" s="329"/>
      <c r="L16" s="330">
        <f>K16/'- 13 -'!$K$54</f>
        <v>0</v>
      </c>
    </row>
    <row r="17" spans="1:12" ht="12.75">
      <c r="A17" s="142"/>
      <c r="B17" s="311" t="s">
        <v>268</v>
      </c>
      <c r="C17" s="329">
        <v>14832381</v>
      </c>
      <c r="D17" s="330">
        <f>C17/'- 13 -'!$K$54</f>
        <v>0.010976088328219781</v>
      </c>
      <c r="E17" s="329">
        <v>70614201</v>
      </c>
      <c r="F17" s="330">
        <f>E17/'- 13 -'!$K$54</f>
        <v>0.05225511045075403</v>
      </c>
      <c r="G17" s="329">
        <v>148055</v>
      </c>
      <c r="H17" s="330">
        <f>G17/'- 13 -'!$K$54</f>
        <v>0.00010956196159164059</v>
      </c>
      <c r="I17" s="329">
        <v>827792</v>
      </c>
      <c r="J17" s="330">
        <f>I17/'- 13 -'!$K$54</f>
        <v>0.0006125731336994181</v>
      </c>
      <c r="K17" s="329"/>
      <c r="L17" s="330">
        <f>K17/'- 13 -'!$K$54</f>
        <v>0</v>
      </c>
    </row>
    <row r="18" spans="1:12" ht="12.75">
      <c r="A18" s="142"/>
      <c r="B18" s="311" t="s">
        <v>269</v>
      </c>
      <c r="C18" s="329">
        <v>2255795</v>
      </c>
      <c r="D18" s="330">
        <f>C18/'- 13 -'!$K$54</f>
        <v>0.0016693075218575184</v>
      </c>
      <c r="E18" s="329">
        <v>2089854</v>
      </c>
      <c r="F18" s="330">
        <f>E18/'- 13 -'!$K$54</f>
        <v>0.0015465097678574614</v>
      </c>
      <c r="G18" s="329">
        <v>48500</v>
      </c>
      <c r="H18" s="330">
        <f>G18/'- 13 -'!$K$54</f>
        <v>3.5890413273408995E-05</v>
      </c>
      <c r="I18" s="329">
        <v>588322</v>
      </c>
      <c r="J18" s="330">
        <f>I18/'- 13 -'!$K$54</f>
        <v>0.00043536329315130984</v>
      </c>
      <c r="K18" s="329">
        <v>2263981</v>
      </c>
      <c r="L18" s="330">
        <f>K18/'- 13 -'!$K$54</f>
        <v>0.001675365231611253</v>
      </c>
    </row>
    <row r="19" spans="2:12" ht="12.75">
      <c r="B19" s="312" t="s">
        <v>270</v>
      </c>
      <c r="C19" s="331">
        <v>24730183</v>
      </c>
      <c r="D19" s="332">
        <f>C19/'- 13 -'!$K$54</f>
        <v>0.01830054614839244</v>
      </c>
      <c r="E19" s="329">
        <v>1969122</v>
      </c>
      <c r="F19" s="332">
        <f>E19/'- 13 -'!$K$54</f>
        <v>0.0014571670590878695</v>
      </c>
      <c r="G19" s="329">
        <v>40310</v>
      </c>
      <c r="H19" s="332">
        <f>G19/'- 13 -'!$K$54</f>
        <v>2.9829743485590034E-05</v>
      </c>
      <c r="I19" s="329">
        <v>417967</v>
      </c>
      <c r="J19" s="332">
        <f>I19/'- 13 -'!$K$54</f>
        <v>0.0003092991415391121</v>
      </c>
      <c r="K19" s="329">
        <v>10212389</v>
      </c>
      <c r="L19" s="332">
        <f>K19/'- 13 -'!$K$54</f>
        <v>0.0075572548808003305</v>
      </c>
    </row>
    <row r="20" spans="2:12" ht="12.75">
      <c r="B20" s="312" t="s">
        <v>313</v>
      </c>
      <c r="C20" s="333"/>
      <c r="D20" s="332"/>
      <c r="E20" s="329">
        <v>15142125</v>
      </c>
      <c r="F20" s="332">
        <f>E20/'- 13 -'!$K$54</f>
        <v>0.011205301527579757</v>
      </c>
      <c r="G20" s="331"/>
      <c r="H20" s="332"/>
      <c r="I20" s="329">
        <v>5800</v>
      </c>
      <c r="J20" s="332"/>
      <c r="K20" s="331"/>
      <c r="L20" s="332"/>
    </row>
    <row r="21" spans="2:12" ht="12.75">
      <c r="B21" s="358" t="s">
        <v>341</v>
      </c>
      <c r="C21" s="331">
        <v>5001075</v>
      </c>
      <c r="D21" s="332">
        <f>C21/'- 13 -'!$K$54</f>
        <v>0.0037008381146662658</v>
      </c>
      <c r="E21" s="331">
        <v>17517</v>
      </c>
      <c r="F21" s="332">
        <f>E21/'- 13 -'!$K$54</f>
        <v>1.2962729264130008E-05</v>
      </c>
      <c r="G21" s="331">
        <v>10500</v>
      </c>
      <c r="H21" s="332">
        <f>G21/'- 13 -'!$K$54</f>
        <v>7.770089471562771E-06</v>
      </c>
      <c r="I21" s="331">
        <v>18800</v>
      </c>
      <c r="J21" s="332">
        <f>I21/'- 13 -'!$K$54</f>
        <v>1.3912160196702868E-05</v>
      </c>
      <c r="K21" s="331">
        <v>522113</v>
      </c>
      <c r="L21" s="332">
        <f>K21/'- 13 -'!$K$54</f>
        <v>0.00038636806897771937</v>
      </c>
    </row>
    <row r="22" spans="3:12" ht="4.5" customHeight="1">
      <c r="C22" s="331"/>
      <c r="D22" s="332"/>
      <c r="E22" s="331"/>
      <c r="F22" s="332"/>
      <c r="G22" s="331"/>
      <c r="H22" s="332"/>
      <c r="I22" s="331"/>
      <c r="J22" s="332"/>
      <c r="K22" s="331"/>
      <c r="L22" s="332"/>
    </row>
    <row r="23" spans="1:12" ht="12.75">
      <c r="A23" s="77">
        <v>400</v>
      </c>
      <c r="B23" s="335" t="s">
        <v>271</v>
      </c>
      <c r="C23" s="331">
        <v>44348530.74</v>
      </c>
      <c r="D23" s="332">
        <f>C23/'- 13 -'!$K$54</f>
        <v>0.032818290645919235</v>
      </c>
      <c r="E23" s="329">
        <v>14823292.1175</v>
      </c>
      <c r="F23" s="332">
        <f>E23/'- 13 -'!$K$54</f>
        <v>0.010969362477722493</v>
      </c>
      <c r="G23" s="329">
        <v>109236.2</v>
      </c>
      <c r="H23" s="332">
        <f>G23/'- 13 -'!$K$54</f>
        <v>8.083571881271669E-05</v>
      </c>
      <c r="I23" s="329">
        <v>540730</v>
      </c>
      <c r="J23" s="332">
        <f>I23/'- 13 -'!$K$54</f>
        <v>0.0004001448076150607</v>
      </c>
      <c r="K23" s="329">
        <v>3551828.25</v>
      </c>
      <c r="L23" s="332">
        <f>K23/'- 13 -'!$K$54</f>
        <v>0.0026283831704880215</v>
      </c>
    </row>
    <row r="24" spans="3:12" ht="4.5" customHeight="1">
      <c r="C24" s="331"/>
      <c r="D24" s="332"/>
      <c r="E24" s="331"/>
      <c r="F24" s="332"/>
      <c r="G24" s="331"/>
      <c r="H24" s="332"/>
      <c r="I24" s="331"/>
      <c r="J24" s="332"/>
      <c r="K24" s="331"/>
      <c r="L24" s="332"/>
    </row>
    <row r="25" spans="1:12" ht="12.75">
      <c r="A25" s="336" t="s">
        <v>272</v>
      </c>
      <c r="B25" s="335" t="s">
        <v>228</v>
      </c>
      <c r="C25" s="331">
        <f>SUM(C26:C40)</f>
        <v>17317389</v>
      </c>
      <c r="D25" s="332">
        <f>C25/'- 13 -'!$K$54</f>
        <v>0.012815015423224472</v>
      </c>
      <c r="E25" s="331">
        <f>SUM(E26:E40)</f>
        <v>8435339</v>
      </c>
      <c r="F25" s="332">
        <f>E25/'- 13 -'!$K$54</f>
        <v>0.006242222738377413</v>
      </c>
      <c r="G25" s="331">
        <f>SUM(G26:G40)</f>
        <v>261512</v>
      </c>
      <c r="H25" s="332">
        <f>G25/'- 13 -'!$K$54</f>
        <v>0.0001935211083702213</v>
      </c>
      <c r="I25" s="331">
        <f>SUM(I26:I40)</f>
        <v>957308</v>
      </c>
      <c r="J25" s="332">
        <f>I25/'- 13 -'!$K$54</f>
        <v>0.0007084160773183632</v>
      </c>
      <c r="K25" s="331">
        <f>SUM(K26:K40)</f>
        <v>12542385</v>
      </c>
      <c r="L25" s="332">
        <f>K25/'- 13 -'!$K$54</f>
        <v>0.00928147177493208</v>
      </c>
    </row>
    <row r="26" spans="2:12" ht="12.75">
      <c r="B26" s="312" t="s">
        <v>273</v>
      </c>
      <c r="C26" s="331">
        <v>2426306</v>
      </c>
      <c r="D26" s="332">
        <f>C26/'- 13 -'!$K$54</f>
        <v>0.0017954871147990079</v>
      </c>
      <c r="E26" s="329">
        <v>6569172</v>
      </c>
      <c r="F26" s="332">
        <f>E26/'- 13 -'!$K$54</f>
        <v>0.00486124325657952</v>
      </c>
      <c r="G26" s="329">
        <v>32000</v>
      </c>
      <c r="H26" s="332">
        <f>G26/'- 13 -'!$K$54</f>
        <v>2.3680272675238925E-05</v>
      </c>
      <c r="I26" s="329">
        <v>589125</v>
      </c>
      <c r="J26" s="332">
        <f>I26/'- 13 -'!$K$54</f>
        <v>0.0004359575199937541</v>
      </c>
      <c r="K26" s="329">
        <v>2938976</v>
      </c>
      <c r="L26" s="332">
        <f>K26/'- 13 -'!$K$54</f>
        <v>0.0021748672833119685</v>
      </c>
    </row>
    <row r="27" spans="2:12" ht="12.75">
      <c r="B27" s="312" t="s">
        <v>274</v>
      </c>
      <c r="C27" s="331">
        <v>3314330</v>
      </c>
      <c r="D27" s="332">
        <f>C27/'- 13 -'!$K$54</f>
        <v>0.0024526324417413945</v>
      </c>
      <c r="E27" s="329">
        <v>155444</v>
      </c>
      <c r="F27" s="332">
        <f>E27/'- 13 -'!$K$54</f>
        <v>0.00011502988455405748</v>
      </c>
      <c r="G27" s="329">
        <v>19523</v>
      </c>
      <c r="H27" s="332">
        <f>G27/'- 13 -'!$K$54</f>
        <v>1.4447186357459047E-05</v>
      </c>
      <c r="I27" s="329">
        <v>48805</v>
      </c>
      <c r="J27" s="332">
        <f>I27/'- 13 -'!$K$54</f>
        <v>3.6116115872344866E-05</v>
      </c>
      <c r="K27" s="329">
        <v>1327848</v>
      </c>
      <c r="L27" s="332">
        <f>K27/'- 13 -'!$K$54</f>
        <v>0.000982618834727208</v>
      </c>
    </row>
    <row r="28" spans="2:12" ht="12.75" customHeight="1">
      <c r="B28" s="312" t="s">
        <v>275</v>
      </c>
      <c r="C28" s="331"/>
      <c r="D28" s="332">
        <f>C28/'- 13 -'!$K$54</f>
        <v>0</v>
      </c>
      <c r="E28" s="331"/>
      <c r="F28" s="332">
        <f>E28/'- 13 -'!$K$54</f>
        <v>0</v>
      </c>
      <c r="G28" s="329">
        <v>19400</v>
      </c>
      <c r="H28" s="332">
        <f>G28/'- 13 -'!$K$54</f>
        <v>1.4356165309363597E-05</v>
      </c>
      <c r="I28" s="331"/>
      <c r="J28" s="332">
        <f>I28/'- 13 -'!$K$54</f>
        <v>0</v>
      </c>
      <c r="K28" s="331"/>
      <c r="L28" s="332">
        <f>K28/'- 13 -'!$K$54</f>
        <v>0</v>
      </c>
    </row>
    <row r="29" spans="2:13" ht="12.75" customHeight="1">
      <c r="B29" s="312" t="s">
        <v>276</v>
      </c>
      <c r="C29" s="331">
        <v>1564487</v>
      </c>
      <c r="D29" s="332">
        <f>C29/'- 13 -'!$K$54</f>
        <v>0.0011577337111520786</v>
      </c>
      <c r="E29" s="329">
        <v>1174943</v>
      </c>
      <c r="F29" s="332">
        <f>E29/'- 13 -'!$K$54</f>
        <v>0.0008694678318082264</v>
      </c>
      <c r="G29" s="329">
        <v>7205</v>
      </c>
      <c r="H29" s="332">
        <f>G29/'- 13 -'!$K$54</f>
        <v>5.331761394534264E-06</v>
      </c>
      <c r="I29" s="329">
        <v>35090</v>
      </c>
      <c r="J29" s="332">
        <f>I29/'- 13 -'!$K$54</f>
        <v>2.5966899005441683E-05</v>
      </c>
      <c r="K29" s="329">
        <v>2394714</v>
      </c>
      <c r="L29" s="332">
        <f>K29/'- 13 -'!$K$54</f>
        <v>0.0017721087656003783</v>
      </c>
      <c r="M29" s="439" t="s">
        <v>459</v>
      </c>
    </row>
    <row r="30" spans="2:13" ht="12.75" customHeight="1">
      <c r="B30" s="312" t="s">
        <v>277</v>
      </c>
      <c r="C30" s="331"/>
      <c r="D30" s="332">
        <f>C30/'- 13 -'!$K$54</f>
        <v>0</v>
      </c>
      <c r="E30" s="331"/>
      <c r="F30" s="332">
        <f>E30/'- 13 -'!$K$54</f>
        <v>0</v>
      </c>
      <c r="G30" s="331"/>
      <c r="H30" s="332">
        <f>G30/'- 13 -'!$K$54</f>
        <v>0</v>
      </c>
      <c r="I30" s="331"/>
      <c r="J30" s="332">
        <f>I30/'- 13 -'!$K$54</f>
        <v>0</v>
      </c>
      <c r="K30" s="331"/>
      <c r="L30" s="332">
        <f>K30/'- 13 -'!$K$54</f>
        <v>0</v>
      </c>
      <c r="M30" s="440"/>
    </row>
    <row r="31" spans="2:13" ht="12.75" customHeight="1">
      <c r="B31" s="312" t="s">
        <v>278</v>
      </c>
      <c r="C31" s="331">
        <v>252400</v>
      </c>
      <c r="D31" s="332">
        <f>C31/'- 13 -'!$K$54</f>
        <v>0.00018677815072594702</v>
      </c>
      <c r="E31" s="329">
        <v>77400</v>
      </c>
      <c r="F31" s="332">
        <f>E31/'- 13 -'!$K$54</f>
        <v>5.727665953323415E-05</v>
      </c>
      <c r="G31" s="329">
        <v>0</v>
      </c>
      <c r="H31" s="332">
        <f>G31/'- 13 -'!$K$54</f>
        <v>0</v>
      </c>
      <c r="I31" s="329">
        <v>0</v>
      </c>
      <c r="J31" s="332">
        <f>I31/'- 13 -'!$K$54</f>
        <v>0</v>
      </c>
      <c r="K31" s="331"/>
      <c r="L31" s="332">
        <f>K31/'- 13 -'!$K$54</f>
        <v>0</v>
      </c>
      <c r="M31" s="440"/>
    </row>
    <row r="32" spans="2:12" ht="12.75" customHeight="1">
      <c r="B32" s="312" t="s">
        <v>279</v>
      </c>
      <c r="C32" s="331">
        <v>692159</v>
      </c>
      <c r="D32" s="332">
        <f>C32/'- 13 -'!$K$54</f>
        <v>0.0005122035579568969</v>
      </c>
      <c r="E32" s="329">
        <v>19375</v>
      </c>
      <c r="F32" s="332">
        <f>E32/'- 13 -'!$K$54</f>
        <v>1.4337665096336067E-05</v>
      </c>
      <c r="G32" s="329">
        <v>0</v>
      </c>
      <c r="H32" s="332">
        <f>G32/'- 13 -'!$K$54</f>
        <v>0</v>
      </c>
      <c r="I32" s="329">
        <v>94700</v>
      </c>
      <c r="J32" s="332">
        <f>I32/'- 13 -'!$K$54</f>
        <v>7.007880694828519E-05</v>
      </c>
      <c r="K32" s="329">
        <v>432914</v>
      </c>
      <c r="L32" s="332">
        <f>K32/'- 13 -'!$K$54</f>
        <v>0.000320360048904012</v>
      </c>
    </row>
    <row r="33" spans="2:12" ht="12.75">
      <c r="B33" s="312" t="s">
        <v>280</v>
      </c>
      <c r="C33" s="331"/>
      <c r="D33" s="332">
        <f>C33/'- 13 -'!$K$54</f>
        <v>0</v>
      </c>
      <c r="E33" s="331"/>
      <c r="F33" s="332">
        <f>E33/'- 13 -'!$K$54</f>
        <v>0</v>
      </c>
      <c r="G33" s="329">
        <v>0</v>
      </c>
      <c r="H33" s="332">
        <f>G33/'- 13 -'!$K$54</f>
        <v>0</v>
      </c>
      <c r="I33" s="331"/>
      <c r="J33" s="332">
        <f>I33/'- 13 -'!$K$54</f>
        <v>0</v>
      </c>
      <c r="K33" s="329">
        <v>676773</v>
      </c>
      <c r="L33" s="332">
        <f>K33/'- 13 -'!$K$54</f>
        <v>0.0005008177868512336</v>
      </c>
    </row>
    <row r="34" spans="2:12" ht="12.75">
      <c r="B34" s="312" t="s">
        <v>281</v>
      </c>
      <c r="C34" s="331">
        <v>2827127</v>
      </c>
      <c r="D34" s="332">
        <f>C34/'- 13 -'!$K$54</f>
        <v>0.0020920980702353186</v>
      </c>
      <c r="E34" s="329">
        <v>19538</v>
      </c>
      <c r="F34" s="332">
        <f>E34/'- 13 -'!$K$54</f>
        <v>1.4458286485275565E-05</v>
      </c>
      <c r="G34" s="329">
        <v>10649</v>
      </c>
      <c r="H34" s="332">
        <f>G34/'- 13 -'!$K$54</f>
        <v>7.880350741206853E-06</v>
      </c>
      <c r="I34" s="329">
        <v>8588</v>
      </c>
      <c r="J34" s="332">
        <f>I34/'- 13 -'!$K$54</f>
        <v>6.355193179217247E-06</v>
      </c>
      <c r="K34" s="329">
        <v>237011</v>
      </c>
      <c r="L34" s="332">
        <f>K34/'- 13 -'!$K$54</f>
        <v>0.0001753901595947204</v>
      </c>
    </row>
    <row r="35" spans="2:12" ht="12.75">
      <c r="B35" s="312" t="s">
        <v>282</v>
      </c>
      <c r="C35" s="331">
        <v>2381458</v>
      </c>
      <c r="D35" s="332">
        <f>C35/'- 13 -'!$K$54</f>
        <v>0.0017622992126446605</v>
      </c>
      <c r="E35" s="329">
        <v>65710</v>
      </c>
      <c r="F35" s="332">
        <f>E35/'- 13 -'!$K$54</f>
        <v>4.862595992156093E-05</v>
      </c>
      <c r="G35" s="329">
        <v>139100</v>
      </c>
      <c r="H35" s="332">
        <f>G35/'- 13 -'!$K$54</f>
        <v>0.0001029351852851792</v>
      </c>
      <c r="I35" s="329">
        <v>86050</v>
      </c>
      <c r="J35" s="332">
        <f>I35/'- 13 -'!$K$54</f>
        <v>6.367773324075967E-05</v>
      </c>
      <c r="K35" s="329">
        <v>634092</v>
      </c>
      <c r="L35" s="332">
        <f>K35/'- 13 -'!$K$54</f>
        <v>0.0004692334831621125</v>
      </c>
    </row>
    <row r="36" spans="1:12" ht="12.75">
      <c r="A36" s="151"/>
      <c r="B36" s="328" t="s">
        <v>283</v>
      </c>
      <c r="C36" s="331"/>
      <c r="D36" s="332">
        <f>C36/'- 13 -'!$K$54</f>
        <v>0</v>
      </c>
      <c r="E36" s="331"/>
      <c r="F36" s="332">
        <f>E36/'- 13 -'!$K$54</f>
        <v>0</v>
      </c>
      <c r="G36" s="329">
        <v>3000</v>
      </c>
      <c r="H36" s="332">
        <f>G36/'- 13 -'!$K$54</f>
        <v>2.220025563303649E-06</v>
      </c>
      <c r="I36" s="329"/>
      <c r="J36" s="332">
        <f>I36/'- 13 -'!$K$54</f>
        <v>0</v>
      </c>
      <c r="K36" s="331"/>
      <c r="L36" s="332">
        <f>K36/'- 13 -'!$K$54</f>
        <v>0</v>
      </c>
    </row>
    <row r="37" spans="2:12" ht="12.75">
      <c r="B37" s="312" t="s">
        <v>284</v>
      </c>
      <c r="C37" s="331">
        <v>260525</v>
      </c>
      <c r="D37" s="332">
        <f>C37/'- 13 -'!$K$54</f>
        <v>0.00019279071995989438</v>
      </c>
      <c r="E37" s="329">
        <v>15255</v>
      </c>
      <c r="F37" s="332">
        <f>E37/'- 13 -'!$K$54</f>
        <v>1.1288829989399056E-05</v>
      </c>
      <c r="G37" s="329">
        <v>12200</v>
      </c>
      <c r="H37" s="332">
        <f>G37/'- 13 -'!$K$54</f>
        <v>9.02810395743484E-06</v>
      </c>
      <c r="I37" s="329">
        <v>78400</v>
      </c>
      <c r="J37" s="332">
        <f>I37/'- 13 -'!$K$54</f>
        <v>5.801666805433536E-05</v>
      </c>
      <c r="K37" s="329">
        <v>606662</v>
      </c>
      <c r="L37" s="332">
        <f>K37/'- 13 -'!$K$54</f>
        <v>0.00044893504942830614</v>
      </c>
    </row>
    <row r="38" spans="2:12" ht="12.75">
      <c r="B38" s="312" t="s">
        <v>285</v>
      </c>
      <c r="C38" s="331">
        <v>413824</v>
      </c>
      <c r="D38" s="332">
        <f>C38/'- 13 -'!$K$54</f>
        <v>0.00030623328623618975</v>
      </c>
      <c r="E38" s="329">
        <v>47859</v>
      </c>
      <c r="F38" s="332">
        <f>E38/'- 13 -'!$K$54</f>
        <v>3.541606781138312E-05</v>
      </c>
      <c r="G38" s="329">
        <v>1000</v>
      </c>
      <c r="H38" s="332">
        <f>G38/'- 13 -'!$K$54</f>
        <v>7.400085211012164E-07</v>
      </c>
      <c r="I38" s="329">
        <v>11700</v>
      </c>
      <c r="J38" s="332">
        <f>I38/'- 13 -'!$K$54</f>
        <v>8.658099696884231E-06</v>
      </c>
      <c r="K38" s="329">
        <v>1682478</v>
      </c>
      <c r="L38" s="332">
        <f>K38/'- 13 -'!$K$54</f>
        <v>0.0012450480565653324</v>
      </c>
    </row>
    <row r="39" spans="2:12" ht="12.75">
      <c r="B39" s="358" t="s">
        <v>342</v>
      </c>
      <c r="C39" s="331">
        <v>293020</v>
      </c>
      <c r="D39" s="332">
        <f>C39/'- 13 -'!$K$54</f>
        <v>0.0002168372968530784</v>
      </c>
      <c r="E39" s="331">
        <v>266073</v>
      </c>
      <c r="F39" s="332">
        <f>E39/'- 13 -'!$K$54</f>
        <v>0.00019689628723496396</v>
      </c>
      <c r="G39" s="331">
        <v>4119</v>
      </c>
      <c r="H39" s="332">
        <f>G39/'- 13 -'!$K$54</f>
        <v>3.0480950984159104E-06</v>
      </c>
      <c r="I39" s="331">
        <v>4850</v>
      </c>
      <c r="J39" s="332">
        <f>I39/'- 13 -'!$K$54</f>
        <v>3.5890413273408994E-06</v>
      </c>
      <c r="K39" s="331">
        <v>759916</v>
      </c>
      <c r="L39" s="332">
        <f>K39/'- 13 -'!$K$54</f>
        <v>0.000562344315321152</v>
      </c>
    </row>
    <row r="40" spans="2:12" ht="12.75">
      <c r="B40" s="312" t="s">
        <v>286</v>
      </c>
      <c r="C40" s="331">
        <v>2891753</v>
      </c>
      <c r="D40" s="332">
        <f>C40/'- 13 -'!$K$54</f>
        <v>0.0021399218609200058</v>
      </c>
      <c r="E40" s="329">
        <v>24570</v>
      </c>
      <c r="F40" s="332">
        <f>E40/'- 13 -'!$K$54</f>
        <v>1.8182009363456885E-05</v>
      </c>
      <c r="G40" s="329">
        <v>13316</v>
      </c>
      <c r="H40" s="332">
        <f>G40/'- 13 -'!$K$54</f>
        <v>9.853953466983798E-06</v>
      </c>
      <c r="I40" s="329">
        <v>0</v>
      </c>
      <c r="J40" s="332">
        <f>I40/'- 13 -'!$K$54</f>
        <v>0</v>
      </c>
      <c r="K40" s="329">
        <v>851001</v>
      </c>
      <c r="L40" s="332">
        <f>K40/'- 13 -'!$K$54</f>
        <v>0.0006297479914656563</v>
      </c>
    </row>
    <row r="41" spans="3:12" ht="4.5" customHeight="1">
      <c r="C41" s="333"/>
      <c r="D41" s="333"/>
      <c r="E41" s="333"/>
      <c r="F41" s="333"/>
      <c r="G41" s="333"/>
      <c r="H41" s="333"/>
      <c r="I41" s="333"/>
      <c r="J41" s="333"/>
      <c r="K41" s="333"/>
      <c r="L41" s="333"/>
    </row>
    <row r="42" spans="1:12" ht="12.75">
      <c r="A42" s="77">
        <v>700</v>
      </c>
      <c r="B42" s="335" t="s">
        <v>287</v>
      </c>
      <c r="C42" s="331">
        <f>SUM(C43:C47)</f>
        <v>51812710</v>
      </c>
      <c r="D42" s="332">
        <f>C42/'- 13 -'!$K$54</f>
        <v>0.038341846901346205</v>
      </c>
      <c r="E42" s="331">
        <f>SUM(E43:E47)</f>
        <v>3410305</v>
      </c>
      <c r="F42" s="332">
        <f>E42/'- 13 -'!$K$54</f>
        <v>0.002523654759554084</v>
      </c>
      <c r="G42" s="331">
        <f>SUM(G43:G47)</f>
        <v>147639</v>
      </c>
      <c r="H42" s="332">
        <f>G42/'- 13 -'!$K$54</f>
        <v>0.00010925411804686248</v>
      </c>
      <c r="I42" s="331">
        <f>SUM(I43:I47)</f>
        <v>391271</v>
      </c>
      <c r="J42" s="332">
        <f>I42/'- 13 -'!$K$54</f>
        <v>0.000289543874059794</v>
      </c>
      <c r="K42" s="331">
        <f>SUM(K43:K47)</f>
        <v>2634944</v>
      </c>
      <c r="L42" s="332">
        <f>K42/'- 13 -'!$K$54</f>
        <v>0.0019498810126245235</v>
      </c>
    </row>
    <row r="43" spans="2:12" ht="12.75">
      <c r="B43" s="312" t="s">
        <v>288</v>
      </c>
      <c r="C43" s="331">
        <v>21298548</v>
      </c>
      <c r="D43" s="332">
        <f>C43/'- 13 -'!$K$54</f>
        <v>0.01576110700708327</v>
      </c>
      <c r="E43" s="329">
        <v>2221252</v>
      </c>
      <c r="F43" s="332">
        <f>E43/'- 13 -'!$K$54</f>
        <v>0.001643745407513119</v>
      </c>
      <c r="G43" s="329">
        <v>56004</v>
      </c>
      <c r="H43" s="332">
        <f>G43/'- 13 -'!$K$54</f>
        <v>4.1443437215752524E-05</v>
      </c>
      <c r="I43" s="329">
        <v>243176</v>
      </c>
      <c r="J43" s="332">
        <f>I43/'- 13 -'!$K$54</f>
        <v>0.0001799523121273094</v>
      </c>
      <c r="K43" s="329">
        <v>1455898</v>
      </c>
      <c r="L43" s="332">
        <f>K43/'- 13 -'!$K$54</f>
        <v>0.0010773769258542187</v>
      </c>
    </row>
    <row r="44" spans="2:12" ht="12.75">
      <c r="B44" s="312" t="s">
        <v>348</v>
      </c>
      <c r="C44" s="331">
        <v>10185377</v>
      </c>
      <c r="D44" s="332">
        <f>C44/'- 13 -'!$K$54</f>
        <v>0.007537265770628344</v>
      </c>
      <c r="E44" s="329">
        <v>639726</v>
      </c>
      <c r="F44" s="332">
        <f>E44/'- 13 -'!$K$54</f>
        <v>0.00047340269116999677</v>
      </c>
      <c r="G44" s="329">
        <v>38635</v>
      </c>
      <c r="H44" s="332">
        <f>G44/'- 13 -'!$K$54</f>
        <v>2.8590229212745497E-05</v>
      </c>
      <c r="I44" s="329">
        <v>86500</v>
      </c>
      <c r="J44" s="332">
        <f>I44/'- 13 -'!$K$54</f>
        <v>6.401073707525522E-05</v>
      </c>
      <c r="K44" s="329">
        <v>115740</v>
      </c>
      <c r="L44" s="332">
        <f>K44/'- 13 -'!$K$54</f>
        <v>8.564858623225479E-05</v>
      </c>
    </row>
    <row r="45" spans="2:12" ht="12.75">
      <c r="B45" s="312" t="s">
        <v>289</v>
      </c>
      <c r="C45" s="331">
        <v>7846071</v>
      </c>
      <c r="D45" s="332">
        <f>C45/'- 13 -'!$K$54</f>
        <v>0.005806159397165142</v>
      </c>
      <c r="E45" s="329">
        <v>290100</v>
      </c>
      <c r="F45" s="332">
        <f>E45/'- 13 -'!$K$54</f>
        <v>0.00021467647197146288</v>
      </c>
      <c r="G45" s="329">
        <v>21000</v>
      </c>
      <c r="H45" s="332">
        <f>G45/'- 13 -'!$K$54</f>
        <v>1.5540178943125542E-05</v>
      </c>
      <c r="I45" s="329">
        <v>42450</v>
      </c>
      <c r="J45" s="332">
        <f>I45/'- 13 -'!$K$54</f>
        <v>3.1413361720746637E-05</v>
      </c>
      <c r="K45" s="329">
        <v>296457</v>
      </c>
      <c r="L45" s="332">
        <f>K45/'- 13 -'!$K$54</f>
        <v>0.00021938070614010332</v>
      </c>
    </row>
    <row r="46" spans="2:12" ht="12.75">
      <c r="B46" s="312" t="s">
        <v>290</v>
      </c>
      <c r="C46" s="331">
        <v>0</v>
      </c>
      <c r="D46" s="332">
        <f>C46/'- 13 -'!$K$54</f>
        <v>0</v>
      </c>
      <c r="E46" s="329">
        <v>18000</v>
      </c>
      <c r="F46" s="332">
        <f>E46/'- 13 -'!$K$54</f>
        <v>1.3320153379821894E-05</v>
      </c>
      <c r="G46" s="329">
        <v>0</v>
      </c>
      <c r="H46" s="332">
        <f>G46/'- 13 -'!$K$54</f>
        <v>0</v>
      </c>
      <c r="I46" s="329">
        <v>2000</v>
      </c>
      <c r="J46" s="332">
        <f>I46/'- 13 -'!$K$54</f>
        <v>1.4800170422024328E-06</v>
      </c>
      <c r="K46" s="329">
        <v>0</v>
      </c>
      <c r="L46" s="332">
        <f>K46/'- 13 -'!$K$54</f>
        <v>0</v>
      </c>
    </row>
    <row r="47" spans="2:12" ht="12.75">
      <c r="B47" s="312" t="s">
        <v>291</v>
      </c>
      <c r="C47" s="331">
        <v>12482714</v>
      </c>
      <c r="D47" s="332">
        <f>C47/'- 13 -'!$K$54</f>
        <v>0.009237314726469449</v>
      </c>
      <c r="E47" s="329">
        <v>241227</v>
      </c>
      <c r="F47" s="332">
        <f>E47/'- 13 -'!$K$54</f>
        <v>0.0001785100355196831</v>
      </c>
      <c r="G47" s="329">
        <v>32000</v>
      </c>
      <c r="H47" s="332">
        <f>G47/'- 13 -'!$K$54</f>
        <v>2.3680272675238925E-05</v>
      </c>
      <c r="I47" s="329">
        <v>17145</v>
      </c>
      <c r="J47" s="332">
        <f>I47/'- 13 -'!$K$54</f>
        <v>1.2687446094280355E-05</v>
      </c>
      <c r="K47" s="329">
        <v>766849</v>
      </c>
      <c r="L47" s="332">
        <f>K47/'- 13 -'!$K$54</f>
        <v>0.0005674747943979467</v>
      </c>
    </row>
    <row r="48" spans="3:12" ht="4.5" customHeight="1">
      <c r="C48" s="333"/>
      <c r="D48" s="333"/>
      <c r="E48" s="333"/>
      <c r="F48" s="333"/>
      <c r="G48" s="333"/>
      <c r="H48" s="333"/>
      <c r="I48" s="333"/>
      <c r="J48" s="333"/>
      <c r="K48" s="333"/>
      <c r="L48" s="333"/>
    </row>
    <row r="49" spans="1:12" ht="12.75">
      <c r="A49" s="77">
        <v>900</v>
      </c>
      <c r="B49" s="335" t="s">
        <v>114</v>
      </c>
      <c r="C49" s="331"/>
      <c r="D49" s="332"/>
      <c r="E49" s="331"/>
      <c r="F49" s="332"/>
      <c r="G49" s="331"/>
      <c r="H49" s="332"/>
      <c r="I49" s="331"/>
      <c r="J49" s="332"/>
      <c r="K49" s="331"/>
      <c r="L49" s="332"/>
    </row>
    <row r="50" spans="2:12" ht="12.75">
      <c r="B50" s="312" t="s">
        <v>292</v>
      </c>
      <c r="C50" s="331"/>
      <c r="D50" s="332"/>
      <c r="E50" s="331"/>
      <c r="F50" s="332"/>
      <c r="G50" s="331"/>
      <c r="H50" s="332"/>
      <c r="I50" s="331"/>
      <c r="J50" s="332"/>
      <c r="K50" s="331"/>
      <c r="L50" s="332"/>
    </row>
    <row r="51" spans="2:12" ht="12.75">
      <c r="B51" s="312" t="s">
        <v>293</v>
      </c>
      <c r="C51" s="331"/>
      <c r="D51" s="332"/>
      <c r="E51" s="331"/>
      <c r="F51" s="332"/>
      <c r="G51" s="331"/>
      <c r="H51" s="332"/>
      <c r="I51" s="331"/>
      <c r="J51" s="332"/>
      <c r="K51" s="331"/>
      <c r="L51" s="332"/>
    </row>
    <row r="52" spans="2:12" ht="12.75">
      <c r="B52" s="312" t="s">
        <v>294</v>
      </c>
      <c r="C52" s="331"/>
      <c r="D52" s="332"/>
      <c r="E52" s="331"/>
      <c r="F52" s="332"/>
      <c r="G52" s="331"/>
      <c r="H52" s="332"/>
      <c r="I52" s="331"/>
      <c r="J52" s="332"/>
      <c r="K52" s="331"/>
      <c r="L52" s="332"/>
    </row>
    <row r="53" spans="3:12" ht="4.5" customHeight="1">
      <c r="C53" s="151"/>
      <c r="D53" s="226"/>
      <c r="E53" s="151"/>
      <c r="F53" s="226"/>
      <c r="G53" s="151"/>
      <c r="H53" s="226"/>
      <c r="I53" s="151"/>
      <c r="J53" s="226"/>
      <c r="K53" s="151"/>
      <c r="L53" s="226"/>
    </row>
    <row r="54" spans="2:12" ht="12.75">
      <c r="B54" s="291" t="s">
        <v>295</v>
      </c>
      <c r="C54" s="292">
        <f>SUM(C49,C42,C25,C23,C13)</f>
        <v>792002729.74</v>
      </c>
      <c r="D54" s="293">
        <f>C54/'- 13 -'!$K$54</f>
        <v>0.5860887687430237</v>
      </c>
      <c r="E54" s="292">
        <f>SUM(E49,E42,E25,E23,E13)</f>
        <v>189584848.3675</v>
      </c>
      <c r="F54" s="293">
        <f>E54/'- 13 -'!$K$54</f>
        <v>0.14029440326363204</v>
      </c>
      <c r="G54" s="292">
        <f>SUM(G49,G42,G25,G23,G13)</f>
        <v>3195457.2</v>
      </c>
      <c r="H54" s="293">
        <f>G54/'- 13 -'!$K$54</f>
        <v>0.0023646655568142338</v>
      </c>
      <c r="I54" s="292">
        <f>SUM(I49,I42,I25,I23,I13)</f>
        <v>8979590</v>
      </c>
      <c r="J54" s="293">
        <f>I54/'- 13 -'!$K$54</f>
        <v>0.006644973115995272</v>
      </c>
      <c r="K54" s="292">
        <f>SUM(K49,K42,K25,K23,K13)</f>
        <v>48296652.25</v>
      </c>
      <c r="L54" s="293">
        <f>K54/'- 13 -'!$K$54</f>
        <v>0.03573993420566223</v>
      </c>
    </row>
    <row r="55" ht="6" customHeight="1"/>
    <row r="56" spans="1:2" ht="12.75">
      <c r="A56" s="417" t="s">
        <v>351</v>
      </c>
      <c r="B56" s="359" t="s">
        <v>512</v>
      </c>
    </row>
  </sheetData>
  <mergeCells count="1">
    <mergeCell ref="M29:M31"/>
  </mergeCells>
  <printOptions verticalCentered="1"/>
  <pageMargins left="0.5" right="0" top="0.3" bottom="0.3" header="0" footer="0"/>
  <pageSetup fitToHeight="1" fitToWidth="1" horizontalDpi="300" verticalDpi="3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Chris Anderson</cp:lastModifiedBy>
  <cp:lastPrinted>2002-07-30T17:28:47Z</cp:lastPrinted>
  <dcterms:created xsi:type="dcterms:W3CDTF">1999-01-19T20:49:35Z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